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4_業種別経営指標/R04_業種別/H16-R04_業種別_製造業/"/>
    </mc:Choice>
  </mc:AlternateContent>
  <xr:revisionPtr revIDLastSave="326" documentId="13_ncr:1_{E5AE67E6-62E8-44DA-819B-45E9D73CA082}" xr6:coauthVersionLast="47" xr6:coauthVersionMax="47" xr10:uidLastSave="{BCE26B5C-AE7E-4454-A358-C2F856EC47A0}"/>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38" i="5" l="1"/>
  <c r="U33" i="5"/>
  <c r="U32" i="5"/>
  <c r="U30" i="5"/>
  <c r="U29" i="5"/>
  <c r="U28" i="5"/>
  <c r="U27" i="5"/>
  <c r="U26" i="5"/>
  <c r="U25" i="5"/>
  <c r="T40" i="5"/>
  <c r="T41" i="5" s="1"/>
  <c r="T38" i="5"/>
  <c r="T33" i="5"/>
  <c r="T37" i="5" s="1"/>
  <c r="T32" i="5"/>
  <c r="T31" i="5"/>
  <c r="T30" i="5"/>
  <c r="T29" i="5"/>
  <c r="T28" i="5"/>
  <c r="T27" i="5"/>
  <c r="T26" i="5"/>
  <c r="T25" i="5"/>
  <c r="T24" i="5"/>
  <c r="T23" i="5"/>
  <c r="T20" i="5"/>
  <c r="T19" i="5"/>
  <c r="T18" i="5"/>
  <c r="T17" i="5"/>
  <c r="T16" i="5"/>
  <c r="T15" i="5"/>
  <c r="T13" i="5"/>
  <c r="T12" i="5"/>
  <c r="T45" i="5" s="1"/>
  <c r="T11" i="5"/>
  <c r="T22" i="5" s="1"/>
  <c r="T9" i="5"/>
  <c r="T8" i="5"/>
  <c r="T7" i="5"/>
  <c r="T6" i="5"/>
  <c r="T5" i="5"/>
  <c r="T32" i="6"/>
  <c r="T25" i="6"/>
  <c r="AM25" i="6" s="1"/>
  <c r="T24" i="6"/>
  <c r="AM24" i="6" s="1"/>
  <c r="T23" i="6"/>
  <c r="T22" i="6"/>
  <c r="T21" i="6"/>
  <c r="AM21" i="6" s="1"/>
  <c r="T20" i="6"/>
  <c r="T19" i="6"/>
  <c r="T18" i="6"/>
  <c r="T17" i="6"/>
  <c r="AM17" i="6" s="1"/>
  <c r="T16" i="6"/>
  <c r="AM16" i="6" s="1"/>
  <c r="T14" i="6"/>
  <c r="T13" i="6"/>
  <c r="T12" i="6"/>
  <c r="T11" i="6"/>
  <c r="T10" i="6"/>
  <c r="T9" i="6"/>
  <c r="AM9" i="6" s="1"/>
  <c r="T8" i="6"/>
  <c r="T7" i="6"/>
  <c r="T6" i="6"/>
  <c r="T5" i="6"/>
  <c r="AM8" i="6" s="1"/>
  <c r="CQ81" i="3"/>
  <c r="CT80" i="3" s="1"/>
  <c r="CL81" i="3"/>
  <c r="CO80" i="3" s="1"/>
  <c r="CL80" i="3"/>
  <c r="CL78" i="3"/>
  <c r="CL76" i="3"/>
  <c r="CL71" i="3"/>
  <c r="CL66" i="3"/>
  <c r="CQ64" i="3"/>
  <c r="CQ65" i="3"/>
  <c r="CL65" i="3"/>
  <c r="CL64" i="3"/>
  <c r="CL54" i="3"/>
  <c r="CL53" i="3"/>
  <c r="CL55" i="3" s="1"/>
  <c r="CL50" i="3"/>
  <c r="CL45" i="3"/>
  <c r="CL44" i="3"/>
  <c r="CL46" i="3" s="1"/>
  <c r="CO45" i="3" s="1"/>
  <c r="CL43" i="3"/>
  <c r="CL39" i="3"/>
  <c r="CL41" i="3" s="1"/>
  <c r="CL35" i="3"/>
  <c r="CL33" i="3"/>
  <c r="CL31" i="3"/>
  <c r="CL30" i="3"/>
  <c r="CL19" i="3"/>
  <c r="CL15" i="3"/>
  <c r="CQ61" i="3" s="1"/>
  <c r="CL12" i="3"/>
  <c r="CL70" i="3" s="1"/>
  <c r="CL9" i="3"/>
  <c r="CL7" i="3"/>
  <c r="CQ67" i="3" s="1"/>
  <c r="CL6" i="3"/>
  <c r="CO6" i="3" s="1"/>
  <c r="CL51" i="3"/>
  <c r="CL17" i="3"/>
  <c r="V70" i="7"/>
  <c r="V71" i="7" s="1"/>
  <c r="V69" i="7"/>
  <c r="V68" i="7"/>
  <c r="V64" i="7"/>
  <c r="V51" i="7"/>
  <c r="V44" i="7"/>
  <c r="V40" i="7"/>
  <c r="V35" i="7"/>
  <c r="V34" i="7"/>
  <c r="V30" i="7"/>
  <c r="V29" i="7"/>
  <c r="V28" i="7"/>
  <c r="V16" i="7"/>
  <c r="V15" i="7"/>
  <c r="V14" i="7"/>
  <c r="V13" i="7"/>
  <c r="V11" i="7"/>
  <c r="V10" i="7"/>
  <c r="V33" i="7" s="1"/>
  <c r="V9" i="7"/>
  <c r="V8" i="7"/>
  <c r="V7" i="7"/>
  <c r="V6" i="7"/>
  <c r="V48" i="7" s="1"/>
  <c r="V5" i="7"/>
  <c r="V57" i="7" s="1"/>
  <c r="V4" i="7"/>
  <c r="T14" i="9"/>
  <c r="T13" i="9"/>
  <c r="T12" i="9"/>
  <c r="T11" i="9"/>
  <c r="T10" i="9"/>
  <c r="T21" i="9" s="1"/>
  <c r="T9" i="9"/>
  <c r="T8" i="9"/>
  <c r="T7" i="9"/>
  <c r="T6" i="9"/>
  <c r="T4" i="9"/>
  <c r="U36" i="8"/>
  <c r="T35" i="8"/>
  <c r="U31" i="8"/>
  <c r="T30" i="8"/>
  <c r="U29" i="8"/>
  <c r="T29" i="8"/>
  <c r="U28" i="8"/>
  <c r="T28" i="8"/>
  <c r="U20" i="8"/>
  <c r="T19" i="8"/>
  <c r="U18" i="8"/>
  <c r="T17" i="8"/>
  <c r="U16" i="8"/>
  <c r="U15" i="8"/>
  <c r="T14" i="8"/>
  <c r="T13" i="8"/>
  <c r="U12" i="8"/>
  <c r="T12" i="8"/>
  <c r="U11" i="8"/>
  <c r="U10" i="8"/>
  <c r="T10" i="8"/>
  <c r="T36" i="8"/>
  <c r="T31" i="8"/>
  <c r="T20" i="8"/>
  <c r="T18" i="8"/>
  <c r="T16" i="8"/>
  <c r="T15" i="8"/>
  <c r="T11" i="8"/>
  <c r="T9" i="8"/>
  <c r="T8" i="8"/>
  <c r="T7" i="8"/>
  <c r="T6" i="8"/>
  <c r="T5" i="8"/>
  <c r="AB47" i="1"/>
  <c r="T48" i="5" s="1"/>
  <c r="AB46" i="1"/>
  <c r="AB45" i="1"/>
  <c r="CL22" i="3" s="1"/>
  <c r="AB43" i="1"/>
  <c r="AB44" i="1" s="1"/>
  <c r="CL23"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47" i="5" s="1"/>
  <c r="S25" i="6"/>
  <c r="S24" i="6"/>
  <c r="S23" i="6"/>
  <c r="S22" i="6"/>
  <c r="S21" i="6"/>
  <c r="S20" i="6"/>
  <c r="S19" i="6"/>
  <c r="S18" i="6"/>
  <c r="S17" i="6"/>
  <c r="AL17" i="6" s="1"/>
  <c r="S16" i="6"/>
  <c r="S14" i="6"/>
  <c r="S13" i="6"/>
  <c r="S12" i="6"/>
  <c r="S11" i="6"/>
  <c r="S10" i="6"/>
  <c r="S9" i="6"/>
  <c r="S8" i="6"/>
  <c r="S7" i="6"/>
  <c r="S6" i="6"/>
  <c r="S5" i="6"/>
  <c r="CQ80" i="3"/>
  <c r="CG81" i="3"/>
  <c r="CQ78" i="3"/>
  <c r="CG78" i="3"/>
  <c r="CG80" i="3" s="1"/>
  <c r="CQ76" i="3"/>
  <c r="CG76" i="3"/>
  <c r="CQ71" i="3"/>
  <c r="CG71" i="3"/>
  <c r="CG64" i="3"/>
  <c r="CQ54" i="3"/>
  <c r="CT53" i="3" s="1"/>
  <c r="CG54" i="3"/>
  <c r="CQ53" i="3"/>
  <c r="CQ55" i="3" s="1"/>
  <c r="CG53" i="3"/>
  <c r="CQ50" i="3"/>
  <c r="CG50" i="3"/>
  <c r="CQ45" i="3"/>
  <c r="CG45" i="3"/>
  <c r="CG44" i="3"/>
  <c r="CQ44" i="3"/>
  <c r="CQ43" i="3"/>
  <c r="CG43" i="3"/>
  <c r="CQ39" i="3"/>
  <c r="CQ41" i="3" s="1"/>
  <c r="CG39" i="3"/>
  <c r="CQ35" i="3"/>
  <c r="CG35" i="3"/>
  <c r="CQ33" i="3"/>
  <c r="CG33" i="3"/>
  <c r="CQ31" i="3"/>
  <c r="CG31" i="3"/>
  <c r="CQ30" i="3"/>
  <c r="CG30" i="3"/>
  <c r="CQ19" i="3"/>
  <c r="CG19" i="3"/>
  <c r="CQ15" i="3"/>
  <c r="CG15" i="3"/>
  <c r="CL61" i="3" s="1"/>
  <c r="CQ12" i="3"/>
  <c r="CQ70" i="3" s="1"/>
  <c r="CG12" i="3"/>
  <c r="CL59" i="3" s="1"/>
  <c r="CQ9" i="3"/>
  <c r="CG9" i="3"/>
  <c r="CQ7" i="3"/>
  <c r="CQ49" i="3" s="1"/>
  <c r="CQ6" i="3"/>
  <c r="CQ17" i="3" s="1"/>
  <c r="CG7" i="3"/>
  <c r="CG6" i="3"/>
  <c r="CQ32" i="3"/>
  <c r="CT31" i="3" s="1"/>
  <c r="CQ28" i="3"/>
  <c r="CQ8" i="3"/>
  <c r="U70" i="7"/>
  <c r="U71" i="7" s="1"/>
  <c r="U69" i="7"/>
  <c r="U68" i="7"/>
  <c r="U64" i="7"/>
  <c r="U51" i="7"/>
  <c r="U44" i="7"/>
  <c r="U40" i="7"/>
  <c r="U35" i="7"/>
  <c r="U34" i="7"/>
  <c r="U30" i="7"/>
  <c r="U29" i="7"/>
  <c r="U28" i="7"/>
  <c r="U16" i="7"/>
  <c r="U15" i="7"/>
  <c r="U14" i="7"/>
  <c r="U13" i="7"/>
  <c r="U11" i="7"/>
  <c r="U10" i="7"/>
  <c r="U9" i="7"/>
  <c r="U8" i="7"/>
  <c r="U7" i="7"/>
  <c r="U6" i="7"/>
  <c r="U5" i="7"/>
  <c r="U57" i="7" s="1"/>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U40" i="5"/>
  <c r="U31" i="5"/>
  <c r="U24" i="5"/>
  <c r="U23" i="5"/>
  <c r="U20" i="5"/>
  <c r="U19" i="5"/>
  <c r="U18" i="5"/>
  <c r="U17" i="5"/>
  <c r="U16" i="5"/>
  <c r="U15" i="5"/>
  <c r="U13" i="5"/>
  <c r="U12" i="5"/>
  <c r="U11" i="5"/>
  <c r="U22" i="5" s="1"/>
  <c r="U9" i="5"/>
  <c r="U8" i="5"/>
  <c r="U7" i="5"/>
  <c r="U6" i="5"/>
  <c r="U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Q14" i="3" l="1"/>
  <c r="CT8" i="3"/>
  <c r="CT29" i="3"/>
  <c r="CQ62" i="3"/>
  <c r="CT27" i="3"/>
  <c r="CT43" i="3"/>
  <c r="AM10" i="6"/>
  <c r="AM7" i="6"/>
  <c r="V26" i="7"/>
  <c r="CL58" i="3"/>
  <c r="AM11" i="6"/>
  <c r="T47" i="5"/>
  <c r="CO69" i="3"/>
  <c r="AM13" i="6"/>
  <c r="CL40" i="3"/>
  <c r="CL69" i="3"/>
  <c r="AM6" i="6"/>
  <c r="S31" i="6"/>
  <c r="V66" i="7"/>
  <c r="CL8" i="3"/>
  <c r="AM12" i="6"/>
  <c r="T35" i="5"/>
  <c r="T39" i="5" s="1"/>
  <c r="V20" i="7"/>
  <c r="V54" i="7"/>
  <c r="CO64" i="3"/>
  <c r="CQ66" i="3"/>
  <c r="CT66" i="3" s="1"/>
  <c r="AM18" i="6"/>
  <c r="AM22" i="6"/>
  <c r="AL22" i="6"/>
  <c r="V56" i="7"/>
  <c r="CO50" i="3"/>
  <c r="AM19" i="6"/>
  <c r="T28" i="6"/>
  <c r="T44" i="5"/>
  <c r="S37" i="8"/>
  <c r="S24" i="8" s="1"/>
  <c r="AM20" i="6"/>
  <c r="T34" i="5"/>
  <c r="CO22" i="3"/>
  <c r="CL24" i="3" s="1"/>
  <c r="CO11" i="3"/>
  <c r="CQ59" i="3"/>
  <c r="CQ63" i="3"/>
  <c r="V63" i="7"/>
  <c r="CL14" i="3"/>
  <c r="CO13" i="3" s="1"/>
  <c r="CO8" i="3"/>
  <c r="CL60" i="3"/>
  <c r="T34" i="6"/>
  <c r="T49" i="5"/>
  <c r="CT60" i="3"/>
  <c r="T16" i="9"/>
  <c r="T20" i="9"/>
  <c r="V12" i="7"/>
  <c r="V25" i="7" s="1"/>
  <c r="CL36" i="3"/>
  <c r="CO35" i="3" s="1"/>
  <c r="CQ60" i="3"/>
  <c r="AM5" i="6"/>
  <c r="T5" i="9"/>
  <c r="T17" i="9" s="1"/>
  <c r="T10" i="5"/>
  <c r="CL62" i="3"/>
  <c r="CO40" i="3"/>
  <c r="CQ58" i="3"/>
  <c r="CL63" i="3"/>
  <c r="CO53" i="3"/>
  <c r="V50" i="7"/>
  <c r="CL48" i="3"/>
  <c r="R44" i="5"/>
  <c r="S41" i="5"/>
  <c r="AL21" i="6"/>
  <c r="T37" i="8"/>
  <c r="T24" i="8" s="1"/>
  <c r="AM23" i="6"/>
  <c r="T46" i="5"/>
  <c r="S21" i="9"/>
  <c r="CT64" i="3"/>
  <c r="CL67" i="3"/>
  <c r="T43" i="5"/>
  <c r="S35" i="5"/>
  <c r="S44" i="5"/>
  <c r="AL18" i="6"/>
  <c r="AL6" i="6"/>
  <c r="AL7" i="6"/>
  <c r="AL11" i="6"/>
  <c r="AL16" i="6"/>
  <c r="AL20" i="6"/>
  <c r="AL24" i="6"/>
  <c r="T31" i="6"/>
  <c r="T27" i="6"/>
  <c r="T30" i="6"/>
  <c r="T35" i="6"/>
  <c r="T29" i="6"/>
  <c r="T33" i="6"/>
  <c r="AL9" i="6"/>
  <c r="S27" i="6"/>
  <c r="S30" i="6"/>
  <c r="AL25" i="6"/>
  <c r="AL10" i="6"/>
  <c r="AL19" i="6"/>
  <c r="S28" i="6"/>
  <c r="CO43" i="3"/>
  <c r="CL18" i="3"/>
  <c r="CO17" i="3" s="1"/>
  <c r="CL27" i="3"/>
  <c r="CL32" i="3"/>
  <c r="CO31" i="3" s="1"/>
  <c r="CL28" i="3"/>
  <c r="CL79" i="3"/>
  <c r="CO78" i="3" s="1"/>
  <c r="CL20" i="3"/>
  <c r="CO19" i="3" s="1"/>
  <c r="CL49" i="3"/>
  <c r="CL56" i="3"/>
  <c r="CO55" i="3" s="1"/>
  <c r="CL74" i="3"/>
  <c r="CL16" i="3"/>
  <c r="CO15" i="3" s="1"/>
  <c r="CL25" i="3"/>
  <c r="CO24" i="3" s="1"/>
  <c r="CL29" i="3"/>
  <c r="CO29" i="3" s="1"/>
  <c r="CL34" i="3"/>
  <c r="CO33" i="3" s="1"/>
  <c r="CL38" i="3"/>
  <c r="CO38" i="3" s="1"/>
  <c r="V18" i="7"/>
  <c r="V22" i="7"/>
  <c r="V27" i="7"/>
  <c r="V32" i="7"/>
  <c r="V24" i="7"/>
  <c r="V53" i="7"/>
  <c r="V19" i="7"/>
  <c r="U48" i="7"/>
  <c r="U33" i="7"/>
  <c r="U54" i="7"/>
  <c r="U24" i="7"/>
  <c r="U56" i="7"/>
  <c r="U26" i="7"/>
  <c r="T19" i="9"/>
  <c r="S33" i="8"/>
  <c r="CQ51" i="3"/>
  <c r="CT50" i="3" s="1"/>
  <c r="U50" i="7"/>
  <c r="AL23" i="6"/>
  <c r="S46" i="5"/>
  <c r="U20" i="7"/>
  <c r="S37" i="5"/>
  <c r="CQ48" i="3"/>
  <c r="CT48" i="3" s="1"/>
  <c r="S45" i="5"/>
  <c r="T22" i="8"/>
  <c r="T33" i="8"/>
  <c r="U66" i="7"/>
  <c r="AL8" i="6"/>
  <c r="AL12" i="6"/>
  <c r="S20" i="9"/>
  <c r="U12" i="7"/>
  <c r="U25" i="7" s="1"/>
  <c r="AL13" i="6"/>
  <c r="S10" i="5"/>
  <c r="R47" i="5"/>
  <c r="U63" i="7"/>
  <c r="S49" i="5"/>
  <c r="S34" i="5"/>
  <c r="CG69" i="3"/>
  <c r="S32" i="6"/>
  <c r="S33" i="6" s="1"/>
  <c r="S5" i="9"/>
  <c r="S17" i="9" s="1"/>
  <c r="AL5" i="6"/>
  <c r="S22" i="8"/>
  <c r="S25" i="8" s="1"/>
  <c r="S26" i="8" s="1"/>
  <c r="S40" i="8" s="1"/>
  <c r="S43" i="5"/>
  <c r="U46" i="5"/>
  <c r="U37" i="5"/>
  <c r="S29" i="6"/>
  <c r="CQ46" i="3"/>
  <c r="CT45" i="3" s="1"/>
  <c r="CQ27" i="3"/>
  <c r="CQ79" i="3"/>
  <c r="CT78" i="3" s="1"/>
  <c r="CT6" i="3"/>
  <c r="CQ40" i="3"/>
  <c r="CT40" i="3" s="1"/>
  <c r="CQ18" i="3"/>
  <c r="CT17" i="3" s="1"/>
  <c r="CQ36" i="3"/>
  <c r="CT35" i="3" s="1"/>
  <c r="CQ56" i="3"/>
  <c r="CT55" i="3" s="1"/>
  <c r="CQ74" i="3"/>
  <c r="CQ20" i="3"/>
  <c r="CT19" i="3" s="1"/>
  <c r="CQ16" i="3"/>
  <c r="CT15" i="3" s="1"/>
  <c r="CQ25" i="3"/>
  <c r="CQ29" i="3"/>
  <c r="CQ34" i="3"/>
  <c r="CT33" i="3" s="1"/>
  <c r="CQ38" i="3"/>
  <c r="CT38" i="3" s="1"/>
  <c r="U22" i="7"/>
  <c r="U27" i="7"/>
  <c r="U32" i="7"/>
  <c r="U19" i="7"/>
  <c r="U53" i="7"/>
  <c r="U47" i="5"/>
  <c r="U35" i="5"/>
  <c r="R35" i="5"/>
  <c r="R37" i="5"/>
  <c r="R34" i="5"/>
  <c r="R43" i="5"/>
  <c r="U45" i="5"/>
  <c r="U41" i="5"/>
  <c r="U44" i="5"/>
  <c r="R46" i="5"/>
  <c r="R41" i="5"/>
  <c r="U34" i="5"/>
  <c r="U43" i="5"/>
  <c r="R45" i="5"/>
  <c r="R25" i="6"/>
  <c r="AK25" i="6" s="1"/>
  <c r="R24" i="6"/>
  <c r="R23" i="6"/>
  <c r="R22" i="6"/>
  <c r="R21" i="6"/>
  <c r="AK21" i="6" s="1"/>
  <c r="R20" i="6"/>
  <c r="R19" i="6"/>
  <c r="R18" i="6"/>
  <c r="R17" i="6"/>
  <c r="AK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B43" i="3"/>
  <c r="CB39" i="3"/>
  <c r="CB41" i="3" s="1"/>
  <c r="CB35" i="3"/>
  <c r="CB33" i="3"/>
  <c r="CB31" i="3"/>
  <c r="CB30" i="3"/>
  <c r="CB19" i="3"/>
  <c r="CO62" i="3" s="1"/>
  <c r="CB15" i="3"/>
  <c r="CB12" i="3"/>
  <c r="CB9" i="3"/>
  <c r="CB56" i="3" s="1"/>
  <c r="CB7" i="3"/>
  <c r="CB6" i="3"/>
  <c r="CB17" i="3" s="1"/>
  <c r="CB81" i="3"/>
  <c r="BW81" i="3"/>
  <c r="BR81" i="3"/>
  <c r="BM81" i="3"/>
  <c r="BH81" i="3"/>
  <c r="BC81" i="3"/>
  <c r="AX81" i="3"/>
  <c r="AS81" i="3"/>
  <c r="AN81" i="3"/>
  <c r="AI81" i="3"/>
  <c r="AD81" i="3"/>
  <c r="Y81" i="3"/>
  <c r="T81" i="3"/>
  <c r="O81" i="3"/>
  <c r="J81" i="3"/>
  <c r="E81" i="3"/>
  <c r="W70" i="7"/>
  <c r="W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CT62" i="3" l="1"/>
  <c r="CO60" i="3"/>
  <c r="S35" i="6"/>
  <c r="T18" i="9"/>
  <c r="V21" i="7"/>
  <c r="CL72" i="3"/>
  <c r="CO71" i="3" s="1"/>
  <c r="CL73" i="3"/>
  <c r="CL75" i="3" s="1"/>
  <c r="CO75" i="3" s="1"/>
  <c r="T36" i="5"/>
  <c r="CO27" i="3"/>
  <c r="CE45" i="3"/>
  <c r="S36" i="5"/>
  <c r="CO48" i="3"/>
  <c r="S34" i="6"/>
  <c r="CT58" i="3"/>
  <c r="T39" i="8"/>
  <c r="V60" i="7"/>
  <c r="V59" i="7"/>
  <c r="CB70" i="3"/>
  <c r="CO58" i="3"/>
  <c r="CG67" i="3"/>
  <c r="CO66" i="3"/>
  <c r="U21" i="7"/>
  <c r="U18" i="7"/>
  <c r="T25" i="8"/>
  <c r="T26" i="8" s="1"/>
  <c r="T40" i="8" s="1"/>
  <c r="S39" i="8"/>
  <c r="S41" i="8" s="1"/>
  <c r="S39" i="5"/>
  <c r="S19" i="9"/>
  <c r="U36" i="5"/>
  <c r="S18" i="9"/>
  <c r="U59" i="7"/>
  <c r="U61" i="7"/>
  <c r="U60" i="7"/>
  <c r="R36" i="5"/>
  <c r="R39" i="5"/>
  <c r="R27" i="6"/>
  <c r="AK18" i="6"/>
  <c r="R30" i="6"/>
  <c r="AK19" i="6"/>
  <c r="AK16" i="6"/>
  <c r="AK20" i="6"/>
  <c r="AK24" i="6"/>
  <c r="AK6" i="6"/>
  <c r="AK10" i="6"/>
  <c r="U39" i="5"/>
  <c r="CB69" i="3"/>
  <c r="R48" i="5"/>
  <c r="R49" i="5" s="1"/>
  <c r="R31" i="6"/>
  <c r="CE53" i="3"/>
  <c r="R28" i="6"/>
  <c r="AK12" i="6"/>
  <c r="CB13" i="3"/>
  <c r="T12" i="7"/>
  <c r="T21" i="7" s="1"/>
  <c r="R32" i="6"/>
  <c r="R33" i="6" s="1"/>
  <c r="T63" i="7"/>
  <c r="T66" i="7"/>
  <c r="AK9" i="6"/>
  <c r="AK7" i="6"/>
  <c r="AK11" i="6"/>
  <c r="R5" i="9"/>
  <c r="CG61" i="3"/>
  <c r="CG59" i="3"/>
  <c r="CG63" i="3"/>
  <c r="AK8" i="6"/>
  <c r="CE69" i="3"/>
  <c r="AK5" i="6"/>
  <c r="AK13" i="6"/>
  <c r="CB79" i="3"/>
  <c r="CE78" i="3" s="1"/>
  <c r="T53" i="7"/>
  <c r="CE64" i="3"/>
  <c r="AK22" i="6"/>
  <c r="AK23" i="6"/>
  <c r="CE55" i="3"/>
  <c r="R29" i="6"/>
  <c r="CE80" i="3"/>
  <c r="T54" i="7"/>
  <c r="T26" i="7"/>
  <c r="R21" i="9"/>
  <c r="R37" i="8"/>
  <c r="R24" i="8" s="1"/>
  <c r="R33" i="8"/>
  <c r="R22" i="8"/>
  <c r="CB51" i="3"/>
  <c r="CE50" i="3" s="1"/>
  <c r="CB48" i="3"/>
  <c r="T50" i="7"/>
  <c r="CB49" i="3"/>
  <c r="CE48" i="3" s="1"/>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B20" i="3"/>
  <c r="CE19" i="3" s="1"/>
  <c r="CB8" i="3"/>
  <c r="CE8" i="3" s="1"/>
  <c r="CE11" i="3"/>
  <c r="CB14" i="3"/>
  <c r="CB27" i="3"/>
  <c r="CB32" i="3"/>
  <c r="CE31" i="3" s="1"/>
  <c r="CE38" i="3"/>
  <c r="P42" i="1"/>
  <c r="CE13" i="3" l="1"/>
  <c r="CO73" i="3"/>
  <c r="V61" i="7"/>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J25" i="6" s="1"/>
  <c r="Q24" i="6"/>
  <c r="Q23" i="6"/>
  <c r="Q22" i="6"/>
  <c r="Q21" i="6"/>
  <c r="Q20" i="6"/>
  <c r="Q19" i="6"/>
  <c r="Q18" i="6"/>
  <c r="Q17" i="6"/>
  <c r="AJ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57" i="7" s="1"/>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Q34" i="6" l="1"/>
  <c r="S32" i="7"/>
  <c r="AJ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J18" i="6"/>
  <c r="AJ22" i="6"/>
  <c r="Q35" i="5"/>
  <c r="Q41" i="5"/>
  <c r="S54" i="7"/>
  <c r="AJ19" i="6"/>
  <c r="AJ23" i="6"/>
  <c r="AJ16" i="6"/>
  <c r="AJ20" i="6"/>
  <c r="AJ24" i="6"/>
  <c r="Q44" i="5"/>
  <c r="AJ9" i="6"/>
  <c r="AJ13" i="6"/>
  <c r="Q35" i="6"/>
  <c r="AJ6" i="6"/>
  <c r="AJ10" i="6"/>
  <c r="AJ7" i="6"/>
  <c r="AJ11" i="6"/>
  <c r="BZ22" i="3"/>
  <c r="BW24" i="3" s="1"/>
  <c r="AJ8" i="6"/>
  <c r="AJ12" i="6"/>
  <c r="AJ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W48" i="3"/>
  <c r="BW8" i="3"/>
  <c r="BZ8" i="3" s="1"/>
  <c r="BW14" i="3"/>
  <c r="BZ13" i="3" s="1"/>
  <c r="BW27" i="3"/>
  <c r="BW32" i="3"/>
  <c r="BZ31" i="3" s="1"/>
  <c r="BZ38" i="3"/>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I25" i="6" s="1"/>
  <c r="P24" i="6"/>
  <c r="P23" i="6"/>
  <c r="P22" i="6"/>
  <c r="P21" i="6"/>
  <c r="AI21" i="6" s="1"/>
  <c r="P20" i="6"/>
  <c r="P19" i="6"/>
  <c r="P18" i="6"/>
  <c r="P17" i="6"/>
  <c r="AI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U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I6" i="6"/>
  <c r="AI7" i="6"/>
  <c r="AI12" i="6"/>
  <c r="P20" i="9"/>
  <c r="P21" i="9"/>
  <c r="BR46" i="3"/>
  <c r="BU45" i="3" s="1"/>
  <c r="P31" i="6"/>
  <c r="AI11" i="6"/>
  <c r="P27" i="6"/>
  <c r="AI18" i="6"/>
  <c r="P30" i="6"/>
  <c r="AI19" i="6"/>
  <c r="P28" i="6"/>
  <c r="P33" i="8"/>
  <c r="P37" i="8"/>
  <c r="P24" i="8" s="1"/>
  <c r="AI16" i="6"/>
  <c r="AI20" i="6"/>
  <c r="AI24" i="6"/>
  <c r="P44" i="5"/>
  <c r="P35" i="5"/>
  <c r="AI9" i="6"/>
  <c r="AI10" i="6"/>
  <c r="P49" i="5"/>
  <c r="BU22" i="3"/>
  <c r="BR24" i="3" s="1"/>
  <c r="P19" i="9"/>
  <c r="BR72" i="3"/>
  <c r="BU71" i="3" s="1"/>
  <c r="BU75" i="3"/>
  <c r="P17" i="9"/>
  <c r="P34" i="6"/>
  <c r="P22" i="8"/>
  <c r="R59" i="7" s="1"/>
  <c r="AI8" i="6"/>
  <c r="R27" i="7"/>
  <c r="AI5" i="6"/>
  <c r="AI13" i="6"/>
  <c r="BU11" i="3"/>
  <c r="P18" i="9"/>
  <c r="R48" i="7"/>
  <c r="R32" i="7"/>
  <c r="R54" i="7"/>
  <c r="R50" i="7"/>
  <c r="R18" i="7"/>
  <c r="P45" i="5"/>
  <c r="AI22" i="6"/>
  <c r="P46" i="5"/>
  <c r="P41" i="5"/>
  <c r="AI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H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H7" i="6"/>
  <c r="P41" i="8"/>
  <c r="O41" i="5"/>
  <c r="AH13" i="6"/>
  <c r="AH8" i="6"/>
  <c r="AH6" i="6"/>
  <c r="AH24" i="6"/>
  <c r="AH11" i="6"/>
  <c r="O46" i="5"/>
  <c r="O35" i="5"/>
  <c r="AH10" i="6"/>
  <c r="AH12" i="6"/>
  <c r="AH9" i="6"/>
  <c r="AH21" i="6"/>
  <c r="AH25" i="6"/>
  <c r="O44" i="5"/>
  <c r="O37" i="5"/>
  <c r="AH18" i="6"/>
  <c r="AH22" i="6"/>
  <c r="O31" i="6"/>
  <c r="O27" i="6"/>
  <c r="O30" i="6"/>
  <c r="O35" i="6"/>
  <c r="O49" i="5"/>
  <c r="AH19" i="6"/>
  <c r="AH23" i="6"/>
  <c r="O28" i="6"/>
  <c r="AH17" i="6"/>
  <c r="O34" i="5"/>
  <c r="O45" i="5"/>
  <c r="AH16" i="6"/>
  <c r="AH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U35" i="8"/>
  <c r="U37" i="8" s="1"/>
  <c r="U24" i="8" s="1"/>
  <c r="U30" i="8"/>
  <c r="U19" i="8"/>
  <c r="U17" i="8"/>
  <c r="U14" i="8"/>
  <c r="U13" i="8"/>
  <c r="U9" i="8"/>
  <c r="U8" i="8"/>
  <c r="U7" i="8"/>
  <c r="U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U22" i="8"/>
  <c r="U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U25" i="8"/>
  <c r="U26" i="8" s="1"/>
  <c r="U40" i="8" s="1"/>
  <c r="U39" i="8"/>
  <c r="Q60" i="7"/>
  <c r="Q59" i="7"/>
  <c r="A2" i="9"/>
  <c r="Q61" i="7" l="1"/>
  <c r="U41" i="8"/>
  <c r="D14" i="9"/>
  <c r="E14" i="9"/>
  <c r="F14" i="9"/>
  <c r="G14" i="9"/>
  <c r="H14" i="9"/>
  <c r="I14" i="9"/>
  <c r="J14" i="9"/>
  <c r="K14" i="9"/>
  <c r="L14" i="9"/>
  <c r="M14" i="9"/>
  <c r="N14" i="9"/>
  <c r="U14" i="9"/>
  <c r="C14" i="9"/>
  <c r="D13" i="9"/>
  <c r="E13" i="9"/>
  <c r="F13" i="9"/>
  <c r="G13" i="9"/>
  <c r="H13" i="9"/>
  <c r="I13" i="9"/>
  <c r="J13" i="9"/>
  <c r="K13" i="9"/>
  <c r="L13" i="9"/>
  <c r="M13" i="9"/>
  <c r="N13" i="9"/>
  <c r="U13" i="9"/>
  <c r="C13" i="9"/>
  <c r="D12" i="9"/>
  <c r="E12" i="9"/>
  <c r="F12" i="9"/>
  <c r="G12" i="9"/>
  <c r="H12" i="9"/>
  <c r="I12" i="9"/>
  <c r="J12" i="9"/>
  <c r="K12" i="9"/>
  <c r="L12" i="9"/>
  <c r="M12" i="9"/>
  <c r="N12" i="9"/>
  <c r="U12" i="9"/>
  <c r="C12" i="9"/>
  <c r="D11" i="9"/>
  <c r="E11" i="9"/>
  <c r="F11" i="9"/>
  <c r="G11" i="9"/>
  <c r="H11" i="9"/>
  <c r="I11" i="9"/>
  <c r="J11" i="9"/>
  <c r="K11" i="9"/>
  <c r="L11" i="9"/>
  <c r="M11" i="9"/>
  <c r="N11" i="9"/>
  <c r="U11" i="9"/>
  <c r="C11" i="9"/>
  <c r="D10" i="9"/>
  <c r="E10" i="9"/>
  <c r="F10" i="9"/>
  <c r="G10" i="9"/>
  <c r="H10" i="9"/>
  <c r="I10" i="9"/>
  <c r="J10" i="9"/>
  <c r="K10" i="9"/>
  <c r="L10" i="9"/>
  <c r="M10" i="9"/>
  <c r="M21" i="9" s="1"/>
  <c r="N10" i="9"/>
  <c r="U10" i="9"/>
  <c r="C10" i="9"/>
  <c r="D9" i="9"/>
  <c r="E9" i="9"/>
  <c r="F9" i="9"/>
  <c r="G9" i="9"/>
  <c r="H9" i="9"/>
  <c r="I9" i="9"/>
  <c r="J9" i="9"/>
  <c r="K9" i="9"/>
  <c r="L9" i="9"/>
  <c r="M9" i="9"/>
  <c r="N9" i="9"/>
  <c r="U9" i="9"/>
  <c r="C9" i="9"/>
  <c r="D8" i="9"/>
  <c r="E8" i="9"/>
  <c r="F8" i="9"/>
  <c r="G8" i="9"/>
  <c r="H8" i="9"/>
  <c r="I8" i="9"/>
  <c r="J8" i="9"/>
  <c r="K8" i="9"/>
  <c r="L8" i="9"/>
  <c r="M8" i="9"/>
  <c r="N8" i="9"/>
  <c r="U8" i="9"/>
  <c r="C8" i="9"/>
  <c r="D7" i="9"/>
  <c r="E7" i="9"/>
  <c r="F7" i="9"/>
  <c r="G7" i="9"/>
  <c r="H7" i="9"/>
  <c r="I7" i="9"/>
  <c r="J7" i="9"/>
  <c r="K7" i="9"/>
  <c r="L7" i="9"/>
  <c r="M7" i="9"/>
  <c r="N7" i="9"/>
  <c r="U7" i="9"/>
  <c r="C7" i="9"/>
  <c r="D6" i="9"/>
  <c r="E6" i="9"/>
  <c r="F6" i="9"/>
  <c r="G6" i="9"/>
  <c r="H6" i="9"/>
  <c r="I6" i="9"/>
  <c r="J6" i="9"/>
  <c r="K6" i="9"/>
  <c r="L6" i="9"/>
  <c r="M6" i="9"/>
  <c r="N6" i="9"/>
  <c r="U6" i="9"/>
  <c r="C6" i="9"/>
  <c r="U4" i="9"/>
  <c r="U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G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L6" i="6"/>
  <c r="M6" i="6"/>
  <c r="L7" i="6"/>
  <c r="M7" i="6"/>
  <c r="L8" i="6"/>
  <c r="M8" i="6"/>
  <c r="L9" i="6"/>
  <c r="AE9" i="6" s="1"/>
  <c r="M9" i="6"/>
  <c r="AF9" i="6" s="1"/>
  <c r="L10" i="6"/>
  <c r="M10" i="6"/>
  <c r="L11" i="6"/>
  <c r="AE11" i="6" s="1"/>
  <c r="M11" i="6"/>
  <c r="L12" i="6"/>
  <c r="M12" i="6"/>
  <c r="L13" i="6"/>
  <c r="AE13" i="6" s="1"/>
  <c r="M13" i="6"/>
  <c r="AF13" i="6" s="1"/>
  <c r="L14" i="6"/>
  <c r="M14" i="6"/>
  <c r="L16" i="6"/>
  <c r="M16" i="6"/>
  <c r="L17" i="6"/>
  <c r="M17" i="6"/>
  <c r="L18" i="6"/>
  <c r="M18" i="6"/>
  <c r="L19" i="6"/>
  <c r="M19" i="6"/>
  <c r="L20" i="6"/>
  <c r="M20" i="6"/>
  <c r="L21" i="6"/>
  <c r="M21" i="6"/>
  <c r="L22" i="6"/>
  <c r="M22" i="6"/>
  <c r="L23" i="6"/>
  <c r="M23" i="6"/>
  <c r="L24" i="6"/>
  <c r="M24" i="6"/>
  <c r="L25" i="6"/>
  <c r="AE25" i="6" s="1"/>
  <c r="M25" i="6"/>
  <c r="AF25" i="6" s="1"/>
  <c r="W69" i="7"/>
  <c r="O69" i="7"/>
  <c r="N69" i="7"/>
  <c r="W68" i="7"/>
  <c r="O68" i="7"/>
  <c r="N68" i="7"/>
  <c r="W64" i="7"/>
  <c r="O64" i="7"/>
  <c r="N64" i="7"/>
  <c r="W51" i="7"/>
  <c r="O51" i="7"/>
  <c r="N51" i="7"/>
  <c r="W44" i="7"/>
  <c r="O44" i="7"/>
  <c r="N44" i="7"/>
  <c r="W40" i="7"/>
  <c r="O40" i="7"/>
  <c r="N40" i="7"/>
  <c r="W35" i="7"/>
  <c r="O35" i="7"/>
  <c r="N35" i="7"/>
  <c r="W34" i="7"/>
  <c r="O34" i="7"/>
  <c r="N34" i="7"/>
  <c r="W30" i="7"/>
  <c r="O30" i="7"/>
  <c r="N30" i="7"/>
  <c r="W29" i="7"/>
  <c r="O29" i="7"/>
  <c r="N29" i="7"/>
  <c r="W28" i="7"/>
  <c r="O28" i="7"/>
  <c r="N28" i="7"/>
  <c r="W16" i="7"/>
  <c r="O16" i="7"/>
  <c r="N16" i="7"/>
  <c r="W15" i="7"/>
  <c r="O15" i="7"/>
  <c r="N15" i="7"/>
  <c r="W14" i="7"/>
  <c r="O14" i="7"/>
  <c r="N14" i="7"/>
  <c r="W13" i="7"/>
  <c r="O13" i="7"/>
  <c r="N13" i="7"/>
  <c r="W11" i="7"/>
  <c r="O11" i="7"/>
  <c r="N11" i="7"/>
  <c r="W10" i="7"/>
  <c r="O10" i="7"/>
  <c r="N10" i="7"/>
  <c r="W9" i="7"/>
  <c r="O9" i="7"/>
  <c r="N9" i="7"/>
  <c r="W8" i="7"/>
  <c r="O8" i="7"/>
  <c r="N8" i="7"/>
  <c r="W7" i="7"/>
  <c r="O7" i="7"/>
  <c r="N7" i="7"/>
  <c r="W6" i="7"/>
  <c r="O6" i="7"/>
  <c r="N6" i="7"/>
  <c r="N20" i="7" s="1"/>
  <c r="W5" i="7"/>
  <c r="O5" i="7"/>
  <c r="O57" i="7" s="1"/>
  <c r="N5" i="7"/>
  <c r="W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W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X5" i="6" s="1"/>
  <c r="F25" i="6"/>
  <c r="F24" i="6"/>
  <c r="F23" i="6"/>
  <c r="F22" i="6"/>
  <c r="F21" i="6"/>
  <c r="F20" i="6"/>
  <c r="F19" i="6"/>
  <c r="F18" i="6"/>
  <c r="F17" i="6"/>
  <c r="F16" i="6"/>
  <c r="F14" i="6"/>
  <c r="F13" i="6"/>
  <c r="F12" i="6"/>
  <c r="F10" i="6"/>
  <c r="F9" i="6"/>
  <c r="F8" i="6"/>
  <c r="F7" i="6"/>
  <c r="F6" i="6"/>
  <c r="F5" i="6"/>
  <c r="G25" i="6"/>
  <c r="G24" i="6"/>
  <c r="G23" i="6"/>
  <c r="G22" i="6"/>
  <c r="G21" i="6"/>
  <c r="Z21" i="6" s="1"/>
  <c r="G20" i="6"/>
  <c r="G19" i="6"/>
  <c r="G18" i="6"/>
  <c r="G17" i="6"/>
  <c r="Z17" i="6" s="1"/>
  <c r="G16" i="6"/>
  <c r="G14" i="6"/>
  <c r="G13" i="6"/>
  <c r="G12" i="6"/>
  <c r="G10" i="6"/>
  <c r="G9" i="6"/>
  <c r="G8" i="6"/>
  <c r="G7" i="6"/>
  <c r="G6" i="6"/>
  <c r="G5" i="6"/>
  <c r="G31" i="6" s="1"/>
  <c r="H25" i="6"/>
  <c r="AA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C41" i="1"/>
  <c r="CQ11" i="3" s="1"/>
  <c r="CT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D25" i="6" s="1"/>
  <c r="K13" i="6"/>
  <c r="AD13" i="6" s="1"/>
  <c r="K23" i="6"/>
  <c r="K24" i="6"/>
  <c r="K21" i="6"/>
  <c r="AD21" i="6" s="1"/>
  <c r="K20" i="6"/>
  <c r="K19" i="6"/>
  <c r="K18" i="6"/>
  <c r="K17" i="6"/>
  <c r="AD17" i="6" s="1"/>
  <c r="K16" i="6"/>
  <c r="K12" i="6"/>
  <c r="K10" i="6"/>
  <c r="K9" i="6"/>
  <c r="K7" i="6"/>
  <c r="AD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C47" i="1"/>
  <c r="CQ69" i="3" s="1"/>
  <c r="CT69" i="3" s="1"/>
  <c r="U21" i="6"/>
  <c r="U11" i="6"/>
  <c r="AC46" i="1"/>
  <c r="AC45" i="1"/>
  <c r="CQ22" i="3" s="1"/>
  <c r="AC43" i="1"/>
  <c r="AC44" i="1" s="1"/>
  <c r="CQ23" i="3" s="1"/>
  <c r="CT22" i="3" s="1"/>
  <c r="CQ24" i="3" s="1"/>
  <c r="CT24" i="3" s="1"/>
  <c r="AC42" i="1"/>
  <c r="CQ13" i="3" s="1"/>
  <c r="CT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U14" i="6"/>
  <c r="R47" i="1"/>
  <c r="J32" i="6" s="1"/>
  <c r="J14" i="6"/>
  <c r="J5" i="6"/>
  <c r="Q47" i="1"/>
  <c r="I14" i="6"/>
  <c r="U8" i="6"/>
  <c r="J8" i="6"/>
  <c r="I8" i="6"/>
  <c r="I5" i="6"/>
  <c r="U5" i="6"/>
  <c r="AN5" i="6" s="1"/>
  <c r="U12" i="6"/>
  <c r="U22" i="6"/>
  <c r="U25" i="6"/>
  <c r="U16" i="6"/>
  <c r="J22" i="6"/>
  <c r="J25" i="6"/>
  <c r="J19" i="6"/>
  <c r="I22" i="6"/>
  <c r="I25" i="6"/>
  <c r="AB25" i="6" s="1"/>
  <c r="I24" i="6"/>
  <c r="U13" i="6"/>
  <c r="U27" i="6" s="1"/>
  <c r="U23" i="6"/>
  <c r="U24" i="6"/>
  <c r="J13" i="6"/>
  <c r="J27" i="6" s="1"/>
  <c r="J23" i="6"/>
  <c r="J24" i="6"/>
  <c r="I13" i="6"/>
  <c r="I27" i="6" s="1"/>
  <c r="I23" i="6"/>
  <c r="J21" i="6"/>
  <c r="I21" i="6"/>
  <c r="U20" i="6"/>
  <c r="J20" i="6"/>
  <c r="AC20" i="6" s="1"/>
  <c r="I20" i="6"/>
  <c r="U19" i="6"/>
  <c r="I19" i="6"/>
  <c r="U18" i="6"/>
  <c r="J18" i="6"/>
  <c r="I18" i="6"/>
  <c r="U17" i="6"/>
  <c r="J17" i="6"/>
  <c r="AC17" i="6" s="1"/>
  <c r="I17" i="6"/>
  <c r="J16" i="6"/>
  <c r="I16" i="6"/>
  <c r="AB16" i="6" s="1"/>
  <c r="J12" i="6"/>
  <c r="I12" i="6"/>
  <c r="U10" i="6"/>
  <c r="AN10" i="6" s="1"/>
  <c r="J10" i="6"/>
  <c r="AC10" i="6" s="1"/>
  <c r="I10" i="6"/>
  <c r="U9" i="6"/>
  <c r="J9" i="6"/>
  <c r="I9" i="6"/>
  <c r="U7" i="6"/>
  <c r="J7" i="6"/>
  <c r="I7" i="6"/>
  <c r="U6" i="6"/>
  <c r="J6" i="6"/>
  <c r="I6" i="6"/>
  <c r="AB6" i="6" s="1"/>
  <c r="K47" i="1"/>
  <c r="C25" i="6"/>
  <c r="V25" i="6" s="1"/>
  <c r="C24" i="6"/>
  <c r="C23" i="6"/>
  <c r="C22" i="6"/>
  <c r="C21" i="6"/>
  <c r="C20" i="6"/>
  <c r="C19" i="6"/>
  <c r="C18" i="6"/>
  <c r="C17" i="6"/>
  <c r="V17" i="6" s="1"/>
  <c r="C16" i="6"/>
  <c r="C14" i="6"/>
  <c r="C5" i="6"/>
  <c r="V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Q80" i="3" s="1"/>
  <c r="AN53" i="3"/>
  <c r="AN55" i="3" s="1"/>
  <c r="AI9" i="3"/>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F5" i="6"/>
  <c r="AD13" i="3"/>
  <c r="L48" i="5"/>
  <c r="U20" i="9" l="1"/>
  <c r="F32" i="7"/>
  <c r="AL80" i="3"/>
  <c r="F27" i="7"/>
  <c r="R22" i="3"/>
  <c r="O24" i="3" s="1"/>
  <c r="W22" i="3"/>
  <c r="T24" i="3" s="1"/>
  <c r="AF11" i="6"/>
  <c r="AF7" i="6"/>
  <c r="AG22" i="3"/>
  <c r="AD24" i="3" s="1"/>
  <c r="D41" i="5"/>
  <c r="M53" i="3"/>
  <c r="BK45" i="3"/>
  <c r="I21" i="9"/>
  <c r="V21" i="6"/>
  <c r="CQ72" i="3"/>
  <c r="CT71" i="3" s="1"/>
  <c r="CQ73" i="3"/>
  <c r="I47" i="5"/>
  <c r="N31" i="6"/>
  <c r="N63" i="7"/>
  <c r="E47" i="5"/>
  <c r="T14" i="3"/>
  <c r="J47" i="5"/>
  <c r="G12" i="7"/>
  <c r="C47" i="5"/>
  <c r="Y59" i="3"/>
  <c r="AI29" i="3"/>
  <c r="AL29" i="3" s="1"/>
  <c r="AN69" i="3"/>
  <c r="W63" i="7"/>
  <c r="U48" i="5"/>
  <c r="U49" i="5" s="1"/>
  <c r="W12" i="7"/>
  <c r="W18" i="7" s="1"/>
  <c r="U10" i="5"/>
  <c r="R64" i="3"/>
  <c r="M80" i="3"/>
  <c r="AV80" i="3"/>
  <c r="CJ80" i="3"/>
  <c r="BF80" i="3"/>
  <c r="AV6" i="3"/>
  <c r="G48" i="5"/>
  <c r="G49" i="5" s="1"/>
  <c r="E12" i="7"/>
  <c r="CJ43" i="3"/>
  <c r="W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U21" i="9"/>
  <c r="H33" i="7"/>
  <c r="AG43" i="3"/>
  <c r="AN8" i="6"/>
  <c r="R6" i="3"/>
  <c r="AQ22" i="3"/>
  <c r="AN24" i="3" s="1"/>
  <c r="AQ69" i="3"/>
  <c r="M22" i="3"/>
  <c r="J24" i="3" s="1"/>
  <c r="CJ53" i="3"/>
  <c r="W64" i="3"/>
  <c r="AG53" i="3"/>
  <c r="W53" i="3"/>
  <c r="Y67" i="3"/>
  <c r="AQ64" i="3"/>
  <c r="AA6" i="6"/>
  <c r="AV11" i="3"/>
  <c r="AS32" i="3"/>
  <c r="AV31" i="3" s="1"/>
  <c r="H16" i="9"/>
  <c r="C21" i="9"/>
  <c r="O17" i="3"/>
  <c r="O40" i="3"/>
  <c r="R40" i="3" s="1"/>
  <c r="AX61" i="3"/>
  <c r="O38" i="3"/>
  <c r="AS25" i="3"/>
  <c r="E18" i="3"/>
  <c r="H17" i="3" s="1"/>
  <c r="AD32" i="3"/>
  <c r="AG31" i="3" s="1"/>
  <c r="W8" i="6"/>
  <c r="D31" i="6"/>
  <c r="AC12" i="6"/>
  <c r="AN60" i="3"/>
  <c r="G20" i="7"/>
  <c r="AD49" i="3"/>
  <c r="T67" i="3"/>
  <c r="AD74" i="3"/>
  <c r="AD48" i="3"/>
  <c r="I41" i="5"/>
  <c r="J48" i="3"/>
  <c r="AS49" i="3"/>
  <c r="AI67" i="3"/>
  <c r="AS74" i="3"/>
  <c r="V20" i="6"/>
  <c r="V24" i="6"/>
  <c r="J30" i="6"/>
  <c r="G53" i="7"/>
  <c r="Y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G18" i="7"/>
  <c r="V19" i="6"/>
  <c r="V23" i="6"/>
  <c r="AB17" i="6"/>
  <c r="AB20" i="6"/>
  <c r="AB13" i="6"/>
  <c r="G26" i="7"/>
  <c r="X9" i="6"/>
  <c r="W9" i="6"/>
  <c r="F18" i="7"/>
  <c r="M18" i="9"/>
  <c r="L37" i="8"/>
  <c r="L24" i="8" s="1"/>
  <c r="AG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W6" i="6"/>
  <c r="H6" i="3"/>
  <c r="AV22" i="3"/>
  <c r="AS24" i="3" s="1"/>
  <c r="AV40" i="3"/>
  <c r="J27" i="7"/>
  <c r="AB6" i="3"/>
  <c r="AB69" i="3"/>
  <c r="AB75" i="3"/>
  <c r="Y8" i="6"/>
  <c r="Y9" i="6"/>
  <c r="X6" i="6"/>
  <c r="X10" i="6"/>
  <c r="BA40" i="3"/>
  <c r="R29" i="3"/>
  <c r="E25" i="7"/>
  <c r="AX38" i="3"/>
  <c r="BA38" i="3" s="1"/>
  <c r="AX16" i="3"/>
  <c r="BA15" i="3" s="1"/>
  <c r="AG6" i="3"/>
  <c r="O34" i="3"/>
  <c r="R33" i="3" s="1"/>
  <c r="AI38" i="3"/>
  <c r="AL38" i="3" s="1"/>
  <c r="T25" i="3"/>
  <c r="W24" i="3" s="1"/>
  <c r="T38" i="3"/>
  <c r="W38" i="3" s="1"/>
  <c r="T32" i="3"/>
  <c r="W31" i="3" s="1"/>
  <c r="T16" i="3"/>
  <c r="W15" i="3" s="1"/>
  <c r="T34" i="3"/>
  <c r="W33" i="3" s="1"/>
  <c r="W10" i="6"/>
  <c r="W12" i="6"/>
  <c r="T79" i="3"/>
  <c r="W78" i="3" s="1"/>
  <c r="E35" i="5"/>
  <c r="AA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Y7" i="6"/>
  <c r="Y5" i="6"/>
  <c r="AC13" i="6"/>
  <c r="F35" i="6"/>
  <c r="W25" i="6"/>
  <c r="P24" i="7"/>
  <c r="N37" i="8"/>
  <c r="N24" i="8" s="1"/>
  <c r="AC25" i="6"/>
  <c r="W20" i="6"/>
  <c r="Y28" i="3"/>
  <c r="I44" i="5"/>
  <c r="E54" i="7"/>
  <c r="L54" i="7"/>
  <c r="H27" i="6"/>
  <c r="AA18" i="6"/>
  <c r="H30" i="6"/>
  <c r="X24" i="6"/>
  <c r="W18" i="6"/>
  <c r="E37" i="8"/>
  <c r="E24" i="8" s="1"/>
  <c r="D28" i="6"/>
  <c r="AS67" i="3"/>
  <c r="E74" i="3"/>
  <c r="AA19" i="6"/>
  <c r="Y49" i="3"/>
  <c r="D44" i="5"/>
  <c r="AN49" i="3"/>
  <c r="E32" i="7"/>
  <c r="E53" i="7"/>
  <c r="E28" i="3"/>
  <c r="AC18" i="6"/>
  <c r="AA20" i="6"/>
  <c r="AA24" i="6"/>
  <c r="N29" i="6"/>
  <c r="F21" i="7"/>
  <c r="F25" i="7"/>
  <c r="J33" i="6"/>
  <c r="Y20" i="6"/>
  <c r="BH28" i="3"/>
  <c r="BM67" i="3"/>
  <c r="BM66" i="3"/>
  <c r="BM63" i="3"/>
  <c r="BM62" i="3"/>
  <c r="J19" i="9"/>
  <c r="F20" i="9"/>
  <c r="K50" i="7"/>
  <c r="E56" i="7"/>
  <c r="I20" i="7"/>
  <c r="F44" i="5"/>
  <c r="AG8" i="6"/>
  <c r="AG12" i="6"/>
  <c r="G16" i="9"/>
  <c r="N16" i="9"/>
  <c r="O16" i="9"/>
  <c r="V22" i="6"/>
  <c r="CJ6" i="3"/>
  <c r="Z16" i="6"/>
  <c r="Y18" i="6"/>
  <c r="F30" i="6"/>
  <c r="BM59" i="3"/>
  <c r="BM58" i="3"/>
  <c r="C43" i="5"/>
  <c r="K57" i="7"/>
  <c r="K33" i="7"/>
  <c r="E26" i="7"/>
  <c r="G44" i="5"/>
  <c r="E44" i="5"/>
  <c r="D35" i="5"/>
  <c r="F56" i="7"/>
  <c r="F54" i="7"/>
  <c r="D37" i="5"/>
  <c r="BM61" i="3"/>
  <c r="BM60" i="3"/>
  <c r="I31" i="6"/>
  <c r="Z10" i="6"/>
  <c r="AA22" i="6"/>
  <c r="X16" i="6"/>
  <c r="AB5" i="6"/>
  <c r="K27" i="6"/>
  <c r="AA13" i="6"/>
  <c r="Y12" i="6"/>
  <c r="F28" i="6"/>
  <c r="X8" i="6"/>
  <c r="X13" i="6"/>
  <c r="AD19" i="6"/>
  <c r="AD23" i="6"/>
  <c r="M31" i="6"/>
  <c r="V18" i="6"/>
  <c r="C30" i="6"/>
  <c r="AB7" i="6"/>
  <c r="AC9" i="6"/>
  <c r="AB18" i="6"/>
  <c r="AB21" i="6"/>
  <c r="J31" i="6"/>
  <c r="AD16" i="6"/>
  <c r="AD20" i="6"/>
  <c r="AD10" i="6"/>
  <c r="W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R17" i="3" s="1"/>
  <c r="T59" i="3"/>
  <c r="O70" i="3"/>
  <c r="AI79" i="3"/>
  <c r="AL78" i="3" s="1"/>
  <c r="AI28" i="3"/>
  <c r="BH32" i="3"/>
  <c r="BK31" i="3" s="1"/>
  <c r="BC79" i="3"/>
  <c r="BF78" i="3" s="1"/>
  <c r="BC34" i="3"/>
  <c r="BF33" i="3" s="1"/>
  <c r="BH63" i="3"/>
  <c r="O25" i="3"/>
  <c r="R24" i="3" s="1"/>
  <c r="T60" i="3"/>
  <c r="W60" i="3" s="1"/>
  <c r="O20" i="3"/>
  <c r="R19" i="3" s="1"/>
  <c r="O36" i="3"/>
  <c r="R35" i="3" s="1"/>
  <c r="R38" i="3"/>
  <c r="AL6" i="3"/>
  <c r="AI49" i="3"/>
  <c r="BH20" i="3"/>
  <c r="BK19" i="3" s="1"/>
  <c r="M43" i="3"/>
  <c r="E57" i="7"/>
  <c r="L53" i="7"/>
  <c r="E20" i="7"/>
  <c r="H50" i="7"/>
  <c r="G56" i="7"/>
  <c r="G54" i="7"/>
  <c r="O27" i="7"/>
  <c r="P48" i="7"/>
  <c r="L27" i="7"/>
  <c r="O19" i="7"/>
  <c r="I32" i="7"/>
  <c r="E22" i="7"/>
  <c r="L50" i="7"/>
  <c r="L19" i="7"/>
  <c r="W50" i="7"/>
  <c r="CG8" i="3"/>
  <c r="CJ8" i="3" s="1"/>
  <c r="AF10" i="6"/>
  <c r="BH14" i="3"/>
  <c r="BH34" i="3"/>
  <c r="BK33" i="3" s="1"/>
  <c r="Y72" i="3"/>
  <c r="AB71" i="3" s="1"/>
  <c r="Y14" i="3"/>
  <c r="Y27" i="3"/>
  <c r="AS8" i="3"/>
  <c r="AV8" i="3" s="1"/>
  <c r="AN9" i="6"/>
  <c r="K47" i="5"/>
  <c r="AD9" i="6"/>
  <c r="AD8" i="6"/>
  <c r="G19" i="7"/>
  <c r="Y62" i="3"/>
  <c r="AB62" i="3" s="1"/>
  <c r="W24" i="7"/>
  <c r="O20" i="7"/>
  <c r="L20" i="7"/>
  <c r="E19" i="7"/>
  <c r="T62" i="3"/>
  <c r="W62" i="3" s="1"/>
  <c r="BH29" i="3"/>
  <c r="BK29" i="3" s="1"/>
  <c r="E27" i="6"/>
  <c r="J25" i="7"/>
  <c r="Y18" i="3"/>
  <c r="AB17" i="3" s="1"/>
  <c r="AB10" i="6"/>
  <c r="U31" i="6"/>
  <c r="AS60" i="3"/>
  <c r="E49" i="5"/>
  <c r="J26" i="7"/>
  <c r="I33" i="7"/>
  <c r="AA7" i="6"/>
  <c r="AA12" i="6"/>
  <c r="W7" i="6"/>
  <c r="M29" i="6"/>
  <c r="AF12" i="6"/>
  <c r="AF8" i="6"/>
  <c r="AF6" i="6"/>
  <c r="P26" i="7"/>
  <c r="CG40" i="3"/>
  <c r="CJ40" i="3" s="1"/>
  <c r="AD5" i="6"/>
  <c r="Y58" i="3"/>
  <c r="BH16" i="3"/>
  <c r="BK15" i="3" s="1"/>
  <c r="Y16" i="3"/>
  <c r="AB15" i="3" s="1"/>
  <c r="L26" i="7"/>
  <c r="K24" i="7"/>
  <c r="AN11" i="6"/>
  <c r="AD6" i="6"/>
  <c r="AD12" i="6"/>
  <c r="AD11" i="6"/>
  <c r="E43" i="5"/>
  <c r="Y6" i="6"/>
  <c r="Y10" i="6"/>
  <c r="X7" i="6"/>
  <c r="W13" i="6"/>
  <c r="O24" i="7"/>
  <c r="P33" i="7"/>
  <c r="F22" i="8"/>
  <c r="F39" i="8" s="1"/>
  <c r="F37" i="8"/>
  <c r="F24" i="8" s="1"/>
  <c r="E34" i="5"/>
  <c r="AE17" i="6"/>
  <c r="CG79" i="3"/>
  <c r="CJ78" i="3" s="1"/>
  <c r="AN66" i="3"/>
  <c r="AQ66" i="3" s="1"/>
  <c r="F57" i="7"/>
  <c r="T56" i="3"/>
  <c r="W55" i="3" s="1"/>
  <c r="G22" i="7"/>
  <c r="CG28" i="3"/>
  <c r="J28" i="3"/>
  <c r="J33" i="8"/>
  <c r="K33" i="8"/>
  <c r="J53" i="7"/>
  <c r="T51" i="3"/>
  <c r="W50" i="3" s="1"/>
  <c r="H29" i="6"/>
  <c r="Y17" i="6"/>
  <c r="Y21" i="6"/>
  <c r="Y25" i="6"/>
  <c r="E30" i="6"/>
  <c r="W16" i="6"/>
  <c r="D37" i="8"/>
  <c r="D24" i="8" s="1"/>
  <c r="O54" i="7"/>
  <c r="AF21" i="6"/>
  <c r="AF19" i="6"/>
  <c r="L44" i="5"/>
  <c r="F21" i="9"/>
  <c r="AN74" i="3"/>
  <c r="Y22" i="6"/>
  <c r="J66" i="3"/>
  <c r="G57" i="7"/>
  <c r="G48" i="7"/>
  <c r="AN24" i="6"/>
  <c r="K45" i="5"/>
  <c r="H37" i="8"/>
  <c r="H24" i="8" s="1"/>
  <c r="I50" i="7"/>
  <c r="H44" i="5"/>
  <c r="H41" i="5"/>
  <c r="G46" i="5"/>
  <c r="F34" i="5"/>
  <c r="F35" i="5"/>
  <c r="E45" i="5"/>
  <c r="G27" i="6"/>
  <c r="BH56" i="3"/>
  <c r="BK55" i="3" s="1"/>
  <c r="Y23" i="6"/>
  <c r="M6" i="3"/>
  <c r="O66" i="3"/>
  <c r="R66" i="3" s="1"/>
  <c r="J74" i="3"/>
  <c r="J79" i="3"/>
  <c r="M78" i="3" s="1"/>
  <c r="V16" i="6"/>
  <c r="AN18" i="6"/>
  <c r="AB24" i="6"/>
  <c r="K44" i="5"/>
  <c r="AD18" i="6"/>
  <c r="AD22" i="6"/>
  <c r="M32" i="7"/>
  <c r="I37" i="8"/>
  <c r="I24" i="8" s="1"/>
  <c r="G33" i="8"/>
  <c r="G37" i="8"/>
  <c r="G24" i="8" s="1"/>
  <c r="F33" i="8"/>
  <c r="J50" i="7"/>
  <c r="J56" i="7"/>
  <c r="I53" i="7"/>
  <c r="G50" i="7"/>
  <c r="E46" i="5"/>
  <c r="AA16" i="6"/>
  <c r="Y16" i="6"/>
  <c r="Y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G21" i="7"/>
  <c r="BC14" i="3"/>
  <c r="AS58" i="3"/>
  <c r="BC32" i="3"/>
  <c r="BF31" i="3" s="1"/>
  <c r="L32" i="7"/>
  <c r="BC74" i="3"/>
  <c r="E38" i="3"/>
  <c r="H38" i="3" s="1"/>
  <c r="J46" i="5"/>
  <c r="C28" i="6"/>
  <c r="AC21" i="6"/>
  <c r="J28" i="6"/>
  <c r="AC19" i="6"/>
  <c r="T17" i="3"/>
  <c r="T8" i="3"/>
  <c r="W8" i="3" s="1"/>
  <c r="T40" i="3"/>
  <c r="T74" i="3"/>
  <c r="W6" i="3"/>
  <c r="T66" i="3"/>
  <c r="F37" i="5"/>
  <c r="W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F22" i="6"/>
  <c r="BF6" i="3"/>
  <c r="E27" i="7"/>
  <c r="E46" i="3"/>
  <c r="H45" i="3" s="1"/>
  <c r="H43" i="3"/>
  <c r="J67" i="3"/>
  <c r="E49" i="3"/>
  <c r="E79" i="3"/>
  <c r="H78" i="3" s="1"/>
  <c r="E70" i="3"/>
  <c r="E14" i="3"/>
  <c r="H13" i="3" s="1"/>
  <c r="E25" i="3"/>
  <c r="H24" i="3" s="1"/>
  <c r="E29" i="3"/>
  <c r="H29" i="3" s="1"/>
  <c r="E16" i="3"/>
  <c r="H15" i="3" s="1"/>
  <c r="E34" i="3"/>
  <c r="H33" i="3" s="1"/>
  <c r="E27" i="3"/>
  <c r="AC24" i="6"/>
  <c r="AC16" i="6"/>
  <c r="AC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W24" i="6"/>
  <c r="E22" i="8"/>
  <c r="E39" i="8" s="1"/>
  <c r="E33" i="8"/>
  <c r="D22" i="8"/>
  <c r="D39" i="8" s="1"/>
  <c r="D33" i="8"/>
  <c r="M35" i="5"/>
  <c r="BK64" i="3"/>
  <c r="N33" i="8"/>
  <c r="AE20" i="6"/>
  <c r="AI8" i="3"/>
  <c r="AL8" i="3" s="1"/>
  <c r="AL11" i="3"/>
  <c r="AB9" i="6"/>
  <c r="AN20" i="6"/>
  <c r="E10" i="5"/>
  <c r="H45" i="5"/>
  <c r="G35" i="5"/>
  <c r="X22" i="6"/>
  <c r="W19" i="6"/>
  <c r="BC69" i="3"/>
  <c r="BC72" i="3" s="1"/>
  <c r="BF71" i="3" s="1"/>
  <c r="W54" i="7"/>
  <c r="N53" i="7"/>
  <c r="AF24" i="6"/>
  <c r="M30" i="6"/>
  <c r="AF20" i="6"/>
  <c r="AF18" i="6"/>
  <c r="AF16" i="6"/>
  <c r="J17" i="9"/>
  <c r="I19" i="7"/>
  <c r="AA9" i="6"/>
  <c r="X19" i="6"/>
  <c r="W22" i="6"/>
  <c r="N50" i="7"/>
  <c r="O56" i="7"/>
  <c r="W19" i="7"/>
  <c r="O48" i="7"/>
  <c r="L30" i="6"/>
  <c r="L27" i="6"/>
  <c r="M47" i="5"/>
  <c r="AG7" i="6"/>
  <c r="W48" i="7"/>
  <c r="I48" i="7"/>
  <c r="O22" i="7"/>
  <c r="AN17" i="6"/>
  <c r="AX28" i="3"/>
  <c r="AV43" i="3"/>
  <c r="I22" i="7"/>
  <c r="AN25" i="6"/>
  <c r="AQ43" i="3"/>
  <c r="K19" i="7"/>
  <c r="K37" i="5"/>
  <c r="N54" i="7"/>
  <c r="K21" i="9"/>
  <c r="G21" i="9"/>
  <c r="O53" i="7"/>
  <c r="U30" i="6"/>
  <c r="AX49" i="3"/>
  <c r="Y56" i="3"/>
  <c r="AB55" i="3" s="1"/>
  <c r="AN19" i="6"/>
  <c r="J22" i="7"/>
  <c r="H35" i="5"/>
  <c r="AA21" i="6"/>
  <c r="Z18" i="6"/>
  <c r="H37" i="5"/>
  <c r="N32" i="7"/>
  <c r="P56" i="7"/>
  <c r="N45" i="5"/>
  <c r="K48" i="7"/>
  <c r="AN22" i="6"/>
  <c r="AX74" i="3"/>
  <c r="BA73" i="3" s="1"/>
  <c r="AN16" i="6"/>
  <c r="I33" i="8"/>
  <c r="H33" i="8"/>
  <c r="J54" i="7"/>
  <c r="I54" i="7"/>
  <c r="O33" i="7"/>
  <c r="M37" i="5"/>
  <c r="AG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N12" i="6"/>
  <c r="I10" i="5"/>
  <c r="AB22" i="3"/>
  <c r="Y24" i="3" s="1"/>
  <c r="H22" i="8"/>
  <c r="J60" i="7" s="1"/>
  <c r="G22" i="8"/>
  <c r="G39" i="8" s="1"/>
  <c r="AG29" i="3"/>
  <c r="AA10" i="6"/>
  <c r="L34" i="5"/>
  <c r="N34" i="5"/>
  <c r="K16" i="9"/>
  <c r="H20" i="9"/>
  <c r="J20" i="9"/>
  <c r="AG11" i="3"/>
  <c r="AE8" i="6"/>
  <c r="P27" i="7"/>
  <c r="J18" i="7"/>
  <c r="K63" i="7"/>
  <c r="J22" i="8"/>
  <c r="J39" i="8" s="1"/>
  <c r="W27" i="7"/>
  <c r="AN13" i="6"/>
  <c r="L32" i="6"/>
  <c r="L35" i="6" s="1"/>
  <c r="AE5" i="6"/>
  <c r="N66" i="7"/>
  <c r="M33" i="7"/>
  <c r="AN38" i="3"/>
  <c r="AN14" i="3"/>
  <c r="AX8" i="3"/>
  <c r="BA8" i="3" s="1"/>
  <c r="M20" i="7"/>
  <c r="BH27" i="3"/>
  <c r="BH38" i="3"/>
  <c r="BK38" i="3" s="1"/>
  <c r="BH25" i="3"/>
  <c r="AN58" i="3"/>
  <c r="AA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N7" i="6"/>
  <c r="K31" i="6"/>
  <c r="CG14" i="3"/>
  <c r="AA8" i="6"/>
  <c r="G29" i="6"/>
  <c r="BA11" i="3"/>
  <c r="BH70" i="3"/>
  <c r="N47" i="5"/>
  <c r="G34" i="5"/>
  <c r="G19" i="9"/>
  <c r="M24" i="7"/>
  <c r="AD62" i="3"/>
  <c r="I26" i="7"/>
  <c r="H48" i="5"/>
  <c r="H49" i="5" s="1"/>
  <c r="AD69" i="3"/>
  <c r="AD73" i="3" s="1"/>
  <c r="AN13" i="3"/>
  <c r="AB8" i="6"/>
  <c r="J35" i="6"/>
  <c r="AS27" i="3"/>
  <c r="G47" i="5"/>
  <c r="Y8" i="3"/>
  <c r="AB8" i="3" s="1"/>
  <c r="J63" i="7"/>
  <c r="AD60" i="3"/>
  <c r="AG60" i="3" s="1"/>
  <c r="Y13" i="3"/>
  <c r="L12" i="7"/>
  <c r="L18" i="7" s="1"/>
  <c r="J45" i="5"/>
  <c r="AL22" i="3"/>
  <c r="AI24" i="3" s="1"/>
  <c r="Z9" i="6"/>
  <c r="AL40" i="3"/>
  <c r="I22" i="8"/>
  <c r="I39" i="8" s="1"/>
  <c r="AG40" i="3"/>
  <c r="G18" i="9"/>
  <c r="AV38" i="3"/>
  <c r="AN40" i="3"/>
  <c r="AQ40" i="3" s="1"/>
  <c r="AV60" i="3"/>
  <c r="AG15" i="3"/>
  <c r="Y40" i="3"/>
  <c r="AB40" i="3" s="1"/>
  <c r="I12" i="7"/>
  <c r="J10" i="5"/>
  <c r="J24" i="7"/>
  <c r="Z25" i="6"/>
  <c r="Z22" i="6"/>
  <c r="K56" i="7"/>
  <c r="I56" i="7"/>
  <c r="G28" i="6"/>
  <c r="K32" i="7"/>
  <c r="Z24" i="6"/>
  <c r="Z23" i="6"/>
  <c r="Z20" i="6"/>
  <c r="G30" i="6"/>
  <c r="AS48" i="3"/>
  <c r="AQ45" i="3"/>
  <c r="J37" i="5"/>
  <c r="I46" i="5"/>
  <c r="H46" i="5"/>
  <c r="H34" i="5"/>
  <c r="Z19" i="6"/>
  <c r="J41" i="5"/>
  <c r="L33" i="8"/>
  <c r="AS56" i="3"/>
  <c r="AV55" i="3" s="1"/>
  <c r="AL53" i="3"/>
  <c r="K22" i="7"/>
  <c r="K35" i="5"/>
  <c r="AV64" i="3"/>
  <c r="I37" i="5"/>
  <c r="I20" i="9"/>
  <c r="K20" i="9"/>
  <c r="G20" i="9"/>
  <c r="CJ22" i="3"/>
  <c r="CG24" i="3" s="1"/>
  <c r="AE7" i="6"/>
  <c r="BF8" i="3"/>
  <c r="N20" i="9"/>
  <c r="AE12" i="6"/>
  <c r="BF38" i="3"/>
  <c r="BH8" i="3"/>
  <c r="BK8" i="3" s="1"/>
  <c r="BH40" i="3"/>
  <c r="BK40" i="3" s="1"/>
  <c r="BC17" i="3"/>
  <c r="CG16" i="3"/>
  <c r="CJ15" i="3" s="1"/>
  <c r="AN6" i="6"/>
  <c r="U29" i="6"/>
  <c r="CJ58" i="3"/>
  <c r="W60" i="7"/>
  <c r="BC13" i="3"/>
  <c r="W33" i="7"/>
  <c r="O26" i="7"/>
  <c r="L47" i="5"/>
  <c r="AE6" i="6"/>
  <c r="BA22" i="3"/>
  <c r="AX24" i="3" s="1"/>
  <c r="BA24" i="3" s="1"/>
  <c r="L5" i="9"/>
  <c r="L19" i="9" s="1"/>
  <c r="W32" i="7"/>
  <c r="U32" i="6"/>
  <c r="U35" i="6" s="1"/>
  <c r="AE10" i="6"/>
  <c r="L31" i="6"/>
  <c r="N43" i="5"/>
  <c r="W26" i="7"/>
  <c r="BC40" i="3"/>
  <c r="BF40" i="3" s="1"/>
  <c r="CG25" i="3"/>
  <c r="CJ24" i="3" s="1"/>
  <c r="CG18" i="3"/>
  <c r="CJ17" i="3" s="1"/>
  <c r="CG32" i="3"/>
  <c r="CJ31" i="3" s="1"/>
  <c r="BK22" i="3"/>
  <c r="BH24" i="3" s="1"/>
  <c r="P12" i="7"/>
  <c r="P18" i="7" s="1"/>
  <c r="AG6" i="6"/>
  <c r="AG10" i="6"/>
  <c r="N35" i="5"/>
  <c r="M16" i="9"/>
  <c r="M28" i="6"/>
  <c r="N48" i="7"/>
  <c r="N22" i="7"/>
  <c r="W53" i="7"/>
  <c r="BH74" i="3"/>
  <c r="AG20" i="6"/>
  <c r="AG19" i="6"/>
  <c r="N27" i="6"/>
  <c r="U28" i="6"/>
  <c r="AG18" i="6"/>
  <c r="N30" i="6"/>
  <c r="AN23" i="6"/>
  <c r="W57" i="7"/>
  <c r="BK6" i="3"/>
  <c r="BK53" i="3"/>
  <c r="W20" i="7"/>
  <c r="AX48" i="3"/>
  <c r="W56" i="7"/>
  <c r="AE23" i="6"/>
  <c r="AE21" i="6"/>
  <c r="AE19" i="6"/>
  <c r="M34" i="5"/>
  <c r="L46" i="5"/>
  <c r="L41" i="5"/>
  <c r="P50" i="7"/>
  <c r="N48" i="5"/>
  <c r="N49" i="5" s="1"/>
  <c r="P66" i="7"/>
  <c r="Z7" i="6"/>
  <c r="J38" i="3"/>
  <c r="M38" i="3" s="1"/>
  <c r="V12" i="6"/>
  <c r="F22" i="7"/>
  <c r="AE24" i="6"/>
  <c r="F33" i="7"/>
  <c r="J51" i="3"/>
  <c r="M50" i="3" s="1"/>
  <c r="L43" i="5"/>
  <c r="K27" i="7"/>
  <c r="L22" i="7"/>
  <c r="P22" i="7"/>
  <c r="C31" i="6"/>
  <c r="Z12" i="6"/>
  <c r="AE18" i="6"/>
  <c r="Z8" i="6"/>
  <c r="V13" i="6"/>
  <c r="L28" i="6"/>
  <c r="AD59" i="3"/>
  <c r="Y25" i="3"/>
  <c r="E8" i="3"/>
  <c r="H8" i="3" s="1"/>
  <c r="Y29" i="3"/>
  <c r="AB29" i="3" s="1"/>
  <c r="AD58" i="3"/>
  <c r="E40" i="3"/>
  <c r="H40" i="3" s="1"/>
  <c r="D47" i="5"/>
  <c r="J34" i="5"/>
  <c r="I45" i="5"/>
  <c r="V10" i="6"/>
  <c r="K48" i="5"/>
  <c r="K49" i="5" s="1"/>
  <c r="M66" i="7"/>
  <c r="K32" i="6"/>
  <c r="I24" i="7"/>
  <c r="H47" i="5"/>
  <c r="BH49" i="3"/>
  <c r="BH79" i="3"/>
  <c r="BK78" i="3" s="1"/>
  <c r="AB11" i="3"/>
  <c r="Y32" i="3"/>
  <c r="AB31" i="3" s="1"/>
  <c r="E21" i="7"/>
  <c r="Z5" i="6"/>
  <c r="F20" i="7"/>
  <c r="AE22" i="6"/>
  <c r="Z6" i="6"/>
  <c r="Y34" i="3"/>
  <c r="AB33" i="3" s="1"/>
  <c r="Y38" i="3"/>
  <c r="AB38" i="3" s="1"/>
  <c r="Y20" i="3"/>
  <c r="AB19" i="3" s="1"/>
  <c r="Y36" i="3"/>
  <c r="AB35" i="3" s="1"/>
  <c r="CJ69" i="3"/>
  <c r="W66" i="7"/>
  <c r="K5" i="9"/>
  <c r="K10" i="5"/>
  <c r="P53" i="7"/>
  <c r="P57" i="7"/>
  <c r="V8" i="6"/>
  <c r="L29" i="6"/>
  <c r="L48" i="7"/>
  <c r="Y60" i="3"/>
  <c r="AB60" i="3" s="1"/>
  <c r="Z13" i="6"/>
  <c r="V11" i="6"/>
  <c r="AE16" i="6"/>
  <c r="V7" i="6"/>
  <c r="AS66" i="3"/>
  <c r="AX67" i="3"/>
  <c r="H56" i="7"/>
  <c r="F41" i="5"/>
  <c r="AX58" i="3"/>
  <c r="BA58" i="3" s="1"/>
  <c r="AX70" i="3"/>
  <c r="BA69" i="3" s="1"/>
  <c r="BC60" i="3"/>
  <c r="BF60" i="3" s="1"/>
  <c r="BH61" i="3"/>
  <c r="P32" i="7"/>
  <c r="BH62" i="3"/>
  <c r="CJ62" i="3"/>
  <c r="BC58" i="3"/>
  <c r="N32" i="6"/>
  <c r="E16" i="9"/>
  <c r="F16" i="9"/>
  <c r="F24" i="7"/>
  <c r="J44" i="5"/>
  <c r="J35" i="5"/>
  <c r="M26" i="7"/>
  <c r="K22" i="8"/>
  <c r="K39" i="8" s="1"/>
  <c r="AC11" i="6"/>
  <c r="K12" i="7"/>
  <c r="K25" i="7" s="1"/>
  <c r="G10" i="5"/>
  <c r="I57" i="7"/>
  <c r="AI58" i="3"/>
  <c r="G45" i="5"/>
  <c r="G41" i="5"/>
  <c r="F50" i="7"/>
  <c r="M32" i="6"/>
  <c r="M34" i="6" s="1"/>
  <c r="L45" i="5"/>
  <c r="BC66" i="3"/>
  <c r="BF66" i="3" s="1"/>
  <c r="L10" i="5"/>
  <c r="P54" i="7"/>
  <c r="N21" i="9"/>
  <c r="V9" i="6"/>
  <c r="C27" i="6"/>
  <c r="AB19" i="6"/>
  <c r="I29" i="6"/>
  <c r="AN21" i="6"/>
  <c r="X12" i="6"/>
  <c r="G37" i="5"/>
  <c r="N12" i="7"/>
  <c r="O66" i="7"/>
  <c r="P19" i="7"/>
  <c r="BH13" i="3"/>
  <c r="V6" i="6"/>
  <c r="AB12" i="6"/>
  <c r="AI62" i="3"/>
  <c r="AL62" i="3" s="1"/>
  <c r="J18" i="9"/>
  <c r="X11" i="6"/>
  <c r="G24" i="7"/>
  <c r="H43" i="5"/>
  <c r="AF23" i="6"/>
  <c r="AF17" i="6"/>
  <c r="L37" i="5"/>
  <c r="BH67" i="3"/>
  <c r="N37" i="5"/>
  <c r="C5" i="9"/>
  <c r="C17" i="9" s="1"/>
  <c r="D27" i="6"/>
  <c r="D29" i="6"/>
  <c r="F26" i="7"/>
  <c r="F19" i="7"/>
  <c r="M11" i="3"/>
  <c r="J25" i="3"/>
  <c r="M24" i="3" s="1"/>
  <c r="O59" i="3"/>
  <c r="J36" i="3"/>
  <c r="M35" i="3" s="1"/>
  <c r="J34" i="3"/>
  <c r="M33" i="3" s="1"/>
  <c r="J27" i="3"/>
  <c r="AN73" i="3"/>
  <c r="AN75" i="3" s="1"/>
  <c r="AQ75" i="3" s="1"/>
  <c r="AN72" i="3"/>
  <c r="AQ71" i="3" s="1"/>
  <c r="F10" i="5"/>
  <c r="T13" i="3"/>
  <c r="W13" i="3" s="1"/>
  <c r="F11" i="6"/>
  <c r="Y11" i="6" s="1"/>
  <c r="H12" i="7"/>
  <c r="H18" i="7" s="1"/>
  <c r="F48" i="5"/>
  <c r="F49" i="5" s="1"/>
  <c r="T69" i="3"/>
  <c r="H66" i="7"/>
  <c r="O61" i="3"/>
  <c r="J60" i="3"/>
  <c r="M60" i="3" s="1"/>
  <c r="E18" i="7"/>
  <c r="J32" i="3"/>
  <c r="M31" i="3" s="1"/>
  <c r="I43" i="5"/>
  <c r="C48" i="5"/>
  <c r="C49" i="5" s="1"/>
  <c r="C32" i="6"/>
  <c r="E66" i="7"/>
  <c r="M19" i="7"/>
  <c r="F33" i="6"/>
  <c r="J20" i="3"/>
  <c r="M19" i="3" s="1"/>
  <c r="J18" i="3"/>
  <c r="M17" i="3" s="1"/>
  <c r="O58" i="3"/>
  <c r="AQ38" i="3"/>
  <c r="J62" i="3"/>
  <c r="M62" i="3" s="1"/>
  <c r="E63" i="7"/>
  <c r="AC5" i="6"/>
  <c r="AC8" i="6"/>
  <c r="AC6" i="6"/>
  <c r="AC7" i="6"/>
  <c r="U5" i="9"/>
  <c r="T41" i="3"/>
  <c r="W40" i="3" s="1"/>
  <c r="Y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G13" i="6"/>
  <c r="D34" i="5"/>
  <c r="D11" i="6"/>
  <c r="W11" i="6" s="1"/>
  <c r="D10" i="5"/>
  <c r="D5" i="9"/>
  <c r="J34" i="6"/>
  <c r="L66" i="7"/>
  <c r="J48" i="5"/>
  <c r="J49" i="5" s="1"/>
  <c r="J29" i="6"/>
  <c r="AB11" i="6"/>
  <c r="O13" i="3"/>
  <c r="E5" i="9"/>
  <c r="H11" i="6"/>
  <c r="AA11" i="6" s="1"/>
  <c r="H10" i="5"/>
  <c r="H5" i="9"/>
  <c r="N24" i="7"/>
  <c r="CJ60" i="3"/>
  <c r="BH60" i="3"/>
  <c r="BC59" i="3"/>
  <c r="BF58" i="3" s="1"/>
  <c r="AG11" i="6"/>
  <c r="AG9" i="6"/>
  <c r="J16" i="9"/>
  <c r="C29" i="6"/>
  <c r="I34" i="5"/>
  <c r="W22" i="7"/>
  <c r="N22" i="8"/>
  <c r="G11" i="6"/>
  <c r="Z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A23" i="6"/>
  <c r="H28" i="6"/>
  <c r="F53" i="7"/>
  <c r="F48" i="7"/>
  <c r="L56" i="7"/>
  <c r="AD24" i="6"/>
  <c r="H22" i="7"/>
  <c r="H57" i="7"/>
  <c r="BC48" i="3"/>
  <c r="AC23" i="6"/>
  <c r="D30" i="6"/>
  <c r="AI46" i="3"/>
  <c r="AL45" i="3" s="1"/>
  <c r="AL43" i="3"/>
  <c r="CG56" i="3"/>
  <c r="CJ55" i="3" s="1"/>
  <c r="CG51" i="3"/>
  <c r="CJ50" i="3" s="1"/>
  <c r="CG48" i="3"/>
  <c r="K43" i="5"/>
  <c r="K46" i="5"/>
  <c r="H54" i="7"/>
  <c r="Y46" i="3"/>
  <c r="AB45" i="3" s="1"/>
  <c r="AB43" i="3"/>
  <c r="F43" i="5"/>
  <c r="F46" i="5"/>
  <c r="X21" i="6"/>
  <c r="N56" i="7"/>
  <c r="N57" i="7"/>
  <c r="M41" i="5"/>
  <c r="BC46" i="3"/>
  <c r="BF45" i="3" s="1"/>
  <c r="BF43" i="3"/>
  <c r="AI56" i="3"/>
  <c r="AL55" i="3" s="1"/>
  <c r="AI48" i="3"/>
  <c r="AI51" i="3"/>
  <c r="AL50" i="3" s="1"/>
  <c r="I30" i="6"/>
  <c r="AB22" i="6"/>
  <c r="BC51" i="3"/>
  <c r="BF50" i="3" s="1"/>
  <c r="BC56" i="3"/>
  <c r="BF55" i="3" s="1"/>
  <c r="W59" i="7"/>
  <c r="F29" i="6"/>
  <c r="H48" i="7"/>
  <c r="K28" i="6"/>
  <c r="AB23" i="6"/>
  <c r="I28" i="6"/>
  <c r="AN56" i="3"/>
  <c r="AQ55" i="3" s="1"/>
  <c r="AQ8" i="3"/>
  <c r="AN48" i="3"/>
  <c r="AN51" i="3"/>
  <c r="AQ50" i="3" s="1"/>
  <c r="CG49" i="3"/>
  <c r="CG74" i="3"/>
  <c r="X18" i="6"/>
  <c r="E28" i="6"/>
  <c r="X20" i="6"/>
  <c r="X25" i="6"/>
  <c r="X23" i="6"/>
  <c r="X17" i="6"/>
  <c r="M37" i="8"/>
  <c r="M24" i="8" s="1"/>
  <c r="O50" i="7"/>
  <c r="AG25" i="6"/>
  <c r="AG21" i="6"/>
  <c r="AG17" i="6"/>
  <c r="N28" i="6"/>
  <c r="AG24" i="6"/>
  <c r="AG16" i="6"/>
  <c r="AX66" i="3"/>
  <c r="BH66" i="3"/>
  <c r="M46" i="5"/>
  <c r="U17" i="9" l="1"/>
  <c r="U18" i="9"/>
  <c r="U19" i="9"/>
  <c r="CQ75" i="3"/>
  <c r="CT75" i="3" s="1"/>
  <c r="CT73" i="3"/>
  <c r="AV24" i="3"/>
  <c r="AB58" i="3"/>
  <c r="R62" i="3"/>
  <c r="BF22" i="3"/>
  <c r="BC24" i="3" s="1"/>
  <c r="BF24" i="3" s="1"/>
  <c r="AV62" i="3"/>
  <c r="AQ58" i="3"/>
  <c r="W25" i="7"/>
  <c r="W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U33" i="6"/>
  <c r="U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W61" i="7"/>
</calcChain>
</file>

<file path=xl/sharedStrings.xml><?xml version="1.0" encoding="utf-8"?>
<sst xmlns="http://schemas.openxmlformats.org/spreadsheetml/2006/main" count="1674" uniqueCount="585">
  <si>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</si>
  <si>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</si>
  <si>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</si>
  <si>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</si>
  <si>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</si>
  <si>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</si>
  <si>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</si>
  <si>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</si>
  <si>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</si>
  <si>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</si>
  <si>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</si>
  <si>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</si>
  <si>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</si>
  <si>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</si>
  <si>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</si>
  <si>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</si>
  <si>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</si>
  <si>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</si>
  <si>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</si>
  <si>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</si>
  <si>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</si>
  <si>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</si>
  <si>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</si>
  <si>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</si>
  <si>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</si>
  <si>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</si>
  <si>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</si>
  <si>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</si>
  <si>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</si>
  <si>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</si>
  <si>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</si>
  <si>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</si>
  <si>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</si>
  <si>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</si>
  <si>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</si>
  <si>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</si>
  <si>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</si>
  <si>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</si>
  <si>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</si>
  <si>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</si>
  <si>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</si>
  <si>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</si>
  <si>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</si>
  <si>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</si>
  <si>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</si>
  <si>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</si>
  <si>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</si>
  <si>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</si>
  <si>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</si>
  <si>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</si>
  <si>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</si>
  <si>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</si>
  <si>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</si>
  <si>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</si>
  <si>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</si>
  <si>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</si>
  <si>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</si>
  <si>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</si>
  <si>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</si>
  <si>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</si>
  <si>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</si>
  <si>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</si>
  <si>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</si>
  <si>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</si>
  <si>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</si>
  <si>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</si>
  <si>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</si>
  <si>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</si>
  <si>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</si>
  <si>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</si>
  <si>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</si>
  <si>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</si>
  <si>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</si>
  <si>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</si>
  <si>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</si>
  <si>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</si>
  <si>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</si>
  <si>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</si>
  <si>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</si>
  <si>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</si>
  <si>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</si>
  <si>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</si>
  <si>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</si>
  <si>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</si>
  <si>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</si>
  <si>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</si>
  <si>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</si>
  <si>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</si>
  <si>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</si>
  <si>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</si>
  <si>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</si>
  <si>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</si>
  <si>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</si>
  <si>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</si>
  <si>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</si>
  <si>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</si>
  <si>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</si>
  <si>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</si>
  <si>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</si>
  <si>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</si>
  <si>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</si>
  <si>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</si>
  <si>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</si>
  <si>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</si>
  <si>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</si>
  <si>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</si>
  <si>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</si>
  <si>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</si>
  <si>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</si>
  <si>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</si>
  <si>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</si>
  <si>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</si>
  <si>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</si>
  <si>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</si>
  <si>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</si>
  <si>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</si>
  <si>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</si>
  <si>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</si>
  <si>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</si>
  <si>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</si>
  <si>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</si>
  <si>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</si>
  <si>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</si>
  <si>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</si>
  <si>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</si>
  <si>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</si>
  <si>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</si>
  <si>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</si>
  <si>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</si>
  <si>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</si>
  <si>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</si>
  <si>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</si>
  <si>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</si>
  <si>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</si>
  <si>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</si>
  <si>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</si>
  <si>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</si>
  <si>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</si>
  <si>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</si>
  <si>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</si>
  <si>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</si>
  <si>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</si>
  <si>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</si>
  <si>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</si>
  <si>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</si>
  <si>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</si>
  <si>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</si>
  <si>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</si>
  <si>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</si>
  <si>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</si>
  <si>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</si>
  <si>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</si>
  <si>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</si>
  <si>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</si>
  <si>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</si>
  <si>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</si>
  <si>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</si>
  <si>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</si>
  <si>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</si>
  <si>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</si>
  <si>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</si>
  <si>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</si>
  <si>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</si>
  <si>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</si>
  <si>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</si>
  <si>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</si>
  <si>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</si>
  <si>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</si>
  <si>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</si>
  <si>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</si>
  <si>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</si>
  <si>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</si>
  <si>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</si>
  <si>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</si>
  <si>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</si>
  <si>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</si>
  <si>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</si>
  <si>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</si>
  <si>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</si>
  <si>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</si>
  <si>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</si>
  <si>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</si>
  <si>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</si>
  <si>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</si>
  <si>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</si>
  <si>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</si>
  <si>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</si>
  <si>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</si>
  <si>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</si>
  <si>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</si>
  <si>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</si>
  <si>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</si>
  <si>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</si>
  <si>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</si>
  <si>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</si>
  <si>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</si>
  <si>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</si>
  <si>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</si>
  <si>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</si>
  <si>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</si>
  <si>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</si>
  <si>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</si>
  <si>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</si>
  <si>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</si>
  <si>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</si>
  <si>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</si>
  <si>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</si>
  <si>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</si>
  <si>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</si>
  <si>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</si>
  <si>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</si>
  <si>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</si>
  <si>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</si>
  <si>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</si>
  <si>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</si>
  <si>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</si>
  <si>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</si>
  <si>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</si>
  <si>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</si>
  <si>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</si>
  <si>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</si>
  <si>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</si>
  <si>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</si>
  <si>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</si>
  <si>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</si>
  <si>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</si>
  <si>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</si>
  <si>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</si>
  <si>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</si>
  <si>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</si>
  <si>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</si>
  <si>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</si>
  <si>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</si>
  <si>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</si>
  <si>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</si>
  <si>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</si>
  <si>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</si>
  <si>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</si>
  <si>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</si>
  <si>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</si>
  <si>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</si>
  <si>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</si>
  <si>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</si>
  <si>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</si>
  <si>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</si>
  <si>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</si>
  <si>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</si>
  <si>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</si>
  <si>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</si>
  <si>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</si>
  <si>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</si>
  <si>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</si>
  <si>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</si>
  <si>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</si>
  <si>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</si>
  <si>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</si>
  <si>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</si>
  <si>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</si>
  <si>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</si>
  <si>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</si>
  <si>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</si>
  <si>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</si>
  <si>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</si>
  <si>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</si>
  <si>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</si>
  <si>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</si>
  <si>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</si>
  <si>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</si>
  <si>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</si>
  <si>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</si>
  <si>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</si>
  <si>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</si>
  <si>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</si>
  <si>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</si>
  <si>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</si>
  <si>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</si>
  <si>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</si>
  <si>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</si>
  <si>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</si>
  <si>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</si>
  <si>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</si>
  <si>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</si>
  <si>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</si>
  <si>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</si>
  <si>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</si>
  <si>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</si>
  <si>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</si>
  <si>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</si>
  <si>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</si>
  <si>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</si>
  <si>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</si>
  <si>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</si>
  <si>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</si>
  <si>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</si>
  <si>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</si>
  <si>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</si>
  <si>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</si>
  <si>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</si>
  <si>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</si>
  <si>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</si>
  <si>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</si>
  <si>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</si>
  <si>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</si>
  <si>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</si>
  <si>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</si>
  <si>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</si>
  <si>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</si>
  <si>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</si>
  <si>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</si>
  <si>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</si>
  <si>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</si>
  <si>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</si>
  <si>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</si>
  <si>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</si>
  <si>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</si>
  <si>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</si>
  <si>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</si>
  <si>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</si>
  <si>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</si>
  <si>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</si>
  <si>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</si>
  <si>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</si>
  <si>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</si>
  <si>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</si>
  <si>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</si>
  <si>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</si>
  <si>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</si>
  <si>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</si>
  <si>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</si>
  <si>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</si>
  <si>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</si>
  <si>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</si>
  <si>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</si>
  <si>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</si>
  <si>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</si>
  <si>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</si>
  <si>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</si>
  <si>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</si>
  <si>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</si>
  <si>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</si>
  <si>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</si>
  <si>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</si>
  <si>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</si>
  <si>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</si>
  <si>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</si>
  <si>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</si>
  <si>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</si>
  <si>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</si>
  <si>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</si>
  <si>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</si>
  <si>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</si>
  <si>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</si>
  <si>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</si>
  <si>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</si>
  <si>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</si>
  <si>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</si>
  <si>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</si>
  <si>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</si>
  <si>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</si>
  <si>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</si>
  <si>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</si>
  <si>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</si>
  <si>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</si>
  <si>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</si>
  <si>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</si>
  <si>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</si>
  <si>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</si>
  <si>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</si>
  <si>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</si>
  <si>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</si>
  <si>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</si>
  <si>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</si>
  <si>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</si>
  <si>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</si>
  <si>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</si>
  <si>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</si>
  <si>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</si>
  <si>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</si>
  <si>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</si>
  <si>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</si>
  <si>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</si>
  <si>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</si>
  <si>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</si>
  <si>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</si>
  <si>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</si>
  <si>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</si>
  <si>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</si>
  <si>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</si>
  <si>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</si>
  <si>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</si>
  <si>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</si>
  <si>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</si>
  <si>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</si>
  <si>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</si>
  <si>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</si>
  <si>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</si>
  <si>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</si>
  <si>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</si>
  <si>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</si>
  <si>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</si>
  <si>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</si>
  <si>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</si>
  <si>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</si>
  <si>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</si>
  <si>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</si>
  <si>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</si>
  <si>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</si>
  <si>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</si>
  <si>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</si>
  <si>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</si>
  <si>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</si>
  <si>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</si>
  <si>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</si>
  <si>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</si>
  <si>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</si>
  <si>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</si>
  <si>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</si>
  <si>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</si>
  <si>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</si>
  <si>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</si>
  <si>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</si>
  <si>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</si>
  <si>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</si>
  <si>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</si>
  <si>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</si>
  <si>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</si>
  <si>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</si>
  <si>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</si>
  <si>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</si>
  <si>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</si>
  <si>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</si>
  <si>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</si>
  <si>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</si>
  <si>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</si>
  <si>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</si>
  <si>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</si>
  <si>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</si>
  <si>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</si>
  <si>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</si>
  <si>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</si>
  <si>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</si>
  <si>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</si>
  <si>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</si>
  <si>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</si>
  <si>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</si>
  <si>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</si>
  <si>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</si>
  <si>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</si>
  <si>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</si>
  <si>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</si>
  <si>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</si>
  <si>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</si>
  <si>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</si>
  <si>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</si>
  <si>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</si>
  <si>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</si>
  <si>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</si>
  <si>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</si>
  <si>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</si>
  <si>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</si>
  <si>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</si>
  <si>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</si>
  <si>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</si>
  <si>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</si>
  <si>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</si>
  <si>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</si>
  <si>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</si>
  <si>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</si>
  <si>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</si>
  <si>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</si>
  <si>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</si>
  <si>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</si>
  <si>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</si>
  <si>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</si>
  <si>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</si>
  <si>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</si>
  <si>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</si>
  <si>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</si>
  <si>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</si>
  <si>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</si>
  <si>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</si>
  <si>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</si>
  <si>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</si>
  <si>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</si>
  <si>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</si>
  <si>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</si>
  <si>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</si>
  <si>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</si>
  <si>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</si>
  <si>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</si>
  <si>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</si>
  <si>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</si>
  <si>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</si>
  <si>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</si>
  <si>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</si>
  <si>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</si>
  <si>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</si>
  <si>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</si>
  <si>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</si>
  <si>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</si>
  <si>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</si>
  <si>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</si>
  <si>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</si>
  <si>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</si>
  <si>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</si>
  <si>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</si>
  <si>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</si>
  <si>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</si>
  <si>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</si>
  <si>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</si>
  <si>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</si>
  <si>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</si>
  <si>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</si>
  <si>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</si>
  <si>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</si>
  <si>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</si>
  <si>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</si>
  <si>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</si>
  <si>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</si>
  <si>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</si>
  <si>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</si>
  <si>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</si>
  <si>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</si>
  <si>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</si>
  <si>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</si>
  <si>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</si>
  <si>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</si>
  <si>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</si>
  <si>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</si>
  <si>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</si>
  <si>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</si>
  <si>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</si>
  <si>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</si>
  <si>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</si>
  <si>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</si>
  <si>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</si>
  <si>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</si>
  <si>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</si>
  <si>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</si>
  <si>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</si>
  <si>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</si>
  <si>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</si>
  <si>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</si>
  <si>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</si>
  <si>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</si>
  <si>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</si>
  <si>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</si>
  <si>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</si>
  <si>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</si>
  <si>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</si>
  <si>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</si>
  <si>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</si>
  <si>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</si>
  <si>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</si>
  <si>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</si>
  <si>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</si>
  <si>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</si>
  <si>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</si>
  <si>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</si>
  <si>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</si>
  <si>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</si>
  <si>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</si>
  <si>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</si>
  <si>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</si>
  <si>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</si>
  <si>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</si>
  <si>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</si>
  <si>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</si>
  <si>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</si>
  <si>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</si>
  <si>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</si>
  <si>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</si>
  <si>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</si>
  <si>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</si>
  <si>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</si>
  <si>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</si>
  <si>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</si>
  <si>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　本資料は、中小企業庁平成16年から令和02年中小企業実態基本調査および令和03年中小企業実態基本調査（いずれも速報）をもとに作成しております。</t>
    <rPh sb="19" eb="21">
      <t>レイワ</t>
    </rPh>
    <rPh sb="37" eb="39">
      <t>レイワ</t>
    </rPh>
    <phoneticPr fontId="3"/>
  </si>
  <si>
    <t>R02年</t>
    <rPh sb="3" eb="4">
      <t>ネン</t>
    </rPh>
    <phoneticPr fontId="3"/>
  </si>
  <si>
    <t>Ｒ０３年</t>
    <rPh sb="3" eb="4">
      <t>ネン</t>
    </rPh>
    <phoneticPr fontId="3"/>
  </si>
  <si>
    <t>R04年</t>
    <rPh sb="3" eb="4">
      <t>ネン</t>
    </rPh>
    <phoneticPr fontId="3"/>
  </si>
  <si>
    <t>※　本資料は、中小企業庁平成16年から令和03年中小企業実態基本調査および令和04年中小企業実態基本調査（いずれも速報）をもとに作成しております。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7" eb="39">
      <t>レイワ</t>
    </rPh>
    <rPh sb="41" eb="42">
      <t>ネン</t>
    </rPh>
    <rPh sb="42" eb="44">
      <t>チュウショウ</t>
    </rPh>
    <rPh sb="44" eb="46">
      <t>キギョウ</t>
    </rPh>
    <rPh sb="46" eb="48">
      <t>ジッタイ</t>
    </rPh>
    <rPh sb="48" eb="50">
      <t>キホン</t>
    </rPh>
    <rPh sb="50" eb="52">
      <t>チョウサ</t>
    </rPh>
    <rPh sb="57" eb="59">
      <t>ソクホウ</t>
    </rPh>
    <rPh sb="64" eb="66">
      <t>サクセイ</t>
    </rPh>
    <phoneticPr fontId="3"/>
  </si>
  <si>
    <t>※　本資料は、中小企業庁平成16年から令和03年中小企業実態基本調査および令和04年中小企業実態基本調査（いずれも速報）をもとに作成しております。</t>
    <rPh sb="19" eb="21">
      <t>レイワ</t>
    </rPh>
    <rPh sb="37" eb="39">
      <t>レイワ</t>
    </rPh>
    <phoneticPr fontId="3"/>
  </si>
  <si>
    <t>Ｒ０４年</t>
    <rPh sb="3" eb="4">
      <t>ネン</t>
    </rPh>
    <phoneticPr fontId="3"/>
  </si>
  <si>
    <t>１３　家具・装備品製造業</t>
    <rPh sb="3" eb="5">
      <t>カグ</t>
    </rPh>
    <rPh sb="6" eb="9">
      <t>ソウビヒン</t>
    </rPh>
    <rPh sb="9" eb="12">
      <t>セイゾウギョウ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</si>
</sst>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総合評価!$C$19:$U$19</c:f>
              <c:numCache>
                <c:formatCode>#,##0;"△ "#,##0</c:formatCode>
                <c:ptCount val="19"/>
                <c:pt idx="0">
                  <c:v>51483.316856154197</c:v>
                </c:pt>
                <c:pt idx="1">
                  <c:v>49507.139812446716</c:v>
                </c:pt>
                <c:pt idx="2">
                  <c:v>48698.385233398913</c:v>
                </c:pt>
                <c:pt idx="3">
                  <c:v>65961.847335874991</c:v>
                </c:pt>
                <c:pt idx="4">
                  <c:v>50236.49470309358</c:v>
                </c:pt>
                <c:pt idx="5">
                  <c:v>66085.211136520724</c:v>
                </c:pt>
                <c:pt idx="6">
                  <c:v>85944.744137372982</c:v>
                </c:pt>
                <c:pt idx="7">
                  <c:v>31952.277555698762</c:v>
                </c:pt>
                <c:pt idx="8">
                  <c:v>45684.214792713632</c:v>
                </c:pt>
                <c:pt idx="9">
                  <c:v>48221.057189315405</c:v>
                </c:pt>
                <c:pt idx="10">
                  <c:v>46577.298463612438</c:v>
                </c:pt>
                <c:pt idx="11">
                  <c:v>80617.303997791416</c:v>
                </c:pt>
                <c:pt idx="12">
                  <c:v>86081.197080467988</c:v>
                </c:pt>
                <c:pt idx="13">
                  <c:v>53042.841968269684</c:v>
                </c:pt>
                <c:pt idx="14">
                  <c:v>89893.21682627355</c:v>
                </c:pt>
                <c:pt idx="15">
                  <c:v>59005.086002803757</c:v>
                </c:pt>
                <c:pt idx="16">
                  <c:v>77756.674858450788</c:v>
                </c:pt>
                <c:pt idx="17">
                  <c:v>84560.407182722643</c:v>
                </c:pt>
                <c:pt idx="18">
                  <c:v>65996.174331808332</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総合評価!$C$17:$U$17</c:f>
              <c:numCache>
                <c:formatCode>#,##0;"△ "#,##0</c:formatCode>
                <c:ptCount val="19"/>
                <c:pt idx="0">
                  <c:v>120535.714285714</c:v>
                </c:pt>
                <c:pt idx="1">
                  <c:v>162943.30775788578</c:v>
                </c:pt>
                <c:pt idx="2">
                  <c:v>105881.71609966896</c:v>
                </c:pt>
                <c:pt idx="3">
                  <c:v>105813.02053262552</c:v>
                </c:pt>
                <c:pt idx="4">
                  <c:v>112875.50673177226</c:v>
                </c:pt>
                <c:pt idx="5">
                  <c:v>133868.88800736287</c:v>
                </c:pt>
                <c:pt idx="6">
                  <c:v>151798.58071301051</c:v>
                </c:pt>
                <c:pt idx="7">
                  <c:v>125937.18834168522</c:v>
                </c:pt>
                <c:pt idx="8">
                  <c:v>106984.50041396102</c:v>
                </c:pt>
                <c:pt idx="9">
                  <c:v>85887.198868225911</c:v>
                </c:pt>
                <c:pt idx="10">
                  <c:v>90475.577825483648</c:v>
                </c:pt>
                <c:pt idx="11">
                  <c:v>102601.98610250725</c:v>
                </c:pt>
                <c:pt idx="12">
                  <c:v>104613.29800002038</c:v>
                </c:pt>
                <c:pt idx="13">
                  <c:v>99150.051606963752</c:v>
                </c:pt>
                <c:pt idx="14">
                  <c:v>104432.88748899485</c:v>
                </c:pt>
                <c:pt idx="15">
                  <c:v>105363.40753894871</c:v>
                </c:pt>
                <c:pt idx="16">
                  <c:v>124232.55125888449</c:v>
                </c:pt>
                <c:pt idx="17">
                  <c:v>110947.58480951225</c:v>
                </c:pt>
                <c:pt idx="18">
                  <c:v>112805.9567782326</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総合評価!$C$16:$U$16</c:f>
              <c:numCache>
                <c:formatCode>#,##0;"△ "#,##0</c:formatCode>
                <c:ptCount val="19"/>
                <c:pt idx="0">
                  <c:v>78422.763222936206</c:v>
                </c:pt>
                <c:pt idx="1">
                  <c:v>92275.895140664958</c:v>
                </c:pt>
                <c:pt idx="2">
                  <c:v>55054.604132235909</c:v>
                </c:pt>
                <c:pt idx="3">
                  <c:v>76456.304621388685</c:v>
                </c:pt>
                <c:pt idx="4">
                  <c:v>67377.820117776937</c:v>
                </c:pt>
                <c:pt idx="5">
                  <c:v>92643.730909809034</c:v>
                </c:pt>
                <c:pt idx="6">
                  <c:v>116721.95267130555</c:v>
                </c:pt>
                <c:pt idx="7">
                  <c:v>76810.998297142214</c:v>
                </c:pt>
                <c:pt idx="8">
                  <c:v>61793.223185692266</c:v>
                </c:pt>
                <c:pt idx="9">
                  <c:v>60010.636288864138</c:v>
                </c:pt>
                <c:pt idx="10">
                  <c:v>58363.310072639426</c:v>
                </c:pt>
                <c:pt idx="11">
                  <c:v>72609.115931508844</c:v>
                </c:pt>
                <c:pt idx="12">
                  <c:v>80659.66759834504</c:v>
                </c:pt>
                <c:pt idx="13">
                  <c:v>67791.462308240763</c:v>
                </c:pt>
                <c:pt idx="14">
                  <c:v>92068.569778016463</c:v>
                </c:pt>
                <c:pt idx="15">
                  <c:v>70846.15594365068</c:v>
                </c:pt>
                <c:pt idx="16">
                  <c:v>84272.693289965056</c:v>
                </c:pt>
                <c:pt idx="17">
                  <c:v>79271.706624605664</c:v>
                </c:pt>
                <c:pt idx="18">
                  <c:v>66958.220563448107</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総合評価!$C$15:$U$15</c:f>
              <c:numCache>
                <c:formatCode>#,##0;"△ "#,##0</c:formatCode>
                <c:ptCount val="19"/>
                <c:pt idx="0">
                  <c:v>93052.150271873514</c:v>
                </c:pt>
                <c:pt idx="1">
                  <c:v>120076.93947144075</c:v>
                </c:pt>
                <c:pt idx="2">
                  <c:v>99252.025378439183</c:v>
                </c:pt>
                <c:pt idx="3">
                  <c:v>95192.484801507104</c:v>
                </c:pt>
                <c:pt idx="4">
                  <c:v>95395.828214968264</c:v>
                </c:pt>
                <c:pt idx="5">
                  <c:v>107140.09009290635</c:v>
                </c:pt>
                <c:pt idx="6">
                  <c:v>120884.41984691765</c:v>
                </c:pt>
                <c:pt idx="7">
                  <c:v>81053.56271476316</c:v>
                </c:pt>
                <c:pt idx="8">
                  <c:v>89963.932836828622</c:v>
                </c:pt>
                <c:pt idx="9">
                  <c:v>73968.673083067697</c:v>
                </c:pt>
                <c:pt idx="10">
                  <c:v>78573.487896815408</c:v>
                </c:pt>
                <c:pt idx="11">
                  <c:v>110160.4696158704</c:v>
                </c:pt>
                <c:pt idx="12">
                  <c:v>109555.28674669142</c:v>
                </c:pt>
                <c:pt idx="13">
                  <c:v>83864.83564920268</c:v>
                </c:pt>
                <c:pt idx="14">
                  <c:v>102204.69344756007</c:v>
                </c:pt>
                <c:pt idx="15">
                  <c:v>93274.378375935543</c:v>
                </c:pt>
                <c:pt idx="16">
                  <c:v>117523.45572822551</c:v>
                </c:pt>
                <c:pt idx="17">
                  <c:v>115967.39856830866</c:v>
                </c:pt>
                <c:pt idx="18">
                  <c:v>111197.8044786901</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総合評価２!$C$5:$U$5</c:f>
              <c:numCache>
                <c:formatCode>#,##0;"△ "#,##0</c:formatCode>
                <c:ptCount val="19"/>
                <c:pt idx="0">
                  <c:v>178690.05190311401</c:v>
                </c:pt>
                <c:pt idx="1">
                  <c:v>228162.5106564365</c:v>
                </c:pt>
                <c:pt idx="2">
                  <c:v>185528.85343416347</c:v>
                </c:pt>
                <c:pt idx="3">
                  <c:v>167398.51104675228</c:v>
                </c:pt>
                <c:pt idx="4">
                  <c:v>173287.57670911792</c:v>
                </c:pt>
                <c:pt idx="5">
                  <c:v>177881.84871766673</c:v>
                </c:pt>
                <c:pt idx="6">
                  <c:v>171715.58089207942</c:v>
                </c:pt>
                <c:pt idx="7">
                  <c:v>149769.25517416568</c:v>
                </c:pt>
                <c:pt idx="8">
                  <c:v>157111.54862516082</c:v>
                </c:pt>
                <c:pt idx="9">
                  <c:v>150018.4249596498</c:v>
                </c:pt>
                <c:pt idx="10">
                  <c:v>150079.80754763054</c:v>
                </c:pt>
                <c:pt idx="11">
                  <c:v>165545.42591284707</c:v>
                </c:pt>
                <c:pt idx="12">
                  <c:v>176132.00737193864</c:v>
                </c:pt>
                <c:pt idx="13">
                  <c:v>168887.11406020238</c:v>
                </c:pt>
                <c:pt idx="14">
                  <c:v>186822.29642525339</c:v>
                </c:pt>
                <c:pt idx="15">
                  <c:v>164449.18406024383</c:v>
                </c:pt>
                <c:pt idx="16">
                  <c:v>210560.48789302495</c:v>
                </c:pt>
                <c:pt idx="17">
                  <c:v>189103.8323222519</c:v>
                </c:pt>
                <c:pt idx="18">
                  <c:v>206106.80664579821</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総合評価２!$C$12:$U$12</c:f>
              <c:numCache>
                <c:formatCode>#,##0;"△ "#,##0</c:formatCode>
                <c:ptCount val="19"/>
                <c:pt idx="0">
                  <c:v>1068.32056351952</c:v>
                </c:pt>
                <c:pt idx="1">
                  <c:v>-1777.4936061381075</c:v>
                </c:pt>
                <c:pt idx="2">
                  <c:v>1494.2503164568413</c:v>
                </c:pt>
                <c:pt idx="3">
                  <c:v>4432.0498402299372</c:v>
                </c:pt>
                <c:pt idx="4">
                  <c:v>1860.0379218558428</c:v>
                </c:pt>
                <c:pt idx="5">
                  <c:v>894.23853736377112</c:v>
                </c:pt>
                <c:pt idx="6">
                  <c:v>-3154.2424382950499</c:v>
                </c:pt>
                <c:pt idx="7">
                  <c:v>-67.547033838425293</c:v>
                </c:pt>
                <c:pt idx="8">
                  <c:v>2541.1832224739037</c:v>
                </c:pt>
                <c:pt idx="9">
                  <c:v>1985.8973658749958</c:v>
                </c:pt>
                <c:pt idx="10">
                  <c:v>2916.5360283739246</c:v>
                </c:pt>
                <c:pt idx="11">
                  <c:v>6499.580013040736</c:v>
                </c:pt>
                <c:pt idx="12">
                  <c:v>6610.8576718471513</c:v>
                </c:pt>
                <c:pt idx="13">
                  <c:v>4609.7749969860743</c:v>
                </c:pt>
                <c:pt idx="14">
                  <c:v>5959.5944767777009</c:v>
                </c:pt>
                <c:pt idx="15">
                  <c:v>4499.3556578553234</c:v>
                </c:pt>
                <c:pt idx="16">
                  <c:v>6407.3807974942774</c:v>
                </c:pt>
                <c:pt idx="17">
                  <c:v>4005.7256733802474</c:v>
                </c:pt>
                <c:pt idx="18">
                  <c:v>4479.7866602456052</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総合評価２!$C$31:$U$31</c:f>
              <c:numCache>
                <c:formatCode>#,##0;"△ "#,##0</c:formatCode>
                <c:ptCount val="19"/>
                <c:pt idx="0">
                  <c:v>14256.585226376335</c:v>
                </c:pt>
                <c:pt idx="1">
                  <c:v>16806.865369368803</c:v>
                </c:pt>
                <c:pt idx="2">
                  <c:v>15164.819136370706</c:v>
                </c:pt>
                <c:pt idx="3">
                  <c:v>12827.938953739524</c:v>
                </c:pt>
                <c:pt idx="4">
                  <c:v>14389.666068434486</c:v>
                </c:pt>
                <c:pt idx="5">
                  <c:v>14054.414580021878</c:v>
                </c:pt>
                <c:pt idx="6">
                  <c:v>13320.553227287051</c:v>
                </c:pt>
                <c:pt idx="7">
                  <c:v>13172.647683320149</c:v>
                </c:pt>
                <c:pt idx="8">
                  <c:v>13288.72783991112</c:v>
                </c:pt>
                <c:pt idx="9">
                  <c:v>13374.492548878656</c:v>
                </c:pt>
                <c:pt idx="10">
                  <c:v>13329.140450479716</c:v>
                </c:pt>
                <c:pt idx="11">
                  <c:v>14754.441593716076</c:v>
                </c:pt>
                <c:pt idx="12">
                  <c:v>14811.279378527339</c:v>
                </c:pt>
                <c:pt idx="13">
                  <c:v>14262.411687854035</c:v>
                </c:pt>
                <c:pt idx="14">
                  <c:v>15365.253667925583</c:v>
                </c:pt>
                <c:pt idx="15">
                  <c:v>13687.176720852214</c:v>
                </c:pt>
                <c:pt idx="16">
                  <c:v>16094.202777112763</c:v>
                </c:pt>
                <c:pt idx="17">
                  <c:v>15162.155610681453</c:v>
                </c:pt>
                <c:pt idx="18">
                  <c:v>16654.892944701714</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総合評価２!$C$35:$U$35</c:f>
              <c:numCache>
                <c:formatCode>#,##0;"△ "#,##0</c:formatCode>
                <c:ptCount val="19"/>
                <c:pt idx="0">
                  <c:v>6399.6024609559481</c:v>
                </c:pt>
                <c:pt idx="1">
                  <c:v>7233.7020087445935</c:v>
                </c:pt>
                <c:pt idx="2">
                  <c:v>6863.6743519011607</c:v>
                </c:pt>
                <c:pt idx="3">
                  <c:v>6541.4434067392749</c:v>
                </c:pt>
                <c:pt idx="4">
                  <c:v>6332.4942893548296</c:v>
                </c:pt>
                <c:pt idx="5">
                  <c:v>6992.3890068408637</c:v>
                </c:pt>
                <c:pt idx="6">
                  <c:v>6821.1838481332688</c:v>
                </c:pt>
                <c:pt idx="7">
                  <c:v>5887.679870888408</c:v>
                </c:pt>
                <c:pt idx="8">
                  <c:v>6044.1002207219426</c:v>
                </c:pt>
                <c:pt idx="9">
                  <c:v>6866.6741971465653</c:v>
                </c:pt>
                <c:pt idx="10">
                  <c:v>6173.4661418568203</c:v>
                </c:pt>
                <c:pt idx="11">
                  <c:v>6886.8188374390302</c:v>
                </c:pt>
                <c:pt idx="12">
                  <c:v>6673.9644971706612</c:v>
                </c:pt>
                <c:pt idx="13">
                  <c:v>7699.2721215006804</c:v>
                </c:pt>
                <c:pt idx="14">
                  <c:v>7385.155326766082</c:v>
                </c:pt>
                <c:pt idx="15">
                  <c:v>7164.8995313091764</c:v>
                </c:pt>
                <c:pt idx="16">
                  <c:v>8365.2146553470484</c:v>
                </c:pt>
                <c:pt idx="17">
                  <c:v>7730.9639379347254</c:v>
                </c:pt>
                <c:pt idx="18">
                  <c:v>8954.3737401253038</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30111129200955145"/>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総合評価２!$C$32:$U$32</c:f>
              <c:numCache>
                <c:formatCode>#,##0;"△ "#,##0</c:formatCode>
                <c:ptCount val="19"/>
                <c:pt idx="0">
                  <c:v>80211.725160652306</c:v>
                </c:pt>
                <c:pt idx="1">
                  <c:v>98201.513213981249</c:v>
                </c:pt>
                <c:pt idx="2">
                  <c:v>83971.303673487389</c:v>
                </c:pt>
                <c:pt idx="3">
                  <c:v>85362.729767710145</c:v>
                </c:pt>
                <c:pt idx="4">
                  <c:v>76259.072636423647</c:v>
                </c:pt>
                <c:pt idx="5">
                  <c:v>88500.241430049398</c:v>
                </c:pt>
                <c:pt idx="6">
                  <c:v>87932.049582930806</c:v>
                </c:pt>
                <c:pt idx="7">
                  <c:v>66941.244476116583</c:v>
                </c:pt>
                <c:pt idx="8">
                  <c:v>71458.905409387327</c:v>
                </c:pt>
                <c:pt idx="9">
                  <c:v>77021.811781065553</c:v>
                </c:pt>
                <c:pt idx="10">
                  <c:v>69510.304427645198</c:v>
                </c:pt>
                <c:pt idx="11">
                  <c:v>77270.38332064182</c:v>
                </c:pt>
                <c:pt idx="12">
                  <c:v>79365.106414770606</c:v>
                </c:pt>
                <c:pt idx="13">
                  <c:v>91170.264708581686</c:v>
                </c:pt>
                <c:pt idx="14">
                  <c:v>89794.266168461036</c:v>
                </c:pt>
                <c:pt idx="15">
                  <c:v>86085.09306395911</c:v>
                </c:pt>
                <c:pt idx="16">
                  <c:v>109442.12046741358</c:v>
                </c:pt>
                <c:pt idx="17">
                  <c:v>96421.310118903202</c:v>
                </c:pt>
                <c:pt idx="18">
                  <c:v>110811.72261016131</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総合評価２!$C$34:$U$34</c:f>
              <c:numCache>
                <c:formatCode>#,##0.0;"△ "#,##0.0</c:formatCode>
                <c:ptCount val="19"/>
                <c:pt idx="0">
                  <c:v>51.467446017805706</c:v>
                </c:pt>
                <c:pt idx="1">
                  <c:v>59.045406354480569</c:v>
                </c:pt>
                <c:pt idx="2">
                  <c:v>58.729174570705766</c:v>
                </c:pt>
                <c:pt idx="3">
                  <c:v>55.134190588931197</c:v>
                </c:pt>
                <c:pt idx="4">
                  <c:v>58.747906308767881</c:v>
                </c:pt>
                <c:pt idx="5">
                  <c:v>49.830599602188904</c:v>
                </c:pt>
                <c:pt idx="6">
                  <c:v>55.700088201089038</c:v>
                </c:pt>
                <c:pt idx="7">
                  <c:v>60.093995710700142</c:v>
                </c:pt>
                <c:pt idx="8">
                  <c:v>54.375586501627296</c:v>
                </c:pt>
                <c:pt idx="9">
                  <c:v>58.756249298949626</c:v>
                </c:pt>
                <c:pt idx="10">
                  <c:v>51.818549933239531</c:v>
                </c:pt>
                <c:pt idx="11">
                  <c:v>52.94947481719268</c:v>
                </c:pt>
                <c:pt idx="12">
                  <c:v>50.486834114086534</c:v>
                </c:pt>
                <c:pt idx="13">
                  <c:v>51.392540818382628</c:v>
                </c:pt>
                <c:pt idx="14">
                  <c:v>49.234146706537452</c:v>
                </c:pt>
                <c:pt idx="15">
                  <c:v>53.214609853638869</c:v>
                </c:pt>
                <c:pt idx="16">
                  <c:v>44.829755907566657</c:v>
                </c:pt>
                <c:pt idx="17">
                  <c:v>48.747411298588958</c:v>
                </c:pt>
                <c:pt idx="18">
                  <c:v>44.269897026144342</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Lベンチマーク!$C$16:$U$16</c:f>
              <c:numCache>
                <c:formatCode>0.0%</c:formatCode>
                <c:ptCount val="19"/>
                <c:pt idx="1">
                  <c:v>0.27686185227673743</c:v>
                </c:pt>
                <c:pt idx="2">
                  <c:v>-0.18685653966382809</c:v>
                </c:pt>
                <c:pt idx="3">
                  <c:v>-9.7722494651458103E-2</c:v>
                </c:pt>
                <c:pt idx="4">
                  <c:v>3.5179916628534924E-2</c:v>
                </c:pt>
                <c:pt idx="5">
                  <c:v>2.6512414194935552E-2</c:v>
                </c:pt>
                <c:pt idx="6">
                  <c:v>-3.4664963682575434E-2</c:v>
                </c:pt>
                <c:pt idx="7">
                  <c:v>-0.12780625732330408</c:v>
                </c:pt>
                <c:pt idx="8">
                  <c:v>4.9024036625252787E-2</c:v>
                </c:pt>
                <c:pt idx="9">
                  <c:v>-4.514705460916757E-2</c:v>
                </c:pt>
                <c:pt idx="10">
                  <c:v>4.0916699396920109E-4</c:v>
                </c:pt>
                <c:pt idx="11">
                  <c:v>0.10304929502463711</c:v>
                </c:pt>
                <c:pt idx="12">
                  <c:v>6.3949706859705024E-2</c:v>
                </c:pt>
                <c:pt idx="13">
                  <c:v>-4.1133314834919221E-2</c:v>
                </c:pt>
                <c:pt idx="14">
                  <c:v>0.10619627474158699</c:v>
                </c:pt>
                <c:pt idx="15">
                  <c:v>-0.11975611473098935</c:v>
                </c:pt>
                <c:pt idx="16">
                  <c:v>0.28039849571943654</c:v>
                </c:pt>
                <c:pt idx="17">
                  <c:v>-0.10190257339104425</c:v>
                </c:pt>
                <c:pt idx="18">
                  <c:v>8.9913430704944952E-2</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Lベンチマーク!$C$17:$U$17</c:f>
              <c:numCache>
                <c:formatCode>0.0%</c:formatCode>
                <c:ptCount val="19"/>
                <c:pt idx="0">
                  <c:v>6.8588139961565419E-3</c:v>
                </c:pt>
                <c:pt idx="1">
                  <c:v>-2.2764244349923147E-3</c:v>
                </c:pt>
                <c:pt idx="2">
                  <c:v>7.9646604085400526E-3</c:v>
                </c:pt>
                <c:pt idx="3">
                  <c:v>1.7093240894223025E-2</c:v>
                </c:pt>
                <c:pt idx="4">
                  <c:v>3.7038212610539063E-3</c:v>
                </c:pt>
                <c:pt idx="5">
                  <c:v>2.8790617648990105E-3</c:v>
                </c:pt>
                <c:pt idx="6">
                  <c:v>-2.2195534808443988E-2</c:v>
                </c:pt>
                <c:pt idx="7">
                  <c:v>-6.4680355564046494E-3</c:v>
                </c:pt>
                <c:pt idx="8">
                  <c:v>1.2142545719040214E-2</c:v>
                </c:pt>
                <c:pt idx="9">
                  <c:v>8.7199411150353894E-3</c:v>
                </c:pt>
                <c:pt idx="10">
                  <c:v>1.8825853377671301E-2</c:v>
                </c:pt>
                <c:pt idx="11">
                  <c:v>2.3961830198924641E-2</c:v>
                </c:pt>
                <c:pt idx="12">
                  <c:v>2.5897842434561627E-2</c:v>
                </c:pt>
                <c:pt idx="13">
                  <c:v>2.1406599130034006E-2</c:v>
                </c:pt>
                <c:pt idx="14">
                  <c:v>2.6695257433588516E-2</c:v>
                </c:pt>
                <c:pt idx="15">
                  <c:v>1.9998702363042131E-2</c:v>
                </c:pt>
                <c:pt idx="16">
                  <c:v>2.0354266860826087E-2</c:v>
                </c:pt>
                <c:pt idx="17">
                  <c:v>2.9113159828804808E-3</c:v>
                </c:pt>
                <c:pt idx="18">
                  <c:v>6.8174012924841973E-3</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Lベンチマーク!$C$18:$U$18</c:f>
              <c:numCache>
                <c:formatCode>#,##0_ ;[Red]\-#,##0\ </c:formatCode>
                <c:ptCount val="19"/>
                <c:pt idx="0">
                  <c:v>97.783266288068589</c:v>
                </c:pt>
                <c:pt idx="1">
                  <c:v>-38.25955900245728</c:v>
                </c:pt>
                <c:pt idx="2">
                  <c:v>120.78263457812231</c:v>
                </c:pt>
                <c:pt idx="3">
                  <c:v>219.27105071265694</c:v>
                </c:pt>
                <c:pt idx="4">
                  <c:v>53.296751123733628</c:v>
                </c:pt>
                <c:pt idx="5">
                  <c:v>40.463527645380175</c:v>
                </c:pt>
                <c:pt idx="6">
                  <c:v>-295.65680282398063</c:v>
                </c:pt>
                <c:pt idx="7">
                  <c:v>-85.201153587706045</c:v>
                </c:pt>
                <c:pt idx="8">
                  <c:v>161.35898534400329</c:v>
                </c:pt>
                <c:pt idx="9">
                  <c:v>116.62478746970145</c:v>
                </c:pt>
                <c:pt idx="10">
                  <c:v>250.9324437711187</c:v>
                </c:pt>
                <c:pt idx="11">
                  <c:v>353.54342414857564</c:v>
                </c:pt>
                <c:pt idx="12">
                  <c:v>383.58017959937285</c:v>
                </c:pt>
                <c:pt idx="13">
                  <c:v>305.30972962940308</c:v>
                </c:pt>
                <c:pt idx="14">
                  <c:v>410.17940219766365</c:v>
                </c:pt>
                <c:pt idx="15">
                  <c:v>273.72577343068241</c:v>
                </c:pt>
                <c:pt idx="16">
                  <c:v>327.58569823760149</c:v>
                </c:pt>
                <c:pt idx="17">
                  <c:v>44.141825964297873</c:v>
                </c:pt>
                <c:pt idx="18">
                  <c:v>113.54308868739541</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Lベンチマーク!$C$19:$U$19</c:f>
              <c:numCache>
                <c:formatCode>#,##0.0_ ;[Red]\-#,##0.0\ </c:formatCode>
                <c:ptCount val="19"/>
                <c:pt idx="0">
                  <c:v>7.8486669287567761</c:v>
                </c:pt>
                <c:pt idx="1">
                  <c:v>30.220781056723848</c:v>
                </c:pt>
                <c:pt idx="2">
                  <c:v>6.8878696107916797</c:v>
                </c:pt>
                <c:pt idx="3">
                  <c:v>4.7354179429636707</c:v>
                </c:pt>
                <c:pt idx="4">
                  <c:v>13.008615722266038</c:v>
                </c:pt>
                <c:pt idx="5">
                  <c:v>12.669484455343261</c:v>
                </c:pt>
                <c:pt idx="6">
                  <c:v>118.1339361557358</c:v>
                </c:pt>
                <c:pt idx="7">
                  <c:v>32.557447329308701</c:v>
                </c:pt>
                <c:pt idx="8">
                  <c:v>9.4915323008197188</c:v>
                </c:pt>
                <c:pt idx="9">
                  <c:v>8.0390856030978561</c:v>
                </c:pt>
                <c:pt idx="10">
                  <c:v>4.9242625097930235</c:v>
                </c:pt>
                <c:pt idx="11">
                  <c:v>4.1805483555027472</c:v>
                </c:pt>
                <c:pt idx="12">
                  <c:v>2.9674015573369865</c:v>
                </c:pt>
                <c:pt idx="13">
                  <c:v>4.6691573262253483</c:v>
                </c:pt>
                <c:pt idx="14">
                  <c:v>2.515962764449224</c:v>
                </c:pt>
                <c:pt idx="15">
                  <c:v>5.1365478667158451</c:v>
                </c:pt>
                <c:pt idx="16">
                  <c:v>4.2458216695732744</c:v>
                </c:pt>
                <c:pt idx="17">
                  <c:v>4.1625275129790156</c:v>
                </c:pt>
                <c:pt idx="18">
                  <c:v>4.8950496170029885</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Lベンチマーク!$C$20:$U$20</c:f>
              <c:numCache>
                <c:formatCode>#,##0.0_ ;[Red]\-#,##0.0\ </c:formatCode>
                <c:ptCount val="19"/>
                <c:pt idx="0">
                  <c:v>1.7819415324034966</c:v>
                </c:pt>
                <c:pt idx="1">
                  <c:v>2.3013389990177839</c:v>
                </c:pt>
                <c:pt idx="2">
                  <c:v>2.122420633311302</c:v>
                </c:pt>
                <c:pt idx="3">
                  <c:v>2.040143891444377</c:v>
                </c:pt>
                <c:pt idx="4">
                  <c:v>2.5362199589295393</c:v>
                </c:pt>
                <c:pt idx="5">
                  <c:v>2.6445694685917429</c:v>
                </c:pt>
                <c:pt idx="6">
                  <c:v>2.7229637216007867</c:v>
                </c:pt>
                <c:pt idx="7">
                  <c:v>2.0632748153543559</c:v>
                </c:pt>
                <c:pt idx="8">
                  <c:v>2.8937082822581526</c:v>
                </c:pt>
                <c:pt idx="9">
                  <c:v>2.5952220859910784</c:v>
                </c:pt>
                <c:pt idx="10">
                  <c:v>1.941689520555717</c:v>
                </c:pt>
                <c:pt idx="11">
                  <c:v>3.0675454716838901</c:v>
                </c:pt>
                <c:pt idx="12">
                  <c:v>2.1582341368406874</c:v>
                </c:pt>
                <c:pt idx="13">
                  <c:v>2.0268822734503731</c:v>
                </c:pt>
                <c:pt idx="14">
                  <c:v>1.6604110271730892</c:v>
                </c:pt>
                <c:pt idx="15">
                  <c:v>2.1901392644923643</c:v>
                </c:pt>
                <c:pt idx="16">
                  <c:v>2.0064767539137418</c:v>
                </c:pt>
                <c:pt idx="17">
                  <c:v>1.8745671170024798</c:v>
                </c:pt>
                <c:pt idx="18">
                  <c:v>1.7693008174871707</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Lベンチマーク!$C$21:$U$21</c:f>
              <c:numCache>
                <c:formatCode>0.0%</c:formatCode>
                <c:ptCount val="19"/>
                <c:pt idx="0">
                  <c:v>0.29928849450206862</c:v>
                </c:pt>
                <c:pt idx="1">
                  <c:v>0.23302911515899347</c:v>
                </c:pt>
                <c:pt idx="2">
                  <c:v>0.31503657206479863</c:v>
                </c:pt>
                <c:pt idx="3">
                  <c:v>0.38400173526182546</c:v>
                </c:pt>
                <c:pt idx="4">
                  <c:v>0.30798772782611034</c:v>
                </c:pt>
                <c:pt idx="5">
                  <c:v>0.33050190728506607</c:v>
                </c:pt>
                <c:pt idx="6">
                  <c:v>0.36150223856530855</c:v>
                </c:pt>
                <c:pt idx="7">
                  <c:v>0.20237118020568443</c:v>
                </c:pt>
                <c:pt idx="8">
                  <c:v>0.29923756632698989</c:v>
                </c:pt>
                <c:pt idx="9">
                  <c:v>0.35956814745712135</c:v>
                </c:pt>
                <c:pt idx="10">
                  <c:v>0.33984911316536981</c:v>
                </c:pt>
                <c:pt idx="11">
                  <c:v>0.44000445560977541</c:v>
                </c:pt>
                <c:pt idx="12">
                  <c:v>0.45140892527670928</c:v>
                </c:pt>
                <c:pt idx="13">
                  <c:v>0.34852377612525676</c:v>
                </c:pt>
                <c:pt idx="14">
                  <c:v>0.46258950717415553</c:v>
                </c:pt>
                <c:pt idx="15">
                  <c:v>0.35898051220999627</c:v>
                </c:pt>
                <c:pt idx="16">
                  <c:v>0.384954565909778</c:v>
                </c:pt>
                <c:pt idx="17">
                  <c:v>0.43251637092196815</c:v>
                </c:pt>
                <c:pt idx="18">
                  <c:v>0.36910172111534861</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PL!$K$4:$AC$4</c:f>
              <c:numCache>
                <c:formatCode>##\ ###\ ###\ ##0;[&lt;-999]\-#\ ###\ ##0;#\ ##0</c:formatCode>
                <c:ptCount val="19"/>
                <c:pt idx="0">
                  <c:v>8092</c:v>
                </c:pt>
                <c:pt idx="1">
                  <c:v>9384</c:v>
                </c:pt>
                <c:pt idx="2">
                  <c:v>9092.3233300636293</c:v>
                </c:pt>
                <c:pt idx="3">
                  <c:v>7858.9640690037304</c:v>
                </c:pt>
                <c:pt idx="4">
                  <c:v>8515.77889094893</c:v>
                </c:pt>
                <c:pt idx="5">
                  <c:v>8251.3727196559394</c:v>
                </c:pt>
                <c:pt idx="6">
                  <c:v>7272.9007589827597</c:v>
                </c:pt>
                <c:pt idx="7">
                  <c:v>8544.9472375593377</c:v>
                </c:pt>
                <c:pt idx="8">
                  <c:v>8225.3540949999933</c:v>
                </c:pt>
                <c:pt idx="9">
                  <c:v>8854.8999305324778</c:v>
                </c:pt>
                <c:pt idx="10">
                  <c:v>8770.0307843999981</c:v>
                </c:pt>
                <c:pt idx="11">
                  <c:v>8686.5756708000627</c:v>
                </c:pt>
                <c:pt idx="12">
                  <c:v>8604.5058003000322</c:v>
                </c:pt>
                <c:pt idx="13">
                  <c:v>8523.7930070000093</c:v>
                </c:pt>
                <c:pt idx="14">
                  <c:v>8289.3677795999847</c:v>
                </c:pt>
                <c:pt idx="15">
                  <c:v>8279</c:v>
                </c:pt>
                <c:pt idx="16">
                  <c:v>8301</c:v>
                </c:pt>
                <c:pt idx="17">
                  <c:v>8242</c:v>
                </c:pt>
                <c:pt idx="18">
                  <c:v>8306</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PL!$K$3:$AC$3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PL!$K$5:$AC$5</c:f>
              <c:numCache>
                <c:formatCode>0.0</c:formatCode>
                <c:ptCount val="19"/>
                <c:pt idx="0">
                  <c:v>12.533860603064801</c:v>
                </c:pt>
                <c:pt idx="1">
                  <c:v>13.575554134697358</c:v>
                </c:pt>
                <c:pt idx="2">
                  <c:v>12.234161961694509</c:v>
                </c:pt>
                <c:pt idx="3">
                  <c:v>13.049525075729587</c:v>
                </c:pt>
                <c:pt idx="4">
                  <c:v>12.042501603928507</c:v>
                </c:pt>
                <c:pt idx="5">
                  <c:v>12.65665301851298</c:v>
                </c:pt>
                <c:pt idx="6">
                  <c:v>12.891024716625235</c:v>
                </c:pt>
                <c:pt idx="7">
                  <c:v>11.369715396230543</c:v>
                </c:pt>
                <c:pt idx="8">
                  <c:v>11.822918680996302</c:v>
                </c:pt>
                <c:pt idx="9">
                  <c:v>11.216756404879648</c:v>
                </c:pt>
                <c:pt idx="10">
                  <c:v>11.259526306681627</c:v>
                </c:pt>
                <c:pt idx="11">
                  <c:v>11.220040071415035</c:v>
                </c:pt>
                <c:pt idx="12">
                  <c:v>11.891748367618137</c:v>
                </c:pt>
                <c:pt idx="13">
                  <c:v>11.841413482968505</c:v>
                </c:pt>
                <c:pt idx="14">
                  <c:v>12.158751196879896</c:v>
                </c:pt>
                <c:pt idx="15">
                  <c:v>12.014836033329496</c:v>
                </c:pt>
                <c:pt idx="16">
                  <c:v>13.08300204794603</c:v>
                </c:pt>
                <c:pt idx="17">
                  <c:v>12.472094151904878</c:v>
                </c:pt>
                <c:pt idx="18">
                  <c:v>12.375150493619071</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総合評価!$C$5:$U$5</c:f>
              <c:numCache>
                <c:formatCode>#,##0;"△ "#,##0</c:formatCode>
                <c:ptCount val="19"/>
                <c:pt idx="0">
                  <c:v>178690.05190311401</c:v>
                </c:pt>
                <c:pt idx="1">
                  <c:v>228162.5106564365</c:v>
                </c:pt>
                <c:pt idx="2">
                  <c:v>185528.85343416347</c:v>
                </c:pt>
                <c:pt idx="3">
                  <c:v>167398.51104675228</c:v>
                </c:pt>
                <c:pt idx="4">
                  <c:v>173287.57670911792</c:v>
                </c:pt>
                <c:pt idx="5">
                  <c:v>177881.84871766673</c:v>
                </c:pt>
                <c:pt idx="6">
                  <c:v>171715.58089207942</c:v>
                </c:pt>
                <c:pt idx="7">
                  <c:v>149769.25517416568</c:v>
                </c:pt>
                <c:pt idx="8">
                  <c:v>157111.54862516082</c:v>
                </c:pt>
                <c:pt idx="9">
                  <c:v>150018.4249596498</c:v>
                </c:pt>
                <c:pt idx="10">
                  <c:v>150079.80754763054</c:v>
                </c:pt>
                <c:pt idx="11">
                  <c:v>165545.42591284707</c:v>
                </c:pt>
                <c:pt idx="12">
                  <c:v>176132.00737193864</c:v>
                </c:pt>
                <c:pt idx="13">
                  <c:v>168887.11406020238</c:v>
                </c:pt>
                <c:pt idx="14">
                  <c:v>186822.29642525339</c:v>
                </c:pt>
                <c:pt idx="15">
                  <c:v>164449.18406024383</c:v>
                </c:pt>
                <c:pt idx="16">
                  <c:v>210560.48789302495</c:v>
                </c:pt>
                <c:pt idx="17">
                  <c:v>189103.8323222519</c:v>
                </c:pt>
                <c:pt idx="18">
                  <c:v>206106.80664579821</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総合評価!$C$12:$U$12</c:f>
              <c:numCache>
                <c:formatCode>#,##0;"△ "#,##0</c:formatCode>
                <c:ptCount val="19"/>
                <c:pt idx="0">
                  <c:v>262.13049925852704</c:v>
                </c:pt>
                <c:pt idx="1">
                  <c:v>-3023.0179028132989</c:v>
                </c:pt>
                <c:pt idx="2">
                  <c:v>-894.82432958880952</c:v>
                </c:pt>
                <c:pt idx="3">
                  <c:v>2394.2914137799667</c:v>
                </c:pt>
                <c:pt idx="4">
                  <c:v>-71.154623444265027</c:v>
                </c:pt>
                <c:pt idx="5">
                  <c:v>-1020.8177197785333</c:v>
                </c:pt>
                <c:pt idx="6">
                  <c:v>-3410.8637068218663</c:v>
                </c:pt>
                <c:pt idx="7">
                  <c:v>-1787.6439813067707</c:v>
                </c:pt>
                <c:pt idx="8">
                  <c:v>2387.6276188729912</c:v>
                </c:pt>
                <c:pt idx="9">
                  <c:v>815.09272825836979</c:v>
                </c:pt>
                <c:pt idx="10">
                  <c:v>1660.7831953967716</c:v>
                </c:pt>
                <c:pt idx="11">
                  <c:v>4853.7789577215972</c:v>
                </c:pt>
                <c:pt idx="12">
                  <c:v>4284.6193742702008</c:v>
                </c:pt>
                <c:pt idx="13">
                  <c:v>2672.0849068085427</c:v>
                </c:pt>
                <c:pt idx="14">
                  <c:v>3426.7410584693539</c:v>
                </c:pt>
                <c:pt idx="15">
                  <c:v>2247.6164599016452</c:v>
                </c:pt>
                <c:pt idx="16">
                  <c:v>3683.5410191543187</c:v>
                </c:pt>
                <c:pt idx="17">
                  <c:v>98201.491992234907</c:v>
                </c:pt>
                <c:pt idx="18">
                  <c:v>2690.3723814110281</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総合評価!$C$10:$U$10</c:f>
              <c:numCache>
                <c:formatCode>#,##0;"△ "#,##0</c:formatCode>
                <c:ptCount val="19"/>
                <c:pt idx="0">
                  <c:v>1225.6018289670174</c:v>
                </c:pt>
                <c:pt idx="1">
                  <c:v>-519.3947144075064</c:v>
                </c:pt>
                <c:pt idx="2">
                  <c:v>1477.6743135889119</c:v>
                </c:pt>
                <c:pt idx="3">
                  <c:v>2861.3830746563908</c:v>
                </c:pt>
                <c:pt idx="4">
                  <c:v>641.82621089174063</c:v>
                </c:pt>
                <c:pt idx="5">
                  <c:v>512.13282931258436</c:v>
                </c:pt>
                <c:pt idx="6">
                  <c:v>-3811.3191528423281</c:v>
                </c:pt>
                <c:pt idx="7">
                  <c:v>-968.71286772274459</c:v>
                </c:pt>
                <c:pt idx="8">
                  <c:v>1907.7341621702251</c:v>
                </c:pt>
                <c:pt idx="9">
                  <c:v>1308.1518318185015</c:v>
                </c:pt>
                <c:pt idx="10">
                  <c:v>2825.3804518408192</c:v>
                </c:pt>
                <c:pt idx="11">
                  <c:v>3966.7713859323007</c:v>
                </c:pt>
                <c:pt idx="12">
                  <c:v>4561.438974601514</c:v>
                </c:pt>
                <c:pt idx="13">
                  <c:v>3615.2987489150823</c:v>
                </c:pt>
                <c:pt idx="14">
                  <c:v>4987.2692974063229</c:v>
                </c:pt>
                <c:pt idx="15">
                  <c:v>3288.7702858659486</c:v>
                </c:pt>
                <c:pt idx="16">
                  <c:v>4285.8043609203705</c:v>
                </c:pt>
                <c:pt idx="17">
                  <c:v>550.54100946372239</c:v>
                </c:pt>
                <c:pt idx="18">
                  <c:v>1405.1128100168553</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総合評価!$C$9:$U$9</c:f>
              <c:numCache>
                <c:formatCode>#,##0;"△ "#,##0</c:formatCode>
                <c:ptCount val="19"/>
                <c:pt idx="0">
                  <c:v>23775.292881858597</c:v>
                </c:pt>
                <c:pt idx="1">
                  <c:v>29663.789428815002</c:v>
                </c:pt>
                <c:pt idx="2">
                  <c:v>20777.48694537648</c:v>
                </c:pt>
                <c:pt idx="3">
                  <c:v>20734.257295742143</c:v>
                </c:pt>
                <c:pt idx="4">
                  <c:v>20896.327236611924</c:v>
                </c:pt>
                <c:pt idx="5">
                  <c:v>23547.722031886202</c:v>
                </c:pt>
                <c:pt idx="6">
                  <c:v>23088.292590698613</c:v>
                </c:pt>
                <c:pt idx="7">
                  <c:v>19798.035253021222</c:v>
                </c:pt>
                <c:pt idx="8">
                  <c:v>19652.359345344823</c:v>
                </c:pt>
                <c:pt idx="9">
                  <c:v>18689.158892140302</c:v>
                </c:pt>
                <c:pt idx="10">
                  <c:v>21115.295209182212</c:v>
                </c:pt>
                <c:pt idx="11">
                  <c:v>23375.052633482752</c:v>
                </c:pt>
                <c:pt idx="12">
                  <c:v>22540.625517323799</c:v>
                </c:pt>
                <c:pt idx="13">
                  <c:v>23857.529595411943</c:v>
                </c:pt>
                <c:pt idx="14">
                  <c:v>21134.472650974018</c:v>
                </c:pt>
                <c:pt idx="15">
                  <c:v>20651.003578089367</c:v>
                </c:pt>
                <c:pt idx="16">
                  <c:v>28410.749789182028</c:v>
                </c:pt>
                <c:pt idx="17">
                  <c:v>26344.500970638197</c:v>
                </c:pt>
                <c:pt idx="18">
                  <c:v>22640.849024801348</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総合評価!$C$8:$U$8</c:f>
              <c:numCache>
                <c:formatCode>#,##0;"△ "#,##0</c:formatCode>
                <c:ptCount val="19"/>
                <c:pt idx="0">
                  <c:v>13927.904102817569</c:v>
                </c:pt>
                <c:pt idx="1">
                  <c:v>11114.876385336742</c:v>
                </c:pt>
                <c:pt idx="2">
                  <c:v>12443.005594287531</c:v>
                </c:pt>
                <c:pt idx="3">
                  <c:v>14745.020340546667</c:v>
                </c:pt>
                <c:pt idx="4">
                  <c:v>9985.9977337336531</c:v>
                </c:pt>
                <c:pt idx="5">
                  <c:v>20378.57390910442</c:v>
                </c:pt>
                <c:pt idx="6">
                  <c:v>19727.119840745399</c:v>
                </c:pt>
                <c:pt idx="7">
                  <c:v>7927.935592095243</c:v>
                </c:pt>
                <c:pt idx="8">
                  <c:v>11134.997895553262</c:v>
                </c:pt>
                <c:pt idx="9">
                  <c:v>11801.79804052952</c:v>
                </c:pt>
                <c:pt idx="10">
                  <c:v>9592.6225199019718</c:v>
                </c:pt>
                <c:pt idx="11">
                  <c:v>9034.6148684017116</c:v>
                </c:pt>
                <c:pt idx="12">
                  <c:v>12362.483719234073</c:v>
                </c:pt>
                <c:pt idx="13">
                  <c:v>16901.754177557246</c:v>
                </c:pt>
                <c:pt idx="14">
                  <c:v>19485.190123931687</c:v>
                </c:pt>
                <c:pt idx="15">
                  <c:v>16347.16785450781</c:v>
                </c:pt>
                <c:pt idx="16">
                  <c:v>27711.719310926372</c:v>
                </c:pt>
                <c:pt idx="17">
                  <c:v>22544.345668527068</c:v>
                </c:pt>
                <c:pt idx="18">
                  <c:v>37747.155550204654</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総合評価!$C$7:$U$7</c:f>
              <c:numCache>
                <c:formatCode>#,##0;"△ "#,##0</c:formatCode>
                <c:ptCount val="19"/>
                <c:pt idx="0">
                  <c:v>41282.926347009401</c:v>
                </c:pt>
                <c:pt idx="1">
                  <c:v>57942.242114237</c:v>
                </c:pt>
                <c:pt idx="2">
                  <c:v>49273.13682023478</c:v>
                </c:pt>
                <c:pt idx="3">
                  <c:v>47022.069056764842</c:v>
                </c:pt>
                <c:pt idx="4">
                  <c:v>44734.921455186668</c:v>
                </c:pt>
                <c:pt idx="5">
                  <c:v>44061.812659746138</c:v>
                </c:pt>
                <c:pt idx="6">
                  <c:v>48927.956304329447</c:v>
                </c:pt>
                <c:pt idx="7">
                  <c:v>40183.98649872285</c:v>
                </c:pt>
                <c:pt idx="8">
                  <c:v>38763.814006318964</c:v>
                </c:pt>
                <c:pt idx="9">
                  <c:v>45222.703016577274</c:v>
                </c:pt>
                <c:pt idx="10">
                  <c:v>35977.006246720179</c:v>
                </c:pt>
                <c:pt idx="11">
                  <c:v>40893.944432825039</c:v>
                </c:pt>
                <c:pt idx="12">
                  <c:v>39900.558203611188</c:v>
                </c:pt>
                <c:pt idx="13">
                  <c:v>46795.682186697471</c:v>
                </c:pt>
                <c:pt idx="14">
                  <c:v>44187.334096149054</c:v>
                </c:pt>
                <c:pt idx="15">
                  <c:v>45798.151345496059</c:v>
                </c:pt>
                <c:pt idx="16">
                  <c:v>49033.847006384771</c:v>
                </c:pt>
                <c:pt idx="17">
                  <c:v>46981.922348944427</c:v>
                </c:pt>
                <c:pt idx="18">
                  <c:v>49018.605225138454</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総合評価!$C$6:$U$6</c:f>
              <c:numCache>
                <c:formatCode>#,##0;"△ "#,##0</c:formatCode>
                <c:ptCount val="19"/>
                <c:pt idx="0">
                  <c:v>98478.326742461708</c:v>
                </c:pt>
                <c:pt idx="1">
                  <c:v>129960.99744245525</c:v>
                </c:pt>
                <c:pt idx="2">
                  <c:v>101557.54976067608</c:v>
                </c:pt>
                <c:pt idx="3">
                  <c:v>82035.781279042101</c:v>
                </c:pt>
                <c:pt idx="4">
                  <c:v>97028.504072694239</c:v>
                </c:pt>
                <c:pt idx="5">
                  <c:v>89381.607287617313</c:v>
                </c:pt>
                <c:pt idx="6">
                  <c:v>83783.531309148631</c:v>
                </c:pt>
                <c:pt idx="7">
                  <c:v>82828.010698049096</c:v>
                </c:pt>
                <c:pt idx="8">
                  <c:v>85652.643215773467</c:v>
                </c:pt>
                <c:pt idx="9">
                  <c:v>72996.61317858423</c:v>
                </c:pt>
                <c:pt idx="10">
                  <c:v>80569.50311998534</c:v>
                </c:pt>
                <c:pt idx="11">
                  <c:v>88275.042592205253</c:v>
                </c:pt>
                <c:pt idx="12">
                  <c:v>96766.900957168036</c:v>
                </c:pt>
                <c:pt idx="13">
                  <c:v>77716.849351620709</c:v>
                </c:pt>
                <c:pt idx="14">
                  <c:v>97028.03025679235</c:v>
                </c:pt>
                <c:pt idx="15">
                  <c:v>78364.090996284722</c:v>
                </c:pt>
                <c:pt idx="16">
                  <c:v>101118.36742561137</c:v>
                </c:pt>
                <c:pt idx="17">
                  <c:v>92682.522203348693</c:v>
                </c:pt>
                <c:pt idx="18">
                  <c:v>95295.084035636901</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総合評価!$C$18:$U$18</c:f>
              <c:numCache>
                <c:formatCode>#,##0;"△ "#,##0</c:formatCode>
                <c:ptCount val="19"/>
                <c:pt idx="0">
                  <c:v>72652.496292634722</c:v>
                </c:pt>
                <c:pt idx="1">
                  <c:v>117627.45098039215</c:v>
                </c:pt>
                <c:pt idx="2">
                  <c:v>64068.006326697665</c:v>
                </c:pt>
                <c:pt idx="3">
                  <c:v>65672.914169468117</c:v>
                </c:pt>
                <c:pt idx="4">
                  <c:v>79867.005217781363</c:v>
                </c:pt>
                <c:pt idx="5">
                  <c:v>86256.354903642408</c:v>
                </c:pt>
                <c:pt idx="6">
                  <c:v>97370.448415401261</c:v>
                </c:pt>
                <c:pt idx="7">
                  <c:v>82397.102769942721</c:v>
                </c:pt>
                <c:pt idx="8">
                  <c:v>72055.796425449676</c:v>
                </c:pt>
                <c:pt idx="9">
                  <c:v>61452.090927936428</c:v>
                </c:pt>
                <c:pt idx="10">
                  <c:v>55993.422923187849</c:v>
                </c:pt>
                <c:pt idx="11">
                  <c:v>66064.574578398751</c:v>
                </c:pt>
                <c:pt idx="12">
                  <c:v>60418.381980535967</c:v>
                </c:pt>
                <c:pt idx="13">
                  <c:v>66117.477752073173</c:v>
                </c:pt>
                <c:pt idx="14">
                  <c:v>62361.556420184221</c:v>
                </c:pt>
                <c:pt idx="15">
                  <c:v>71954.064098286035</c:v>
                </c:pt>
                <c:pt idx="16">
                  <c:v>79868.8801349235</c:v>
                </c:pt>
                <c:pt idx="17">
                  <c:v>73848.169133705407</c:v>
                </c:pt>
                <c:pt idx="18">
                  <c:v>72264.589092222493</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総合評価!$C$46:$U$46</c:f>
              <c:numCache>
                <c:formatCode>#,##0.0;"△ "#,##0.0</c:formatCode>
                <c:ptCount val="19"/>
                <c:pt idx="0">
                  <c:v>42.23515026817941</c:v>
                </c:pt>
                <c:pt idx="1">
                  <c:v>55.367005494987801</c:v>
                </c:pt>
                <c:pt idx="2">
                  <c:v>41.44647711716329</c:v>
                </c:pt>
                <c:pt idx="3">
                  <c:v>38.231968962853699</c:v>
                </c:pt>
                <c:pt idx="4">
                  <c:v>48.964517947916981</c:v>
                </c:pt>
                <c:pt idx="5">
                  <c:v>43.1380778253382</c:v>
                </c:pt>
                <c:pt idx="6">
                  <c:v>40.956122943379754</c:v>
                </c:pt>
                <c:pt idx="7">
                  <c:v>52.186573880422436</c:v>
                </c:pt>
                <c:pt idx="8">
                  <c:v>47.197486615318951</c:v>
                </c:pt>
                <c:pt idx="9">
                  <c:v>45.822750018887263</c:v>
                </c:pt>
                <c:pt idx="10">
                  <c:v>40.855343163376325</c:v>
                </c:pt>
                <c:pt idx="11">
                  <c:v>36.057652304096024</c:v>
                </c:pt>
                <c:pt idx="12">
                  <c:v>31.683338291980867</c:v>
                </c:pt>
                <c:pt idx="13">
                  <c:v>43.443209599920884</c:v>
                </c:pt>
                <c:pt idx="14">
                  <c:v>32.091188489535504</c:v>
                </c:pt>
                <c:pt idx="15">
                  <c:v>43.77606836191417</c:v>
                </c:pt>
                <c:pt idx="16">
                  <c:v>39.541158517481307</c:v>
                </c:pt>
                <c:pt idx="17">
                  <c:v>37.772455428133334</c:v>
                </c:pt>
                <c:pt idx="18">
                  <c:v>40.415955136322395</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総合評価!$C$34:$U$34</c:f>
              <c:numCache>
                <c:formatCode>#,##0;"△ "#,##0</c:formatCode>
                <c:ptCount val="19"/>
                <c:pt idx="1">
                  <c:v>-30097.046107445458</c:v>
                </c:pt>
                <c:pt idx="2">
                  <c:v>31942.436734934192</c:v>
                </c:pt>
                <c:pt idx="3">
                  <c:v>12510.982830551658</c:v>
                </c:pt>
                <c:pt idx="4">
                  <c:v>-7408.7851796470577</c:v>
                </c:pt>
                <c:pt idx="5">
                  <c:v>4955.4653681930413</c:v>
                </c:pt>
                <c:pt idx="6">
                  <c:v>62.520632703424781</c:v>
                </c:pt>
                <c:pt idx="7">
                  <c:v>23054.362003356026</c:v>
                </c:pt>
                <c:pt idx="8">
                  <c:v>-8782.647089068847</c:v>
                </c:pt>
                <c:pt idx="9">
                  <c:v>11783.757747138379</c:v>
                </c:pt>
                <c:pt idx="10">
                  <c:v>17018.967432467809</c:v>
                </c:pt>
                <c:pt idx="11">
                  <c:v>-9889.0548694231693</c:v>
                </c:pt>
                <c:pt idx="12">
                  <c:v>18873.842645027362</c:v>
                </c:pt>
                <c:pt idx="13">
                  <c:v>18877.547761544658</c:v>
                </c:pt>
                <c:pt idx="14">
                  <c:v>12208.751294273061</c:v>
                </c:pt>
                <c:pt idx="15">
                  <c:v>7164.9742085866037</c:v>
                </c:pt>
                <c:pt idx="16">
                  <c:v>6710.9690692718013</c:v>
                </c:pt>
                <c:pt idx="17">
                  <c:v>48094.083563357104</c:v>
                </c:pt>
                <c:pt idx="18">
                  <c:v>10382.034550238186</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総合評価!$C$35:$U$35</c:f>
              <c:numCache>
                <c:formatCode>#,##0;"△ "#,##0</c:formatCode>
                <c:ptCount val="19"/>
                <c:pt idx="1">
                  <c:v>-17387.765336313576</c:v>
                </c:pt>
                <c:pt idx="2">
                  <c:v>34526.188675922356</c:v>
                </c:pt>
                <c:pt idx="3">
                  <c:v>-24816.00838769148</c:v>
                </c:pt>
                <c:pt idx="4">
                  <c:v>5866.5224566241359</c:v>
                </c:pt>
                <c:pt idx="5">
                  <c:v>-29518.494659931552</c:v>
                </c:pt>
                <c:pt idx="6">
                  <c:v>-28448.91312712264</c:v>
                </c:pt>
                <c:pt idx="7">
                  <c:v>37078.327733065555</c:v>
                </c:pt>
                <c:pt idx="8">
                  <c:v>11770.767787186531</c:v>
                </c:pt>
                <c:pt idx="9">
                  <c:v>-1648.8881508796667</c:v>
                </c:pt>
                <c:pt idx="10">
                  <c:v>-1278.2472872420476</c:v>
                </c:pt>
                <c:pt idx="11">
                  <c:v>-17356.555763739834</c:v>
                </c:pt>
                <c:pt idx="12">
                  <c:v>-11832.980693601137</c:v>
                </c:pt>
                <c:pt idx="13">
                  <c:v>8706.9529071659199</c:v>
                </c:pt>
                <c:pt idx="14">
                  <c:v>-28680.293713103998</c:v>
                </c:pt>
                <c:pt idx="15">
                  <c:v>17368.480419566797</c:v>
                </c:pt>
                <c:pt idx="16">
                  <c:v>-17934.893929858528</c:v>
                </c:pt>
                <c:pt idx="17">
                  <c:v>294.36315164912776</c:v>
                </c:pt>
                <c:pt idx="18">
                  <c:v>7908.0538434835862</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総合評価!$C$37:$U$37</c:f>
              <c:numCache>
                <c:formatCode>#,##0;"△ "#,##0</c:formatCode>
                <c:ptCount val="19"/>
                <c:pt idx="1">
                  <c:v>47544.217942931624</c:v>
                </c:pt>
                <c:pt idx="2">
                  <c:v>-61402.736914374684</c:v>
                </c:pt>
                <c:pt idx="3">
                  <c:v>3224.1782601032764</c:v>
                </c:pt>
                <c:pt idx="4">
                  <c:v>14245.228502835456</c:v>
                </c:pt>
                <c:pt idx="5">
                  <c:v>6724.9612625861864</c:v>
                </c:pt>
                <c:pt idx="6">
                  <c:v>12547.749924579253</c:v>
                </c:pt>
                <c:pt idx="7">
                  <c:v>-16569.730101835921</c:v>
                </c:pt>
                <c:pt idx="8">
                  <c:v>-8897.763730347142</c:v>
                </c:pt>
                <c:pt idx="9">
                  <c:v>-11628.699452318531</c:v>
                </c:pt>
                <c:pt idx="10">
                  <c:v>-4610.4035815294283</c:v>
                </c:pt>
                <c:pt idx="11">
                  <c:v>12403.290024320468</c:v>
                </c:pt>
                <c:pt idx="12">
                  <c:v>-8395.8735461725046</c:v>
                </c:pt>
                <c:pt idx="13">
                  <c:v>5261.3002688514862</c:v>
                </c:pt>
                <c:pt idx="14">
                  <c:v>10242.692416379528</c:v>
                </c:pt>
                <c:pt idx="15">
                  <c:v>-1912.0533665573803</c:v>
                </c:pt>
                <c:pt idx="16">
                  <c:v>6168.8249263178532</c:v>
                </c:pt>
                <c:pt idx="17">
                  <c:v>2840.6369471131075</c:v>
                </c:pt>
                <c:pt idx="18">
                  <c:v>-7948.8849556805872</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総合評価!$C$36:$U$36</c:f>
              <c:numCache>
                <c:formatCode>#,##0;"△ "#,##0</c:formatCode>
                <c:ptCount val="19"/>
                <c:pt idx="1">
                  <c:v>-47484.811443759034</c:v>
                </c:pt>
                <c:pt idx="2">
                  <c:v>66468.625410856548</c:v>
                </c:pt>
                <c:pt idx="3">
                  <c:v>-12305.025557139821</c:v>
                </c:pt>
                <c:pt idx="4">
                  <c:v>-1542.2627230229218</c:v>
                </c:pt>
                <c:pt idx="5">
                  <c:v>-24563.029291738509</c:v>
                </c:pt>
                <c:pt idx="6">
                  <c:v>-28386.392494419215</c:v>
                </c:pt>
                <c:pt idx="7">
                  <c:v>60132.689736421584</c:v>
                </c:pt>
                <c:pt idx="8">
                  <c:v>2988.1206981176838</c:v>
                </c:pt>
                <c:pt idx="9">
                  <c:v>10134.869596258712</c:v>
                </c:pt>
                <c:pt idx="10">
                  <c:v>15740.720145225761</c:v>
                </c:pt>
                <c:pt idx="11">
                  <c:v>-27245.610633163004</c:v>
                </c:pt>
                <c:pt idx="12">
                  <c:v>7040.8619514262246</c:v>
                </c:pt>
                <c:pt idx="13">
                  <c:v>27584.500668710578</c:v>
                </c:pt>
                <c:pt idx="14">
                  <c:v>-16471.542418830937</c:v>
                </c:pt>
                <c:pt idx="15">
                  <c:v>24533.454628153399</c:v>
                </c:pt>
                <c:pt idx="16">
                  <c:v>-11223.924860586727</c:v>
                </c:pt>
                <c:pt idx="17">
                  <c:v>48388.446715006234</c:v>
                </c:pt>
                <c:pt idx="18">
                  <c:v>18290.088393721773</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総合評価!$C$48:$U$48</c:f>
              <c:numCache>
                <c:formatCode>#,##0;"△ "#,##0</c:formatCode>
                <c:ptCount val="19"/>
                <c:pt idx="0">
                  <c:v>80211.725160652306</c:v>
                </c:pt>
                <c:pt idx="1">
                  <c:v>98201.513213981249</c:v>
                </c:pt>
                <c:pt idx="2">
                  <c:v>83971.303673487389</c:v>
                </c:pt>
                <c:pt idx="3">
                  <c:v>85362.729767710145</c:v>
                </c:pt>
                <c:pt idx="4">
                  <c:v>76259.072636423647</c:v>
                </c:pt>
                <c:pt idx="5">
                  <c:v>88500.241430049398</c:v>
                </c:pt>
                <c:pt idx="6">
                  <c:v>87932.049582930806</c:v>
                </c:pt>
                <c:pt idx="7">
                  <c:v>66941.244476116583</c:v>
                </c:pt>
                <c:pt idx="8">
                  <c:v>71458.905409387327</c:v>
                </c:pt>
                <c:pt idx="9">
                  <c:v>77021.811781065553</c:v>
                </c:pt>
                <c:pt idx="10">
                  <c:v>69510.304427645198</c:v>
                </c:pt>
                <c:pt idx="11">
                  <c:v>77270.38332064182</c:v>
                </c:pt>
                <c:pt idx="12">
                  <c:v>79365.106414770606</c:v>
                </c:pt>
                <c:pt idx="13">
                  <c:v>91170.264708581686</c:v>
                </c:pt>
                <c:pt idx="14">
                  <c:v>89794.266168461036</c:v>
                </c:pt>
                <c:pt idx="15">
                  <c:v>86085.09306395911</c:v>
                </c:pt>
                <c:pt idx="16">
                  <c:v>109442.12046741358</c:v>
                </c:pt>
                <c:pt idx="17">
                  <c:v>96421.310118903202</c:v>
                </c:pt>
                <c:pt idx="18">
                  <c:v>110811.72261016131</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総合評価!$C$3:$U$3</c:f>
              <c:strCache>
                <c:ptCount val="19"/>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総合評価!$C$49:$U$49</c:f>
              <c:numCache>
                <c:formatCode>#,##0.0;"△ "#,##0.0</c:formatCode>
                <c:ptCount val="19"/>
                <c:pt idx="0">
                  <c:v>51.467446017805706</c:v>
                </c:pt>
                <c:pt idx="1">
                  <c:v>59.003410658225562</c:v>
                </c:pt>
                <c:pt idx="2">
                  <c:v>58.678542150337002</c:v>
                </c:pt>
                <c:pt idx="3">
                  <c:v>55.085010969918294</c:v>
                </c:pt>
                <c:pt idx="4">
                  <c:v>58.661769555560937</c:v>
                </c:pt>
                <c:pt idx="5">
                  <c:v>49.787223116868667</c:v>
                </c:pt>
                <c:pt idx="6">
                  <c:v>55.642915792818329</c:v>
                </c:pt>
                <c:pt idx="7">
                  <c:v>60.028741343552049</c:v>
                </c:pt>
                <c:pt idx="8">
                  <c:v>54.24630252064663</c:v>
                </c:pt>
                <c:pt idx="9">
                  <c:v>58.714151187617837</c:v>
                </c:pt>
                <c:pt idx="10">
                  <c:v>51.757802735807942</c:v>
                </c:pt>
                <c:pt idx="11">
                  <c:v>52.923180493529053</c:v>
                </c:pt>
                <c:pt idx="12">
                  <c:v>50.274686201624384</c:v>
                </c:pt>
                <c:pt idx="13">
                  <c:v>51.32779019154551</c:v>
                </c:pt>
                <c:pt idx="14">
                  <c:v>49.209527491711079</c:v>
                </c:pt>
                <c:pt idx="15">
                  <c:v>53.201024376507512</c:v>
                </c:pt>
                <c:pt idx="16">
                  <c:v>44.803451173065142</c:v>
                </c:pt>
                <c:pt idx="17">
                  <c:v>48.725662709838787</c:v>
                </c:pt>
                <c:pt idx="18">
                  <c:v>44.235938283882888</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総合評価２!$C$11:$U$11</c:f>
              <c:numCache>
                <c:formatCode>#,##0;"△ "#,##0</c:formatCode>
                <c:ptCount val="19"/>
                <c:pt idx="0">
                  <c:v>1225.6018289670174</c:v>
                </c:pt>
                <c:pt idx="1">
                  <c:v>-519.3947144075064</c:v>
                </c:pt>
                <c:pt idx="2">
                  <c:v>1477.6743135889119</c:v>
                </c:pt>
                <c:pt idx="3">
                  <c:v>2861.3830746563908</c:v>
                </c:pt>
                <c:pt idx="4">
                  <c:v>641.82621089174063</c:v>
                </c:pt>
                <c:pt idx="5">
                  <c:v>512.13282931258436</c:v>
                </c:pt>
                <c:pt idx="6">
                  <c:v>-3811.3191528423281</c:v>
                </c:pt>
                <c:pt idx="7">
                  <c:v>-968.71286772274459</c:v>
                </c:pt>
                <c:pt idx="8">
                  <c:v>1907.7341621702251</c:v>
                </c:pt>
                <c:pt idx="9">
                  <c:v>1308.1518318185015</c:v>
                </c:pt>
                <c:pt idx="10">
                  <c:v>2825.3804518408192</c:v>
                </c:pt>
                <c:pt idx="11">
                  <c:v>3966.7713859323007</c:v>
                </c:pt>
                <c:pt idx="12">
                  <c:v>4561.438974601514</c:v>
                </c:pt>
                <c:pt idx="13">
                  <c:v>3615.2987489150823</c:v>
                </c:pt>
                <c:pt idx="14">
                  <c:v>4987.2692974063229</c:v>
                </c:pt>
                <c:pt idx="15">
                  <c:v>3288.7702858659486</c:v>
                </c:pt>
                <c:pt idx="16">
                  <c:v>4285.8043609203705</c:v>
                </c:pt>
                <c:pt idx="17">
                  <c:v>550.54100946372239</c:v>
                </c:pt>
                <c:pt idx="18">
                  <c:v>1405.1128100168553</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総合評価２!$C$10:$U$10</c:f>
              <c:numCache>
                <c:formatCode>#,##0;"△ "#,##0</c:formatCode>
                <c:ptCount val="19"/>
                <c:pt idx="0">
                  <c:v>22855.01359367276</c:v>
                </c:pt>
                <c:pt idx="1">
                  <c:v>26899.509803921566</c:v>
                </c:pt>
                <c:pt idx="2">
                  <c:v>20366.718590064287</c:v>
                </c:pt>
                <c:pt idx="3">
                  <c:v>21453.407272785807</c:v>
                </c:pt>
                <c:pt idx="4">
                  <c:v>19649.695414953196</c:v>
                </c:pt>
                <c:pt idx="5">
                  <c:v>26373.457213699377</c:v>
                </c:pt>
                <c:pt idx="6">
                  <c:v>25378.885179344274</c:v>
                </c:pt>
                <c:pt idx="7">
                  <c:v>17488.375249648161</c:v>
                </c:pt>
                <c:pt idx="8">
                  <c:v>19251.735547294033</c:v>
                </c:pt>
                <c:pt idx="9">
                  <c:v>18405.077947821595</c:v>
                </c:pt>
                <c:pt idx="10">
                  <c:v>19485.171632193964</c:v>
                </c:pt>
                <c:pt idx="11">
                  <c:v>20952.234138107378</c:v>
                </c:pt>
                <c:pt idx="12">
                  <c:v>21223.216385943182</c:v>
                </c:pt>
                <c:pt idx="13">
                  <c:v>24859.004109083213</c:v>
                </c:pt>
                <c:pt idx="14">
                  <c:v>23990.159798717374</c:v>
                </c:pt>
                <c:pt idx="15">
                  <c:v>22667.471317747812</c:v>
                </c:pt>
                <c:pt idx="16">
                  <c:v>34772.116190820365</c:v>
                </c:pt>
                <c:pt idx="17">
                  <c:v>30190.133220092219</c:v>
                </c:pt>
                <c:pt idx="18">
                  <c:v>35330.837767878627</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総合評価２!$C$9:$U$9</c:f>
              <c:numCache>
                <c:formatCode>#,##0;"△ "#,##0</c:formatCode>
                <c:ptCount val="19"/>
                <c:pt idx="0">
                  <c:v>14848.183391003457</c:v>
                </c:pt>
                <c:pt idx="1">
                  <c:v>13838.128729752771</c:v>
                </c:pt>
                <c:pt idx="2">
                  <c:v>12811.257246134632</c:v>
                </c:pt>
                <c:pt idx="3">
                  <c:v>13983.889298224229</c:v>
                </c:pt>
                <c:pt idx="4">
                  <c:v>11166.94246619773</c:v>
                </c:pt>
                <c:pt idx="5">
                  <c:v>17514.450433058977</c:v>
                </c:pt>
                <c:pt idx="6">
                  <c:v>17386.254381711435</c:v>
                </c:pt>
                <c:pt idx="7">
                  <c:v>10193.913510024358</c:v>
                </c:pt>
                <c:pt idx="8">
                  <c:v>11443.236775925563</c:v>
                </c:pt>
                <c:pt idx="9">
                  <c:v>12053.454256774881</c:v>
                </c:pt>
                <c:pt idx="10">
                  <c:v>11180.520535024258</c:v>
                </c:pt>
                <c:pt idx="11">
                  <c:v>11437.115639090658</c:v>
                </c:pt>
                <c:pt idx="12">
                  <c:v>13511.521434132401</c:v>
                </c:pt>
                <c:pt idx="13">
                  <c:v>15841.246345998126</c:v>
                </c:pt>
                <c:pt idx="14">
                  <c:v>16607.396332898537</c:v>
                </c:pt>
                <c:pt idx="15">
                  <c:v>14319.005044217645</c:v>
                </c:pt>
                <c:pt idx="16">
                  <c:v>21321.564450066246</c:v>
                </c:pt>
                <c:pt idx="17">
                  <c:v>18677.743144867756</c:v>
                </c:pt>
                <c:pt idx="18">
                  <c:v>25019.536539850702</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総合評価２!$C$8:$U$8</c:f>
              <c:numCache>
                <c:formatCode>#,##0;"△ "#,##0</c:formatCode>
                <c:ptCount val="19"/>
                <c:pt idx="0">
                  <c:v>41282.926347009401</c:v>
                </c:pt>
                <c:pt idx="1">
                  <c:v>57983.48252344416</c:v>
                </c:pt>
                <c:pt idx="2">
                  <c:v>49315.653523699875</c:v>
                </c:pt>
                <c:pt idx="3">
                  <c:v>47064.05012204362</c:v>
                </c:pt>
                <c:pt idx="4">
                  <c:v>44800.608544381408</c:v>
                </c:pt>
                <c:pt idx="5">
                  <c:v>44100.200953978419</c:v>
                </c:pt>
                <c:pt idx="6">
                  <c:v>48978.229174717802</c:v>
                </c:pt>
                <c:pt idx="7">
                  <c:v>40227.668584166793</c:v>
                </c:pt>
                <c:pt idx="8">
                  <c:v>38856.198923997428</c:v>
                </c:pt>
                <c:pt idx="9">
                  <c:v>45255.127744650628</c:v>
                </c:pt>
                <c:pt idx="10">
                  <c:v>36019.231808586141</c:v>
                </c:pt>
                <c:pt idx="11">
                  <c:v>40914.26215751149</c:v>
                </c:pt>
                <c:pt idx="12">
                  <c:v>40068.929620093484</c:v>
                </c:pt>
                <c:pt idx="13">
                  <c:v>46854.715504585329</c:v>
                </c:pt>
                <c:pt idx="14">
                  <c:v>44209.440739438833</c:v>
                </c:pt>
                <c:pt idx="15">
                  <c:v>45809.846416127781</c:v>
                </c:pt>
                <c:pt idx="16">
                  <c:v>49062.635465606552</c:v>
                </c:pt>
                <c:pt idx="17">
                  <c:v>47002.892623149717</c:v>
                </c:pt>
                <c:pt idx="18">
                  <c:v>49056.235492415122</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総合評価２!$C$7:$U$7</c:f>
              <c:numCache>
                <c:formatCode>#,##0;"△ "#,##0</c:formatCode>
                <c:ptCount val="19"/>
                <c:pt idx="0">
                  <c:v>16311.8660405339</c:v>
                </c:pt>
                <c:pt idx="1">
                  <c:v>41463.554987212279</c:v>
                </c:pt>
                <c:pt idx="2">
                  <c:v>12578.139320140925</c:v>
                </c:pt>
                <c:pt idx="3">
                  <c:v>18270.733797340999</c:v>
                </c:pt>
                <c:pt idx="4">
                  <c:v>16729.056313013934</c:v>
                </c:pt>
                <c:pt idx="5">
                  <c:v>13760.763026657283</c:v>
                </c:pt>
                <c:pt idx="6">
                  <c:v>11897.889206975498</c:v>
                </c:pt>
                <c:pt idx="7">
                  <c:v>7950.0396063750359</c:v>
                </c:pt>
                <c:pt idx="8">
                  <c:v>17439.358411431447</c:v>
                </c:pt>
                <c:pt idx="9">
                  <c:v>8034.6257872055703</c:v>
                </c:pt>
                <c:pt idx="10">
                  <c:v>12692.760675837613</c:v>
                </c:pt>
                <c:pt idx="11">
                  <c:v>15581.698901465337</c:v>
                </c:pt>
                <c:pt idx="12">
                  <c:v>15994.891127367338</c:v>
                </c:pt>
                <c:pt idx="13">
                  <c:v>16257.204598361899</c:v>
                </c:pt>
                <c:pt idx="14">
                  <c:v>8400.5601868226695</c:v>
                </c:pt>
                <c:pt idx="15">
                  <c:v>9966.4920539126088</c:v>
                </c:pt>
                <c:pt idx="16">
                  <c:v>12002.496205276473</c:v>
                </c:pt>
                <c:pt idx="17">
                  <c:v>13429.840208687212</c:v>
                </c:pt>
                <c:pt idx="18">
                  <c:v>15284.570671803516</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総合評価２!$C$6:$U$6</c:f>
              <c:numCache>
                <c:formatCode>#,##0;"△ "#,##0</c:formatCode>
                <c:ptCount val="19"/>
                <c:pt idx="0">
                  <c:v>82166.460701927805</c:v>
                </c:pt>
                <c:pt idx="1">
                  <c:v>88497.44245524297</c:v>
                </c:pt>
                <c:pt idx="2">
                  <c:v>88979.410440535154</c:v>
                </c:pt>
                <c:pt idx="3">
                  <c:v>63765.047481701105</c:v>
                </c:pt>
                <c:pt idx="4">
                  <c:v>80299.447759680304</c:v>
                </c:pt>
                <c:pt idx="5">
                  <c:v>75620.844260960032</c:v>
                </c:pt>
                <c:pt idx="6">
                  <c:v>71885.642102173137</c:v>
                </c:pt>
                <c:pt idx="7">
                  <c:v>74877.971091674059</c:v>
                </c:pt>
                <c:pt idx="8">
                  <c:v>68213.284804342024</c:v>
                </c:pt>
                <c:pt idx="9">
                  <c:v>64961.987391378665</c:v>
                </c:pt>
                <c:pt idx="10">
                  <c:v>67876.74244414772</c:v>
                </c:pt>
                <c:pt idx="11">
                  <c:v>72693.343690739915</c:v>
                </c:pt>
                <c:pt idx="12">
                  <c:v>80772.009829800692</c:v>
                </c:pt>
                <c:pt idx="13">
                  <c:v>61459.644753258806</c:v>
                </c:pt>
                <c:pt idx="14">
                  <c:v>88627.470069969684</c:v>
                </c:pt>
                <c:pt idx="15">
                  <c:v>68397.598942372118</c:v>
                </c:pt>
                <c:pt idx="16">
                  <c:v>89115.871220334899</c:v>
                </c:pt>
                <c:pt idx="17">
                  <c:v>79252.681994661485</c:v>
                </c:pt>
                <c:pt idx="18">
                  <c:v>80010.513363833379</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総合評価２!$C$24:$U$24</c:f>
              <c:numCache>
                <c:formatCode>#,##0;"△ "#,##0</c:formatCode>
                <c:ptCount val="19"/>
                <c:pt idx="0">
                  <c:v>42105.783489866502</c:v>
                </c:pt>
                <c:pt idx="1">
                  <c:v>41572.996589940325</c:v>
                </c:pt>
                <c:pt idx="2">
                  <c:v>40854.421268881641</c:v>
                </c:pt>
                <c:pt idx="3">
                  <c:v>57141.648454958995</c:v>
                </c:pt>
                <c:pt idx="4">
                  <c:v>41582.161952597467</c:v>
                </c:pt>
                <c:pt idx="5">
                  <c:v>56411.932142638143</c:v>
                </c:pt>
                <c:pt idx="6">
                  <c:v>74963.675460384198</c:v>
                </c:pt>
                <c:pt idx="7">
                  <c:v>22502.721912838071</c:v>
                </c:pt>
                <c:pt idx="8">
                  <c:v>35993.476314715976</c:v>
                </c:pt>
                <c:pt idx="9">
                  <c:v>39296.904526315426</c:v>
                </c:pt>
                <c:pt idx="10">
                  <c:v>37507.789957437235</c:v>
                </c:pt>
                <c:pt idx="11">
                  <c:v>71386.447643267762</c:v>
                </c:pt>
                <c:pt idx="12">
                  <c:v>76571.715657883833</c:v>
                </c:pt>
                <c:pt idx="13">
                  <c:v>43725.109654313899</c:v>
                </c:pt>
                <c:pt idx="14">
                  <c:v>80811.751563558209</c:v>
                </c:pt>
                <c:pt idx="15">
                  <c:v>48679.835562697132</c:v>
                </c:pt>
                <c:pt idx="16">
                  <c:v>68896.221900975783</c:v>
                </c:pt>
                <c:pt idx="17">
                  <c:v>74124.579228342642</c:v>
                </c:pt>
                <c:pt idx="18">
                  <c:v>56207.052612569227</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総合評価２!$C$23:$U$23</c:f>
              <c:numCache>
                <c:formatCode>#,##0;"△ "#,##0</c:formatCode>
                <c:ptCount val="19"/>
                <c:pt idx="0">
                  <c:v>9377.533366287691</c:v>
                </c:pt>
                <c:pt idx="1">
                  <c:v>7934.1432225063936</c:v>
                </c:pt>
                <c:pt idx="2">
                  <c:v>7843.9639645172729</c:v>
                </c:pt>
                <c:pt idx="3">
                  <c:v>8820.1988809159939</c:v>
                </c:pt>
                <c:pt idx="4">
                  <c:v>8654.3327504961126</c:v>
                </c:pt>
                <c:pt idx="5">
                  <c:v>9673.2789938825827</c:v>
                </c:pt>
                <c:pt idx="6">
                  <c:v>10981.06867698878</c:v>
                </c:pt>
                <c:pt idx="7">
                  <c:v>9449.5556428606906</c:v>
                </c:pt>
                <c:pt idx="8">
                  <c:v>9690.7384779976583</c:v>
                </c:pt>
                <c:pt idx="9">
                  <c:v>8924.1526629999771</c:v>
                </c:pt>
                <c:pt idx="10">
                  <c:v>9069.5085061752015</c:v>
                </c:pt>
                <c:pt idx="11">
                  <c:v>9230.8563545236557</c:v>
                </c:pt>
                <c:pt idx="12">
                  <c:v>9509.4814225841601</c:v>
                </c:pt>
                <c:pt idx="13">
                  <c:v>9317.7323139557811</c:v>
                </c:pt>
                <c:pt idx="14">
                  <c:v>9081.4652627153337</c:v>
                </c:pt>
                <c:pt idx="15">
                  <c:v>10325.250440106629</c:v>
                </c:pt>
                <c:pt idx="16">
                  <c:v>8860.4529574750031</c:v>
                </c:pt>
                <c:pt idx="17">
                  <c:v>10435.827954380004</c:v>
                </c:pt>
                <c:pt idx="18">
                  <c:v>9789.121719239105</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72652.496292634722</c:v>
                </c:pt>
                <c:pt idx="1">
                  <c:v>117627.45098039215</c:v>
                </c:pt>
                <c:pt idx="2">
                  <c:v>64068.006326697665</c:v>
                </c:pt>
                <c:pt idx="3">
                  <c:v>65672.914169468117</c:v>
                </c:pt>
                <c:pt idx="4">
                  <c:v>79867.005217781363</c:v>
                </c:pt>
                <c:pt idx="5">
                  <c:v>86256.354903642408</c:v>
                </c:pt>
                <c:pt idx="6">
                  <c:v>97370.448415401261</c:v>
                </c:pt>
                <c:pt idx="7">
                  <c:v>82397.102769942721</c:v>
                </c:pt>
                <c:pt idx="8">
                  <c:v>72055.796425449676</c:v>
                </c:pt>
                <c:pt idx="9">
                  <c:v>61452.090927936428</c:v>
                </c:pt>
                <c:pt idx="10">
                  <c:v>55993.422923187849</c:v>
                </c:pt>
                <c:pt idx="11">
                  <c:v>66064.574578398751</c:v>
                </c:pt>
                <c:pt idx="12">
                  <c:v>60418.381980535967</c:v>
                </c:pt>
                <c:pt idx="13">
                  <c:v>66117.477752073173</c:v>
                </c:pt>
                <c:pt idx="14">
                  <c:v>62361.556420184221</c:v>
                </c:pt>
                <c:pt idx="15">
                  <c:v>71954.064098286035</c:v>
                </c:pt>
                <c:pt idx="16">
                  <c:v>79868.8801349235</c:v>
                </c:pt>
                <c:pt idx="17">
                  <c:v>73848.169133705407</c:v>
                </c:pt>
                <c:pt idx="18">
                  <c:v>72264.589092222493</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総合評価２!$C$21:$U$21</c:f>
              <c:numCache>
                <c:formatCode>#,##0;"△ "#,##0</c:formatCode>
                <c:ptCount val="19"/>
                <c:pt idx="0">
                  <c:v>47883.094414236279</c:v>
                </c:pt>
                <c:pt idx="1">
                  <c:v>45315.750213128733</c:v>
                </c:pt>
                <c:pt idx="2">
                  <c:v>41813.709772971357</c:v>
                </c:pt>
                <c:pt idx="3">
                  <c:v>40140.1063631574</c:v>
                </c:pt>
                <c:pt idx="4">
                  <c:v>33008.501513990959</c:v>
                </c:pt>
                <c:pt idx="5">
                  <c:v>47612.533103719827</c:v>
                </c:pt>
                <c:pt idx="6">
                  <c:v>53671.980510680572</c:v>
                </c:pt>
                <c:pt idx="7">
                  <c:v>42943.569854397276</c:v>
                </c:pt>
                <c:pt idx="8">
                  <c:v>34928.703988511392</c:v>
                </c:pt>
                <c:pt idx="9">
                  <c:v>24435.107940289527</c:v>
                </c:pt>
                <c:pt idx="10">
                  <c:v>34482.154902295864</c:v>
                </c:pt>
                <c:pt idx="11">
                  <c:v>36537.41152410856</c:v>
                </c:pt>
                <c:pt idx="12">
                  <c:v>44194.916019484401</c:v>
                </c:pt>
                <c:pt idx="13">
                  <c:v>33032.573854890594</c:v>
                </c:pt>
                <c:pt idx="14">
                  <c:v>42071.331068810643</c:v>
                </c:pt>
                <c:pt idx="15">
                  <c:v>33409.343440662618</c:v>
                </c:pt>
                <c:pt idx="16">
                  <c:v>44363.671123960965</c:v>
                </c:pt>
                <c:pt idx="17">
                  <c:v>37099.415554477055</c:v>
                </c:pt>
                <c:pt idx="18">
                  <c:v>40541.367686010126</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総合評価２!$C$20:$U$20</c:f>
              <c:numCache>
                <c:formatCode>#,##0;"△ "#,##0</c:formatCode>
                <c:ptCount val="19"/>
                <c:pt idx="0">
                  <c:v>12732.328225407822</c:v>
                </c:pt>
                <c:pt idx="1">
                  <c:v>11671.675191815857</c:v>
                </c:pt>
                <c:pt idx="2">
                  <c:v>14903.616941270639</c:v>
                </c:pt>
                <c:pt idx="3">
                  <c:v>14192.099365758477</c:v>
                </c:pt>
                <c:pt idx="4">
                  <c:v>10185.395468902556</c:v>
                </c:pt>
                <c:pt idx="5">
                  <c:v>21777.655698466078</c:v>
                </c:pt>
                <c:pt idx="6">
                  <c:v>23072.122534329279</c:v>
                </c:pt>
                <c:pt idx="7">
                  <c:v>8586.7930802968458</c:v>
                </c:pt>
                <c:pt idx="8">
                  <c:v>8746.9628775005804</c:v>
                </c:pt>
                <c:pt idx="9">
                  <c:v>11036.237938437707</c:v>
                </c:pt>
                <c:pt idx="10">
                  <c:v>11041.428428760313</c:v>
                </c:pt>
                <c:pt idx="11">
                  <c:v>16348.618749482477</c:v>
                </c:pt>
                <c:pt idx="12">
                  <c:v>15099.853548000883</c:v>
                </c:pt>
                <c:pt idx="13">
                  <c:v>16577.958852689251</c:v>
                </c:pt>
                <c:pt idx="14">
                  <c:v>26441.976426725756</c:v>
                </c:pt>
                <c:pt idx="15">
                  <c:v>12586.198123885362</c:v>
                </c:pt>
                <c:pt idx="16">
                  <c:v>17810.486086013734</c:v>
                </c:pt>
                <c:pt idx="17">
                  <c:v>23553.468696918222</c:v>
                </c:pt>
                <c:pt idx="18">
                  <c:v>15700.909583433664</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総合評価２!$C$19:$U$19</c:f>
              <c:numCache>
                <c:formatCode>#,##0;"△ "#,##0</c:formatCode>
                <c:ptCount val="19"/>
                <c:pt idx="0">
                  <c:v>66234.429065744</c:v>
                </c:pt>
                <c:pt idx="1">
                  <c:v>80701.832907075877</c:v>
                </c:pt>
                <c:pt idx="2">
                  <c:v>40424.459013358195</c:v>
                </c:pt>
                <c:pt idx="3">
                  <c:v>64805.211950451856</c:v>
                </c:pt>
                <c:pt idx="4">
                  <c:v>57530.777750995112</c:v>
                </c:pt>
                <c:pt idx="5">
                  <c:v>71036.353352510545</c:v>
                </c:pt>
                <c:pt idx="6">
                  <c:v>93786.782469136044</c:v>
                </c:pt>
                <c:pt idx="7">
                  <c:v>68249.110102324063</c:v>
                </c:pt>
                <c:pt idx="8">
                  <c:v>53957.819492345443</c:v>
                </c:pt>
                <c:pt idx="9">
                  <c:v>49103.345036035949</c:v>
                </c:pt>
                <c:pt idx="10">
                  <c:v>47437.959963520429</c:v>
                </c:pt>
                <c:pt idx="11">
                  <c:v>56710.201734945811</c:v>
                </c:pt>
                <c:pt idx="12">
                  <c:v>66039.354785796153</c:v>
                </c:pt>
                <c:pt idx="13">
                  <c:v>51750.099073341436</c:v>
                </c:pt>
                <c:pt idx="14">
                  <c:v>65679.434440982659</c:v>
                </c:pt>
                <c:pt idx="15">
                  <c:v>58507.917041931614</c:v>
                </c:pt>
                <c:pt idx="16">
                  <c:v>66655.28442356344</c:v>
                </c:pt>
                <c:pt idx="17">
                  <c:v>55987.124848337786</c:v>
                </c:pt>
                <c:pt idx="18">
                  <c:v>51903.417168312058</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総合評価２!$C$18:$U$18</c:f>
              <c:numCache>
                <c:formatCode>#,##0;"△ "#,##0</c:formatCode>
                <c:ptCount val="19"/>
                <c:pt idx="0">
                  <c:v>16417.943648047501</c:v>
                </c:pt>
                <c:pt idx="1">
                  <c:v>22448.849104859335</c:v>
                </c:pt>
                <c:pt idx="2">
                  <c:v>18599.685283324008</c:v>
                </c:pt>
                <c:pt idx="3">
                  <c:v>16033.775429642468</c:v>
                </c:pt>
                <c:pt idx="4">
                  <c:v>23828.269582550965</c:v>
                </c:pt>
                <c:pt idx="5">
                  <c:v>21135.073281923294</c:v>
                </c:pt>
                <c:pt idx="6">
                  <c:v>19338.471086416128</c:v>
                </c:pt>
                <c:pt idx="7">
                  <c:v>19147.792888323049</c:v>
                </c:pt>
                <c:pt idx="8">
                  <c:v>20016.05194830785</c:v>
                </c:pt>
                <c:pt idx="9">
                  <c:v>18754.948958201272</c:v>
                </c:pt>
                <c:pt idx="10">
                  <c:v>16221.767376538846</c:v>
                </c:pt>
                <c:pt idx="11">
                  <c:v>24895.210475600972</c:v>
                </c:pt>
                <c:pt idx="12">
                  <c:v>18316.373817067783</c:v>
                </c:pt>
                <c:pt idx="13">
                  <c:v>17645.943709875552</c:v>
                </c:pt>
                <c:pt idx="14">
                  <c:v>20517.214953697439</c:v>
                </c:pt>
                <c:pt idx="15">
                  <c:v>18911.740486437833</c:v>
                </c:pt>
                <c:pt idx="16">
                  <c:v>25310.437899048309</c:v>
                </c:pt>
                <c:pt idx="17">
                  <c:v>22253.11829652997</c:v>
                </c:pt>
                <c:pt idx="18">
                  <c:v>23494.040332289915</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総合評価２!$C$17:$U$17</c:f>
              <c:numCache>
                <c:formatCode>#,##0;"△ "#,##0</c:formatCode>
                <c:ptCount val="19"/>
                <c:pt idx="0">
                  <c:v>47083.044982698993</c:v>
                </c:pt>
                <c:pt idx="1">
                  <c:v>71123.508098891733</c:v>
                </c:pt>
                <c:pt idx="2">
                  <c:v>45325.875221680559</c:v>
                </c:pt>
                <c:pt idx="3">
                  <c:v>43203.814841359774</c:v>
                </c:pt>
                <c:pt idx="4">
                  <c:v>41833.003936369518</c:v>
                </c:pt>
                <c:pt idx="5">
                  <c:v>60115.166036782903</c:v>
                </c:pt>
                <c:pt idx="6">
                  <c:v>70256.341617393409</c:v>
                </c:pt>
                <c:pt idx="7">
                  <c:v>40192.941559528306</c:v>
                </c:pt>
                <c:pt idx="8">
                  <c:v>46818.479783931463</c:v>
                </c:pt>
                <c:pt idx="9">
                  <c:v>31863.899408185494</c:v>
                </c:pt>
                <c:pt idx="10">
                  <c:v>34677.504554755724</c:v>
                </c:pt>
                <c:pt idx="11">
                  <c:v>48788.604555171696</c:v>
                </c:pt>
                <c:pt idx="12">
                  <c:v>55580.137850556719</c:v>
                </c:pt>
                <c:pt idx="13">
                  <c:v>36411.354877313468</c:v>
                </c:pt>
                <c:pt idx="14">
                  <c:v>42951.958555382618</c:v>
                </c:pt>
                <c:pt idx="15">
                  <c:v>39097.413247445511</c:v>
                </c:pt>
                <c:pt idx="16">
                  <c:v>49682.576797976144</c:v>
                </c:pt>
                <c:pt idx="17">
                  <c:v>41749.203106042216</c:v>
                </c:pt>
                <c:pt idx="18">
                  <c:v>43882.081266554284</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総合評価２!$C$16:$U$16</c:f>
              <c:numCache>
                <c:formatCode>#,##0;"△ "#,##0</c:formatCode>
                <c:ptCount val="19"/>
                <c:pt idx="0">
                  <c:v>29551.161641127001</c:v>
                </c:pt>
                <c:pt idx="1">
                  <c:v>26504.582267689686</c:v>
                </c:pt>
                <c:pt idx="2">
                  <c:v>35326.464873434525</c:v>
                </c:pt>
                <c:pt idx="3">
                  <c:v>35954.894530504927</c:v>
                </c:pt>
                <c:pt idx="4">
                  <c:v>29734.554696047773</c:v>
                </c:pt>
                <c:pt idx="5">
                  <c:v>25889.850774199989</c:v>
                </c:pt>
                <c:pt idx="6">
                  <c:v>31289.607143108198</c:v>
                </c:pt>
                <c:pt idx="7">
                  <c:v>21712.828266911769</c:v>
                </c:pt>
                <c:pt idx="8">
                  <c:v>23129.40110458932</c:v>
                </c:pt>
                <c:pt idx="9">
                  <c:v>23349.824716680963</c:v>
                </c:pt>
                <c:pt idx="10">
                  <c:v>27674.215965520834</c:v>
                </c:pt>
                <c:pt idx="11">
                  <c:v>36476.654585097771</c:v>
                </c:pt>
                <c:pt idx="12">
                  <c:v>35658.775079066894</c:v>
                </c:pt>
                <c:pt idx="13">
                  <c:v>29807.537062013656</c:v>
                </c:pt>
                <c:pt idx="14">
                  <c:v>38735.519938480014</c:v>
                </c:pt>
                <c:pt idx="15">
                  <c:v>35265.224642052191</c:v>
                </c:pt>
                <c:pt idx="16">
                  <c:v>42530.441031201059</c:v>
                </c:pt>
                <c:pt idx="17">
                  <c:v>51965.077165736475</c:v>
                </c:pt>
                <c:pt idx="18">
                  <c:v>43821.682879845896</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総合評価２!$C$22:$U$22</c:f>
              <c:numCache>
                <c:formatCode>#,##0;"△ "#,##0</c:formatCode>
                <c:ptCount val="19"/>
                <c:pt idx="0">
                  <c:v>72652.496292634722</c:v>
                </c:pt>
                <c:pt idx="1">
                  <c:v>117627.45098039215</c:v>
                </c:pt>
                <c:pt idx="2">
                  <c:v>64068.006326697665</c:v>
                </c:pt>
                <c:pt idx="3">
                  <c:v>65672.914169468117</c:v>
                </c:pt>
                <c:pt idx="4">
                  <c:v>79867.005217781363</c:v>
                </c:pt>
                <c:pt idx="5">
                  <c:v>86256.354903642408</c:v>
                </c:pt>
                <c:pt idx="6">
                  <c:v>97370.448415401261</c:v>
                </c:pt>
                <c:pt idx="7">
                  <c:v>82397.102769942721</c:v>
                </c:pt>
                <c:pt idx="8">
                  <c:v>72055.796425449676</c:v>
                </c:pt>
                <c:pt idx="9">
                  <c:v>61452.090927936428</c:v>
                </c:pt>
                <c:pt idx="10">
                  <c:v>55993.422923187849</c:v>
                </c:pt>
                <c:pt idx="11">
                  <c:v>66064.574578398751</c:v>
                </c:pt>
                <c:pt idx="12">
                  <c:v>60418.381980535967</c:v>
                </c:pt>
                <c:pt idx="13">
                  <c:v>66117.477752073173</c:v>
                </c:pt>
                <c:pt idx="14">
                  <c:v>62361.556420184221</c:v>
                </c:pt>
                <c:pt idx="15">
                  <c:v>71954.064098286035</c:v>
                </c:pt>
                <c:pt idx="16">
                  <c:v>79868.8801349235</c:v>
                </c:pt>
                <c:pt idx="17">
                  <c:v>73848.169133705407</c:v>
                </c:pt>
                <c:pt idx="18">
                  <c:v>72264.589092222493</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総合評価２!$C$3:$U$3</c:f>
              <c:strCache>
                <c:ptCount val="19"/>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strCache>
            </c:strRef>
          </c:cat>
          <c:val>
            <c:numRef>
              <c:f>総合評価２!$C$30:$U$30</c:f>
              <c:numCache>
                <c:formatCode>#,##0.0;"△ "#,##0.0</c:formatCode>
                <c:ptCount val="19"/>
                <c:pt idx="0">
                  <c:v>42.23515026817941</c:v>
                </c:pt>
                <c:pt idx="1">
                  <c:v>55.367005494987801</c:v>
                </c:pt>
                <c:pt idx="2">
                  <c:v>41.44647711716329</c:v>
                </c:pt>
                <c:pt idx="3">
                  <c:v>38.231968962853699</c:v>
                </c:pt>
                <c:pt idx="4">
                  <c:v>48.964517947916981</c:v>
                </c:pt>
                <c:pt idx="5">
                  <c:v>43.1380778253382</c:v>
                </c:pt>
                <c:pt idx="6">
                  <c:v>40.956122943379754</c:v>
                </c:pt>
                <c:pt idx="7">
                  <c:v>52.186573880422436</c:v>
                </c:pt>
                <c:pt idx="8">
                  <c:v>47.197486615318951</c:v>
                </c:pt>
                <c:pt idx="9">
                  <c:v>45.822750018887263</c:v>
                </c:pt>
                <c:pt idx="10">
                  <c:v>40.855343163376325</c:v>
                </c:pt>
                <c:pt idx="11">
                  <c:v>36.057652304096024</c:v>
                </c:pt>
                <c:pt idx="12">
                  <c:v>31.683338291980867</c:v>
                </c:pt>
                <c:pt idx="13">
                  <c:v>43.443209599920884</c:v>
                </c:pt>
                <c:pt idx="14">
                  <c:v>32.091188489535504</c:v>
                </c:pt>
                <c:pt idx="15">
                  <c:v>43.77606836191417</c:v>
                </c:pt>
                <c:pt idx="16">
                  <c:v>39.541158517481307</c:v>
                </c:pt>
                <c:pt idx="17">
                  <c:v>37.772455428133334</c:v>
                </c:pt>
                <c:pt idx="18">
                  <c:v>40.415955136322395</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22</xdr:col>
      <xdr:colOff>22860</xdr:colOff>
      <xdr:row>20</xdr:row>
      <xdr:rowOff>22860</xdr:rowOff>
    </xdr:from>
    <xdr:to>
      <xdr:col>29</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15240</xdr:colOff>
      <xdr:row>2</xdr:row>
      <xdr:rowOff>22860</xdr:rowOff>
    </xdr:from>
    <xdr:to>
      <xdr:col>37</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22860</xdr:colOff>
      <xdr:row>20</xdr:row>
      <xdr:rowOff>22860</xdr:rowOff>
    </xdr:from>
    <xdr:to>
      <xdr:col>37</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15240</xdr:colOff>
      <xdr:row>2</xdr:row>
      <xdr:rowOff>22860</xdr:rowOff>
    </xdr:from>
    <xdr:to>
      <xdr:col>29</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22860</xdr:colOff>
      <xdr:row>38</xdr:row>
      <xdr:rowOff>22860</xdr:rowOff>
    </xdr:from>
    <xdr:to>
      <xdr:col>29</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15240</xdr:colOff>
      <xdr:row>38</xdr:row>
      <xdr:rowOff>22860</xdr:rowOff>
    </xdr:from>
    <xdr:to>
      <xdr:col>37</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8</xdr:col>
      <xdr:colOff>609600</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68580</xdr:colOff>
      <xdr:row>22</xdr:row>
      <xdr:rowOff>60960</xdr:rowOff>
    </xdr:from>
    <xdr:to>
      <xdr:col>20</xdr:col>
      <xdr:colOff>548640</xdr:colOff>
      <xdr:row>42</xdr:row>
      <xdr:rowOff>60960</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43</xdr:row>
      <xdr:rowOff>53340</xdr:rowOff>
    </xdr:from>
    <xdr:to>
      <xdr:col>8</xdr:col>
      <xdr:colOff>609600</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76200</xdr:colOff>
      <xdr:row>43</xdr:row>
      <xdr:rowOff>60960</xdr:rowOff>
    </xdr:from>
    <xdr:to>
      <xdr:col>20</xdr:col>
      <xdr:colOff>495300</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8</xdr:col>
      <xdr:colOff>632460</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83820</xdr:colOff>
      <xdr:row>64</xdr:row>
      <xdr:rowOff>60960</xdr:rowOff>
    </xdr:from>
    <xdr:to>
      <xdr:col>20</xdr:col>
      <xdr:colOff>487680</xdr:colOff>
      <xdr:row>84</xdr:row>
      <xdr:rowOff>60960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28</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57"/>
  <sheetViews>
    <sheetView zoomScale="98" zoomScaleNormal="98" workbookViewId="0"/>
  </sheetViews>
  <sheetFormatPr defaultColWidth="9" defaultRowHeight="12" x14ac:dyDescent="0.2"/>
  <cols>
    <col min="1" max="1" width="24.6640625" style="76" customWidth="1"/>
    <col min="2" max="2" width="6.88671875" style="77" customWidth="1"/>
    <col min="3" max="21" width="9" style="76"/>
    <col min="22" max="22" width="1.21875" style="31" customWidth="1"/>
    <col min="23" max="38" width="10" style="31" customWidth="1"/>
    <col min="39" max="16384" width="9" style="31"/>
  </cols>
  <sheetData>
    <row r="1" spans="1:38" ht="14.4" x14ac:dyDescent="0.2">
      <c r="A1" s="75" t="s">
        <v>308</v>
      </c>
    </row>
    <row r="2" spans="1:38" ht="14.4" x14ac:dyDescent="0.2">
      <c r="A2" s="153" t="str">
        <f>BS!A2</f>
        <v>１３　家具・装備品製造業</v>
      </c>
    </row>
    <row r="3" spans="1:38"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580</v>
      </c>
      <c r="W3" s="268"/>
      <c r="X3" s="269"/>
      <c r="Y3" s="269"/>
      <c r="Z3" s="269"/>
      <c r="AA3" s="269"/>
      <c r="AB3" s="269"/>
      <c r="AC3" s="269"/>
      <c r="AD3" s="270"/>
      <c r="AE3" s="268"/>
      <c r="AF3" s="269"/>
      <c r="AG3" s="269"/>
      <c r="AH3" s="269"/>
      <c r="AI3" s="269"/>
      <c r="AJ3" s="269"/>
      <c r="AK3" s="269"/>
      <c r="AL3" s="270"/>
    </row>
    <row r="4" spans="1:38" x14ac:dyDescent="0.2">
      <c r="A4" s="191" t="s">
        <v>322</v>
      </c>
      <c r="B4" s="189"/>
      <c r="C4" s="190"/>
      <c r="D4" s="190"/>
      <c r="E4" s="190"/>
      <c r="F4" s="190"/>
      <c r="G4" s="190"/>
      <c r="H4" s="190"/>
      <c r="I4" s="190"/>
      <c r="J4" s="190"/>
      <c r="K4" s="190"/>
      <c r="L4" s="190"/>
      <c r="M4" s="190"/>
      <c r="N4" s="190"/>
      <c r="O4" s="190"/>
      <c r="P4" s="190"/>
      <c r="Q4" s="190"/>
      <c r="R4" s="190"/>
      <c r="S4" s="190"/>
      <c r="T4" s="190"/>
      <c r="U4" s="192"/>
      <c r="W4" s="271"/>
      <c r="X4" s="272"/>
      <c r="Y4" s="272"/>
      <c r="Z4" s="272"/>
      <c r="AA4" s="272"/>
      <c r="AB4" s="272"/>
      <c r="AC4" s="272"/>
      <c r="AD4" s="273"/>
      <c r="AE4" s="271"/>
      <c r="AF4" s="272"/>
      <c r="AG4" s="272"/>
      <c r="AH4" s="272"/>
      <c r="AI4" s="272"/>
      <c r="AJ4" s="272"/>
      <c r="AK4" s="272"/>
      <c r="AL4" s="273"/>
    </row>
    <row r="5" spans="1:38" x14ac:dyDescent="0.2">
      <c r="A5" s="80" t="s">
        <v>310</v>
      </c>
      <c r="B5" s="81" t="s">
        <v>254</v>
      </c>
      <c r="C5" s="82">
        <f>+PL!K6</f>
        <v>178690.05190311401</v>
      </c>
      <c r="D5" s="82">
        <f>+PL!L6</f>
        <v>228162.5106564365</v>
      </c>
      <c r="E5" s="82">
        <f>+PL!M6</f>
        <v>185528.85343416347</v>
      </c>
      <c r="F5" s="82">
        <f>+PL!N6</f>
        <v>167398.51104675228</v>
      </c>
      <c r="G5" s="82">
        <f>+PL!O6</f>
        <v>173287.57670911792</v>
      </c>
      <c r="H5" s="82">
        <f>+PL!P6</f>
        <v>177881.84871766673</v>
      </c>
      <c r="I5" s="82">
        <f>+PL!Q6</f>
        <v>171715.58089207942</v>
      </c>
      <c r="J5" s="82">
        <f>+PL!R6</f>
        <v>149769.25517416568</v>
      </c>
      <c r="K5" s="82">
        <f>+PL!S6</f>
        <v>157111.54862516082</v>
      </c>
      <c r="L5" s="82">
        <f>+PL!T6</f>
        <v>150018.4249596498</v>
      </c>
      <c r="M5" s="82">
        <f>+PL!U6</f>
        <v>150079.80754763054</v>
      </c>
      <c r="N5" s="82">
        <f>+PL!V6</f>
        <v>165545.42591284707</v>
      </c>
      <c r="O5" s="82">
        <f>+PL!W6</f>
        <v>176132.00737193864</v>
      </c>
      <c r="P5" s="82">
        <f>+PL!X6</f>
        <v>168887.11406020238</v>
      </c>
      <c r="Q5" s="82">
        <f>+PL!Y6</f>
        <v>186822.29642525339</v>
      </c>
      <c r="R5" s="82">
        <f>+PL!Z6</f>
        <v>164449.18406024383</v>
      </c>
      <c r="S5" s="82">
        <f>+PL!AA6</f>
        <v>210560.48789302495</v>
      </c>
      <c r="T5" s="82">
        <f>+PL!AB6</f>
        <v>189103.8323222519</v>
      </c>
      <c r="U5" s="82">
        <f>+PL!AC6</f>
        <v>206106.80664579821</v>
      </c>
      <c r="W5" s="271"/>
      <c r="X5" s="272"/>
      <c r="Y5" s="272"/>
      <c r="Z5" s="272"/>
      <c r="AA5" s="272"/>
      <c r="AB5" s="272"/>
      <c r="AC5" s="272"/>
      <c r="AD5" s="273"/>
      <c r="AE5" s="271"/>
      <c r="AF5" s="272"/>
      <c r="AG5" s="272"/>
      <c r="AH5" s="272"/>
      <c r="AI5" s="272"/>
      <c r="AJ5" s="272"/>
      <c r="AK5" s="272"/>
      <c r="AL5" s="273"/>
    </row>
    <row r="6" spans="1:38" x14ac:dyDescent="0.2">
      <c r="A6" s="83" t="s">
        <v>345</v>
      </c>
      <c r="B6" s="84" t="s">
        <v>254</v>
      </c>
      <c r="C6" s="85">
        <f>PL!K9+PL!K10+PL!K12</f>
        <v>98478.326742461708</v>
      </c>
      <c r="D6" s="85">
        <f>PL!L9+PL!L10+PL!L12</f>
        <v>129960.99744245525</v>
      </c>
      <c r="E6" s="85">
        <f>PL!M9+PL!M10+PL!M12</f>
        <v>101557.54976067608</v>
      </c>
      <c r="F6" s="85">
        <f>PL!N9+PL!N10+PL!N12</f>
        <v>82035.781279042101</v>
      </c>
      <c r="G6" s="85">
        <f>PL!O9+PL!O10+PL!O12</f>
        <v>97028.504072694239</v>
      </c>
      <c r="H6" s="85">
        <f>PL!P9+PL!P10+PL!P12</f>
        <v>89381.607287617313</v>
      </c>
      <c r="I6" s="85">
        <f>PL!Q9+PL!Q10+PL!Q12</f>
        <v>83783.531309148631</v>
      </c>
      <c r="J6" s="85">
        <f>PL!R9+PL!R10+PL!R12</f>
        <v>82828.010698049096</v>
      </c>
      <c r="K6" s="85">
        <f>PL!S9+PL!S10+PL!S12</f>
        <v>85652.643215773467</v>
      </c>
      <c r="L6" s="85">
        <f>PL!T9+PL!T10+PL!T12</f>
        <v>72996.61317858423</v>
      </c>
      <c r="M6" s="85">
        <f>PL!U9+PL!U10+PL!U12</f>
        <v>80569.50311998534</v>
      </c>
      <c r="N6" s="85">
        <f>PL!V9+PL!V10+PL!V12</f>
        <v>88275.042592205253</v>
      </c>
      <c r="O6" s="85">
        <f>PL!W9+PL!W10+PL!W12</f>
        <v>96766.900957168036</v>
      </c>
      <c r="P6" s="85">
        <f>PL!X9+PL!X10+PL!X12</f>
        <v>77716.849351620709</v>
      </c>
      <c r="Q6" s="85">
        <f>PL!Y9+PL!Y10+PL!Y12</f>
        <v>97028.03025679235</v>
      </c>
      <c r="R6" s="85">
        <f>PL!Z9+PL!Z10+PL!Z12</f>
        <v>78364.090996284722</v>
      </c>
      <c r="S6" s="85">
        <f>PL!AA9+PL!AA10+PL!AA12</f>
        <v>101118.36742561137</v>
      </c>
      <c r="T6" s="85">
        <f>PL!AB9+PL!AB10+PL!AB12</f>
        <v>92682.522203348693</v>
      </c>
      <c r="U6" s="85">
        <f>PL!AC9+PL!AC10+PL!AC12</f>
        <v>95295.084035636901</v>
      </c>
      <c r="W6" s="271"/>
      <c r="X6" s="272"/>
      <c r="Y6" s="272"/>
      <c r="Z6" s="272"/>
      <c r="AA6" s="272"/>
      <c r="AB6" s="272"/>
      <c r="AC6" s="272"/>
      <c r="AD6" s="273"/>
      <c r="AE6" s="271"/>
      <c r="AF6" s="272"/>
      <c r="AG6" s="272"/>
      <c r="AH6" s="272"/>
      <c r="AI6" s="272"/>
      <c r="AJ6" s="272"/>
      <c r="AK6" s="272"/>
      <c r="AL6" s="273"/>
    </row>
    <row r="7" spans="1:38" x14ac:dyDescent="0.2">
      <c r="A7" s="83" t="s">
        <v>346</v>
      </c>
      <c r="B7" s="84" t="s">
        <v>254</v>
      </c>
      <c r="C7" s="85">
        <f>+PL!K11+PL!K17</f>
        <v>41282.926347009401</v>
      </c>
      <c r="D7" s="85">
        <f>+PL!L11+PL!L17</f>
        <v>57942.242114237</v>
      </c>
      <c r="E7" s="85">
        <f>+PL!M11+PL!M17</f>
        <v>49273.13682023478</v>
      </c>
      <c r="F7" s="85">
        <f>+PL!N11+PL!N17</f>
        <v>47022.069056764842</v>
      </c>
      <c r="G7" s="85">
        <f>+PL!O11+PL!O17</f>
        <v>44734.921455186668</v>
      </c>
      <c r="H7" s="85">
        <f>+PL!P11+PL!P17</f>
        <v>44061.812659746138</v>
      </c>
      <c r="I7" s="85">
        <f>+PL!Q11+PL!Q17</f>
        <v>48927.956304329447</v>
      </c>
      <c r="J7" s="85">
        <f>+PL!R11+PL!R17</f>
        <v>40183.98649872285</v>
      </c>
      <c r="K7" s="85">
        <f>+PL!S11+PL!S17</f>
        <v>38763.814006318964</v>
      </c>
      <c r="L7" s="85">
        <f>+PL!T11+PL!T17</f>
        <v>45222.703016577274</v>
      </c>
      <c r="M7" s="85">
        <f>+PL!U11+PL!U17</f>
        <v>35977.006246720179</v>
      </c>
      <c r="N7" s="85">
        <f>+PL!V11+PL!V17</f>
        <v>40893.944432825039</v>
      </c>
      <c r="O7" s="85">
        <f>+PL!W11+PL!W17</f>
        <v>39900.558203611188</v>
      </c>
      <c r="P7" s="85">
        <f>+PL!X11+PL!X17</f>
        <v>46795.682186697471</v>
      </c>
      <c r="Q7" s="85">
        <f>+PL!Y11+PL!Y17</f>
        <v>44187.334096149054</v>
      </c>
      <c r="R7" s="85">
        <f>+PL!Z11+PL!Z17</f>
        <v>45798.151345496059</v>
      </c>
      <c r="S7" s="85">
        <f>+PL!AA11+PL!AA17</f>
        <v>49033.847006384771</v>
      </c>
      <c r="T7" s="85">
        <f>+PL!AB11+PL!AB17</f>
        <v>46981.922348944427</v>
      </c>
      <c r="U7" s="85">
        <f>+PL!AC11+PL!AC17</f>
        <v>49018.605225138454</v>
      </c>
      <c r="W7" s="271"/>
      <c r="X7" s="272"/>
      <c r="Y7" s="272"/>
      <c r="Z7" s="272"/>
      <c r="AA7" s="272"/>
      <c r="AB7" s="272"/>
      <c r="AC7" s="272"/>
      <c r="AD7" s="273"/>
      <c r="AE7" s="271"/>
      <c r="AF7" s="272"/>
      <c r="AG7" s="272"/>
      <c r="AH7" s="272"/>
      <c r="AI7" s="272"/>
      <c r="AJ7" s="272"/>
      <c r="AK7" s="272"/>
      <c r="AL7" s="273"/>
    </row>
    <row r="8" spans="1:38" x14ac:dyDescent="0.2">
      <c r="A8" s="83" t="s">
        <v>347</v>
      </c>
      <c r="B8" s="84" t="s">
        <v>254</v>
      </c>
      <c r="C8" s="85">
        <f>+PL!K13+PL!K14</f>
        <v>13927.904102817569</v>
      </c>
      <c r="D8" s="85">
        <f>+PL!L13+PL!L14</f>
        <v>11114.876385336742</v>
      </c>
      <c r="E8" s="85">
        <f>+PL!M13+PL!M14</f>
        <v>12443.005594287531</v>
      </c>
      <c r="F8" s="85">
        <f>+PL!N13+PL!N14</f>
        <v>14745.020340546667</v>
      </c>
      <c r="G8" s="85">
        <f>+PL!O13+PL!O14</f>
        <v>9985.9977337336531</v>
      </c>
      <c r="H8" s="85">
        <f>+PL!P13+PL!P14</f>
        <v>20378.57390910442</v>
      </c>
      <c r="I8" s="85">
        <f>+PL!Q13+PL!Q14</f>
        <v>19727.119840745399</v>
      </c>
      <c r="J8" s="85">
        <f>+PL!R13+PL!R14</f>
        <v>7927.935592095243</v>
      </c>
      <c r="K8" s="85">
        <f>+PL!S13+PL!S14</f>
        <v>11134.997895553262</v>
      </c>
      <c r="L8" s="85">
        <f>+PL!T13+PL!T14</f>
        <v>11801.79804052952</v>
      </c>
      <c r="M8" s="85">
        <f>+PL!U13+PL!U14</f>
        <v>9592.6225199019718</v>
      </c>
      <c r="N8" s="85">
        <f>+PL!V13+PL!V14</f>
        <v>9034.6148684017116</v>
      </c>
      <c r="O8" s="85">
        <f>+PL!W13+PL!W14</f>
        <v>12362.483719234073</v>
      </c>
      <c r="P8" s="85">
        <f>+PL!X13+PL!X14</f>
        <v>16901.754177557246</v>
      </c>
      <c r="Q8" s="85">
        <f>+PL!Y13+PL!Y14</f>
        <v>19485.190123931687</v>
      </c>
      <c r="R8" s="85">
        <f>+PL!Z13+PL!Z14</f>
        <v>16347.16785450781</v>
      </c>
      <c r="S8" s="85">
        <f>+PL!AA13+PL!AA14</f>
        <v>27711.719310926372</v>
      </c>
      <c r="T8" s="85">
        <f>+PL!AB13+PL!AB14</f>
        <v>22544.345668527068</v>
      </c>
      <c r="U8" s="85">
        <f>+PL!AC13+PL!AC14</f>
        <v>37747.155550204654</v>
      </c>
      <c r="W8" s="271"/>
      <c r="X8" s="272"/>
      <c r="Y8" s="272"/>
      <c r="Z8" s="272"/>
      <c r="AA8" s="272"/>
      <c r="AB8" s="272"/>
      <c r="AC8" s="272"/>
      <c r="AD8" s="273"/>
      <c r="AE8" s="271"/>
      <c r="AF8" s="272"/>
      <c r="AG8" s="272"/>
      <c r="AH8" s="272"/>
      <c r="AI8" s="272"/>
      <c r="AJ8" s="272"/>
      <c r="AK8" s="272"/>
      <c r="AL8" s="273"/>
    </row>
    <row r="9" spans="1:38" x14ac:dyDescent="0.2">
      <c r="A9" s="83" t="s">
        <v>348</v>
      </c>
      <c r="B9" s="84" t="s">
        <v>254</v>
      </c>
      <c r="C9" s="85">
        <f>+PL!K16-PL!K17</f>
        <v>23775.292881858597</v>
      </c>
      <c r="D9" s="85">
        <f>+PL!L16-PL!L17</f>
        <v>29663.789428815002</v>
      </c>
      <c r="E9" s="85">
        <f>+PL!M16-PL!M17</f>
        <v>20777.48694537648</v>
      </c>
      <c r="F9" s="85">
        <f>+PL!N16-PL!N17</f>
        <v>20734.257295742143</v>
      </c>
      <c r="G9" s="85">
        <f>+PL!O16-PL!O17</f>
        <v>20896.327236611924</v>
      </c>
      <c r="H9" s="85">
        <f>+PL!P16-PL!P17</f>
        <v>23547.722031886202</v>
      </c>
      <c r="I9" s="85">
        <f>+PL!Q16-PL!Q17</f>
        <v>23088.292590698613</v>
      </c>
      <c r="J9" s="85">
        <f>+PL!R16-PL!R17</f>
        <v>19798.035253021222</v>
      </c>
      <c r="K9" s="85">
        <f>+PL!S16-PL!S17</f>
        <v>19652.359345344823</v>
      </c>
      <c r="L9" s="85">
        <f>+PL!T16-PL!T17</f>
        <v>18689.158892140302</v>
      </c>
      <c r="M9" s="85">
        <f>+PL!U16-PL!U17</f>
        <v>21115.295209182212</v>
      </c>
      <c r="N9" s="85">
        <f>+PL!V16-PL!V17</f>
        <v>23375.052633482752</v>
      </c>
      <c r="O9" s="85">
        <f>+PL!W16-PL!W17</f>
        <v>22540.625517323799</v>
      </c>
      <c r="P9" s="85">
        <f>+PL!X16-PL!X17</f>
        <v>23857.529595411943</v>
      </c>
      <c r="Q9" s="85">
        <f>+PL!Y16-PL!Y17</f>
        <v>21134.472650974018</v>
      </c>
      <c r="R9" s="85">
        <f>+PL!Z16-PL!Z17</f>
        <v>20651.003578089367</v>
      </c>
      <c r="S9" s="85">
        <f>+PL!AA16-PL!AA17</f>
        <v>28410.749789182028</v>
      </c>
      <c r="T9" s="85">
        <f>+PL!AB16-PL!AB17</f>
        <v>26344.500970638197</v>
      </c>
      <c r="U9" s="85">
        <f>+PL!AC16-PL!AC17</f>
        <v>22640.849024801348</v>
      </c>
      <c r="W9" s="271"/>
      <c r="X9" s="272"/>
      <c r="Y9" s="272"/>
      <c r="Z9" s="272"/>
      <c r="AA9" s="272"/>
      <c r="AB9" s="272"/>
      <c r="AC9" s="272"/>
      <c r="AD9" s="273"/>
      <c r="AE9" s="271"/>
      <c r="AF9" s="272"/>
      <c r="AG9" s="272"/>
      <c r="AH9" s="272"/>
      <c r="AI9" s="272"/>
      <c r="AJ9" s="272"/>
      <c r="AK9" s="272"/>
      <c r="AL9" s="273"/>
    </row>
    <row r="10" spans="1:38" x14ac:dyDescent="0.2">
      <c r="A10" s="83" t="s">
        <v>69</v>
      </c>
      <c r="B10" s="84" t="s">
        <v>254</v>
      </c>
      <c r="C10" s="85">
        <f>+PL!K42</f>
        <v>1225.6018289670174</v>
      </c>
      <c r="D10" s="85">
        <f>+PL!L42</f>
        <v>-519.3947144075064</v>
      </c>
      <c r="E10" s="85">
        <f>+PL!M42</f>
        <v>1477.6743135889119</v>
      </c>
      <c r="F10" s="85">
        <f>+PL!N42</f>
        <v>2861.3830746563908</v>
      </c>
      <c r="G10" s="85">
        <f>+PL!O42</f>
        <v>641.82621089174063</v>
      </c>
      <c r="H10" s="85">
        <f>+PL!P42</f>
        <v>512.13282931258436</v>
      </c>
      <c r="I10" s="85">
        <f>+PL!Q42</f>
        <v>-3811.3191528423281</v>
      </c>
      <c r="J10" s="85">
        <f>+PL!R42</f>
        <v>-968.71286772274459</v>
      </c>
      <c r="K10" s="85">
        <f>+PL!S42</f>
        <v>1907.7341621702251</v>
      </c>
      <c r="L10" s="85">
        <f>+PL!T42</f>
        <v>1308.1518318185015</v>
      </c>
      <c r="M10" s="85">
        <f>+PL!U42</f>
        <v>2825.3804518408192</v>
      </c>
      <c r="N10" s="85">
        <f>+PL!V42</f>
        <v>3966.7713859323007</v>
      </c>
      <c r="O10" s="85">
        <f>+PL!W42</f>
        <v>4561.438974601514</v>
      </c>
      <c r="P10" s="85">
        <f>+PL!X42</f>
        <v>3615.2987489150823</v>
      </c>
      <c r="Q10" s="85">
        <f>+PL!Y42</f>
        <v>4987.2692974063229</v>
      </c>
      <c r="R10" s="85">
        <f>+PL!Z42</f>
        <v>3288.7702858659486</v>
      </c>
      <c r="S10" s="85">
        <f>+PL!AA42</f>
        <v>4285.8043609203705</v>
      </c>
      <c r="T10" s="85">
        <f>+PL!AB42</f>
        <v>550.54100946372239</v>
      </c>
      <c r="U10" s="85">
        <f>+PL!AC42</f>
        <v>1405.1128100168553</v>
      </c>
      <c r="W10" s="271"/>
      <c r="X10" s="272"/>
      <c r="Y10" s="272"/>
      <c r="Z10" s="272"/>
      <c r="AA10" s="272"/>
      <c r="AB10" s="272"/>
      <c r="AC10" s="272"/>
      <c r="AD10" s="273"/>
      <c r="AE10" s="271"/>
      <c r="AF10" s="272"/>
      <c r="AG10" s="272"/>
      <c r="AH10" s="272"/>
      <c r="AI10" s="272"/>
      <c r="AJ10" s="272"/>
      <c r="AK10" s="272"/>
      <c r="AL10" s="273"/>
    </row>
    <row r="11" spans="1:38" x14ac:dyDescent="0.2">
      <c r="A11" s="86" t="s">
        <v>311</v>
      </c>
      <c r="B11" s="84" t="s">
        <v>254</v>
      </c>
      <c r="C11" s="87">
        <f>+PL!K34</f>
        <v>1068.32056351952</v>
      </c>
      <c r="D11" s="87">
        <f>+PL!L34</f>
        <v>-1777.4936061381075</v>
      </c>
      <c r="E11" s="87">
        <f>+PL!M34</f>
        <v>1494.2503164568413</v>
      </c>
      <c r="F11" s="87">
        <f>+PL!N34</f>
        <v>4432.0498402299372</v>
      </c>
      <c r="G11" s="87">
        <f>+PL!O34</f>
        <v>1860.0379218558428</v>
      </c>
      <c r="H11" s="87">
        <f>+PL!P34</f>
        <v>894.23853736377112</v>
      </c>
      <c r="I11" s="87">
        <f>+PL!Q34</f>
        <v>-3154.2424382950499</v>
      </c>
      <c r="J11" s="87">
        <f>+PL!R34</f>
        <v>-67.547033838425293</v>
      </c>
      <c r="K11" s="87">
        <f>+PL!S34</f>
        <v>2541.1832224739037</v>
      </c>
      <c r="L11" s="87">
        <f>+PL!T34</f>
        <v>1985.8973658749958</v>
      </c>
      <c r="M11" s="87">
        <f>+PL!U34</f>
        <v>2916.5360283739246</v>
      </c>
      <c r="N11" s="87">
        <f>+PL!V34</f>
        <v>6499.580013040736</v>
      </c>
      <c r="O11" s="87">
        <f>+PL!W34</f>
        <v>6610.8576718471513</v>
      </c>
      <c r="P11" s="87">
        <f>+PL!X34</f>
        <v>4609.7749969860743</v>
      </c>
      <c r="Q11" s="87">
        <f>+PL!Y34</f>
        <v>5959.5944767777009</v>
      </c>
      <c r="R11" s="87">
        <f>+PL!Z34</f>
        <v>4499.3556578553234</v>
      </c>
      <c r="S11" s="87">
        <f>+PL!AA34</f>
        <v>6407.3807974942774</v>
      </c>
      <c r="T11" s="87">
        <f>+PL!AB34</f>
        <v>4005.7256733802474</v>
      </c>
      <c r="U11" s="87">
        <f>+PL!AC34</f>
        <v>4479.7866602456052</v>
      </c>
      <c r="W11" s="271"/>
      <c r="X11" s="272"/>
      <c r="Y11" s="272"/>
      <c r="Z11" s="272"/>
      <c r="AA11" s="272"/>
      <c r="AB11" s="272"/>
      <c r="AC11" s="272"/>
      <c r="AD11" s="273"/>
      <c r="AE11" s="271"/>
      <c r="AF11" s="272"/>
      <c r="AG11" s="272"/>
      <c r="AH11" s="272"/>
      <c r="AI11" s="272"/>
      <c r="AJ11" s="272"/>
      <c r="AK11" s="272"/>
      <c r="AL11" s="273"/>
    </row>
    <row r="12" spans="1:38" x14ac:dyDescent="0.2">
      <c r="A12" s="88" t="s">
        <v>312</v>
      </c>
      <c r="B12" s="89" t="s">
        <v>254</v>
      </c>
      <c r="C12" s="90">
        <f>+PL!K38</f>
        <v>262.13049925852704</v>
      </c>
      <c r="D12" s="90">
        <f>+PL!L38</f>
        <v>-3023.0179028132989</v>
      </c>
      <c r="E12" s="90">
        <f>+PL!M38</f>
        <v>-894.82432958880952</v>
      </c>
      <c r="F12" s="90">
        <f>+PL!N38</f>
        <v>2394.2914137799667</v>
      </c>
      <c r="G12" s="90">
        <f>+PL!O38</f>
        <v>-71.154623444265027</v>
      </c>
      <c r="H12" s="90">
        <f>+PL!P38</f>
        <v>-1020.8177197785333</v>
      </c>
      <c r="I12" s="90">
        <f>+PL!Q38</f>
        <v>-3410.8637068218663</v>
      </c>
      <c r="J12" s="90">
        <f>+PL!R38</f>
        <v>-1787.6439813067707</v>
      </c>
      <c r="K12" s="90">
        <f>+PL!S38</f>
        <v>2387.6276188729912</v>
      </c>
      <c r="L12" s="90">
        <f>+PL!T38</f>
        <v>815.09272825836979</v>
      </c>
      <c r="M12" s="90">
        <f>+PL!U38</f>
        <v>1660.7831953967716</v>
      </c>
      <c r="N12" s="90">
        <f>+PL!V38</f>
        <v>4853.7789577215972</v>
      </c>
      <c r="O12" s="90">
        <f>+PL!W38</f>
        <v>4284.6193742702008</v>
      </c>
      <c r="P12" s="90">
        <f>+PL!X38</f>
        <v>2672.0849068085427</v>
      </c>
      <c r="Q12" s="90">
        <f>+PL!Y38</f>
        <v>3426.7410584693539</v>
      </c>
      <c r="R12" s="90">
        <f>+PL!Z38</f>
        <v>2247.6164599016452</v>
      </c>
      <c r="S12" s="90">
        <f>+PL!AA38</f>
        <v>3683.5410191543187</v>
      </c>
      <c r="T12" s="90">
        <f>+PL!AB38</f>
        <v>98201.491992234907</v>
      </c>
      <c r="U12" s="90">
        <f>+PL!AC38</f>
        <v>2690.3723814110281</v>
      </c>
      <c r="W12" s="271"/>
      <c r="X12" s="272"/>
      <c r="Y12" s="272"/>
      <c r="Z12" s="272"/>
      <c r="AA12" s="272"/>
      <c r="AB12" s="272"/>
      <c r="AC12" s="272"/>
      <c r="AD12" s="273"/>
      <c r="AE12" s="271"/>
      <c r="AF12" s="272"/>
      <c r="AG12" s="272"/>
      <c r="AH12" s="272"/>
      <c r="AI12" s="272"/>
      <c r="AJ12" s="272"/>
      <c r="AK12" s="272"/>
      <c r="AL12" s="273"/>
    </row>
    <row r="13" spans="1:38" x14ac:dyDescent="0.2">
      <c r="A13" s="78" t="s">
        <v>317</v>
      </c>
      <c r="B13" s="79" t="s">
        <v>318</v>
      </c>
      <c r="C13" s="102">
        <f>+PL!K5</f>
        <v>12.533860603064801</v>
      </c>
      <c r="D13" s="102">
        <f>+PL!L5</f>
        <v>13.575554134697358</v>
      </c>
      <c r="E13" s="102">
        <f>+PL!M5</f>
        <v>12.234161961694509</v>
      </c>
      <c r="F13" s="102">
        <f>+PL!N5</f>
        <v>13.049525075729587</v>
      </c>
      <c r="G13" s="102">
        <f>+PL!O5</f>
        <v>12.042501603928507</v>
      </c>
      <c r="H13" s="102">
        <f>+PL!P5</f>
        <v>12.65665301851298</v>
      </c>
      <c r="I13" s="102">
        <f>+PL!Q5</f>
        <v>12.891024716625235</v>
      </c>
      <c r="J13" s="102">
        <f>+PL!R5</f>
        <v>11.369715396230543</v>
      </c>
      <c r="K13" s="102">
        <f>+PL!S5</f>
        <v>11.822918680996302</v>
      </c>
      <c r="L13" s="102">
        <f>+PL!T5</f>
        <v>11.216756404879648</v>
      </c>
      <c r="M13" s="102">
        <f>+PL!U5</f>
        <v>11.259526306681627</v>
      </c>
      <c r="N13" s="102">
        <f>+PL!V5</f>
        <v>11.220040071415035</v>
      </c>
      <c r="O13" s="102">
        <f>+PL!W5</f>
        <v>11.891748367618137</v>
      </c>
      <c r="P13" s="102">
        <f>+PL!X5</f>
        <v>11.841413482968505</v>
      </c>
      <c r="Q13" s="102">
        <f>+PL!Y5</f>
        <v>12.158751196879896</v>
      </c>
      <c r="R13" s="102">
        <f>+PL!Z5</f>
        <v>12.014836033329496</v>
      </c>
      <c r="S13" s="102">
        <f>+PL!AA5</f>
        <v>13.08300204794603</v>
      </c>
      <c r="T13" s="102">
        <f>+PL!AB5</f>
        <v>12.472094151904878</v>
      </c>
      <c r="U13" s="102">
        <f>+PL!AC5</f>
        <v>12.375150493619071</v>
      </c>
      <c r="W13" s="271"/>
      <c r="X13" s="272"/>
      <c r="Y13" s="272"/>
      <c r="Z13" s="272"/>
      <c r="AA13" s="272"/>
      <c r="AB13" s="272"/>
      <c r="AC13" s="272"/>
      <c r="AD13" s="273"/>
      <c r="AE13" s="271"/>
      <c r="AF13" s="272"/>
      <c r="AG13" s="272"/>
      <c r="AH13" s="272"/>
      <c r="AI13" s="272"/>
      <c r="AJ13" s="272"/>
      <c r="AK13" s="272"/>
      <c r="AL13" s="273"/>
    </row>
    <row r="14" spans="1:38"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W14" s="271"/>
      <c r="X14" s="272"/>
      <c r="Y14" s="272"/>
      <c r="Z14" s="272"/>
      <c r="AA14" s="272"/>
      <c r="AB14" s="272"/>
      <c r="AC14" s="272"/>
      <c r="AD14" s="273"/>
      <c r="AE14" s="271"/>
      <c r="AF14" s="272"/>
      <c r="AG14" s="272"/>
      <c r="AH14" s="272"/>
      <c r="AI14" s="272"/>
      <c r="AJ14" s="272"/>
      <c r="AK14" s="272"/>
      <c r="AL14" s="273"/>
    </row>
    <row r="15" spans="1:38" x14ac:dyDescent="0.2">
      <c r="A15" s="80" t="s">
        <v>319</v>
      </c>
      <c r="B15" s="81" t="s">
        <v>254</v>
      </c>
      <c r="C15" s="82">
        <f>+BS!K9</f>
        <v>93052.150271873514</v>
      </c>
      <c r="D15" s="82">
        <f>+BS!L9</f>
        <v>120076.93947144075</v>
      </c>
      <c r="E15" s="82">
        <f>+BS!M9</f>
        <v>99252.025378439183</v>
      </c>
      <c r="F15" s="82">
        <f>+BS!N9</f>
        <v>95192.484801507104</v>
      </c>
      <c r="G15" s="82">
        <f>+BS!O9</f>
        <v>95395.828214968264</v>
      </c>
      <c r="H15" s="82">
        <f>+BS!P9</f>
        <v>107140.09009290635</v>
      </c>
      <c r="I15" s="82">
        <f>+BS!Q9</f>
        <v>120884.41984691765</v>
      </c>
      <c r="J15" s="82">
        <f>+BS!R9</f>
        <v>81053.56271476316</v>
      </c>
      <c r="K15" s="82">
        <f>+BS!S9</f>
        <v>89963.932836828622</v>
      </c>
      <c r="L15" s="82">
        <f>+BS!T9</f>
        <v>73968.673083067697</v>
      </c>
      <c r="M15" s="82">
        <f>+BS!U9</f>
        <v>78573.487896815408</v>
      </c>
      <c r="N15" s="82">
        <f>+BS!V9</f>
        <v>110160.4696158704</v>
      </c>
      <c r="O15" s="82">
        <f>+BS!W9</f>
        <v>109555.28674669142</v>
      </c>
      <c r="P15" s="82">
        <f>+BS!X9</f>
        <v>83864.83564920268</v>
      </c>
      <c r="Q15" s="82">
        <f>+BS!Y9</f>
        <v>102204.69344756007</v>
      </c>
      <c r="R15" s="82">
        <f>+BS!Z9</f>
        <v>93274.378375935543</v>
      </c>
      <c r="S15" s="82">
        <f>+BS!AA9</f>
        <v>117523.45572822551</v>
      </c>
      <c r="T15" s="82">
        <f>+BS!AB9</f>
        <v>115967.39856830866</v>
      </c>
      <c r="U15" s="82">
        <f>+BS!AC9</f>
        <v>111197.8044786901</v>
      </c>
      <c r="W15" s="271"/>
      <c r="X15" s="272"/>
      <c r="Y15" s="272"/>
      <c r="Z15" s="272"/>
      <c r="AA15" s="272"/>
      <c r="AB15" s="272"/>
      <c r="AC15" s="272"/>
      <c r="AD15" s="273"/>
      <c r="AE15" s="271"/>
      <c r="AF15" s="272"/>
      <c r="AG15" s="272"/>
      <c r="AH15" s="272"/>
      <c r="AI15" s="272"/>
      <c r="AJ15" s="272"/>
      <c r="AK15" s="272"/>
      <c r="AL15" s="273"/>
    </row>
    <row r="16" spans="1:38" x14ac:dyDescent="0.2">
      <c r="A16" s="86" t="s">
        <v>320</v>
      </c>
      <c r="B16" s="84" t="s">
        <v>254</v>
      </c>
      <c r="C16" s="87">
        <f>+BS!K15</f>
        <v>78422.763222936206</v>
      </c>
      <c r="D16" s="87">
        <f>+BS!L15</f>
        <v>92275.895140664958</v>
      </c>
      <c r="E16" s="87">
        <f>+BS!M15</f>
        <v>55054.604132235909</v>
      </c>
      <c r="F16" s="87">
        <f>+BS!N15</f>
        <v>76456.304621388685</v>
      </c>
      <c r="G16" s="87">
        <f>+BS!O15</f>
        <v>67377.820117776937</v>
      </c>
      <c r="H16" s="87">
        <f>+BS!P15</f>
        <v>92643.730909809034</v>
      </c>
      <c r="I16" s="87">
        <f>+BS!Q15</f>
        <v>116721.95267130555</v>
      </c>
      <c r="J16" s="87">
        <f>+BS!R15</f>
        <v>76810.998297142214</v>
      </c>
      <c r="K16" s="87">
        <f>+BS!S15</f>
        <v>61793.223185692266</v>
      </c>
      <c r="L16" s="87">
        <f>+BS!T15</f>
        <v>60010.636288864138</v>
      </c>
      <c r="M16" s="87">
        <f>+BS!U15</f>
        <v>58363.310072639426</v>
      </c>
      <c r="N16" s="87">
        <f>+BS!V15</f>
        <v>72609.115931508844</v>
      </c>
      <c r="O16" s="87">
        <f>+BS!W15</f>
        <v>80659.66759834504</v>
      </c>
      <c r="P16" s="87">
        <f>+BS!X15</f>
        <v>67791.462308240763</v>
      </c>
      <c r="Q16" s="87">
        <f>+BS!Y15</f>
        <v>92068.569778016463</v>
      </c>
      <c r="R16" s="87">
        <f>+BS!Z15</f>
        <v>70846.15594365068</v>
      </c>
      <c r="S16" s="87">
        <f>+BS!AA15</f>
        <v>84272.693289965056</v>
      </c>
      <c r="T16" s="87">
        <f>+BS!AB15</f>
        <v>79271.706624605664</v>
      </c>
      <c r="U16" s="87">
        <f>+BS!AC15</f>
        <v>66958.220563448107</v>
      </c>
      <c r="W16" s="271"/>
      <c r="X16" s="272"/>
      <c r="Y16" s="272"/>
      <c r="Z16" s="272"/>
      <c r="AA16" s="272"/>
      <c r="AB16" s="272"/>
      <c r="AC16" s="272"/>
      <c r="AD16" s="273"/>
      <c r="AE16" s="271"/>
      <c r="AF16" s="272"/>
      <c r="AG16" s="272"/>
      <c r="AH16" s="272"/>
      <c r="AI16" s="272"/>
      <c r="AJ16" s="272"/>
      <c r="AK16" s="272"/>
      <c r="AL16" s="273"/>
    </row>
    <row r="17" spans="1:38" x14ac:dyDescent="0.2">
      <c r="A17" s="86" t="s">
        <v>321</v>
      </c>
      <c r="B17" s="84" t="s">
        <v>254</v>
      </c>
      <c r="C17" s="87">
        <f>+BS!K30</f>
        <v>120535.714285714</v>
      </c>
      <c r="D17" s="87">
        <f>+BS!L30</f>
        <v>162943.30775788578</v>
      </c>
      <c r="E17" s="87">
        <f>+BS!M30</f>
        <v>105881.71609966896</v>
      </c>
      <c r="F17" s="87">
        <f>+BS!N30</f>
        <v>105813.02053262552</v>
      </c>
      <c r="G17" s="87">
        <f>+BS!O30</f>
        <v>112875.50673177226</v>
      </c>
      <c r="H17" s="87">
        <f>+BS!P30</f>
        <v>133868.88800736287</v>
      </c>
      <c r="I17" s="87">
        <f>+BS!Q30</f>
        <v>151798.58071301051</v>
      </c>
      <c r="J17" s="87">
        <f>+BS!R30</f>
        <v>125937.18834168522</v>
      </c>
      <c r="K17" s="87">
        <f>+BS!S30</f>
        <v>106984.50041396102</v>
      </c>
      <c r="L17" s="87">
        <f>+BS!T30</f>
        <v>85887.198868225911</v>
      </c>
      <c r="M17" s="87">
        <f>+BS!U30</f>
        <v>90475.577825483648</v>
      </c>
      <c r="N17" s="87">
        <f>+BS!V30</f>
        <v>102601.98610250725</v>
      </c>
      <c r="O17" s="87">
        <f>+BS!W30</f>
        <v>104613.29800002038</v>
      </c>
      <c r="P17" s="87">
        <f>+BS!X30</f>
        <v>99150.051606963752</v>
      </c>
      <c r="Q17" s="87">
        <f>+BS!Y30</f>
        <v>104432.88748899485</v>
      </c>
      <c r="R17" s="87">
        <f>+BS!Z30</f>
        <v>105363.40753894871</v>
      </c>
      <c r="S17" s="87">
        <f>+BS!AA30</f>
        <v>124232.55125888449</v>
      </c>
      <c r="T17" s="87">
        <f>+BS!AB30</f>
        <v>110947.58480951225</v>
      </c>
      <c r="U17" s="87">
        <f>+BS!AC30</f>
        <v>112805.9567782326</v>
      </c>
      <c r="W17" s="271"/>
      <c r="X17" s="272"/>
      <c r="Y17" s="272"/>
      <c r="Z17" s="272"/>
      <c r="AA17" s="272"/>
      <c r="AB17" s="272"/>
      <c r="AC17" s="272"/>
      <c r="AD17" s="273"/>
      <c r="AE17" s="271"/>
      <c r="AF17" s="272"/>
      <c r="AG17" s="272"/>
      <c r="AH17" s="272"/>
      <c r="AI17" s="272"/>
      <c r="AJ17" s="272"/>
      <c r="AK17" s="272"/>
      <c r="AL17" s="273"/>
    </row>
    <row r="18" spans="1:38" x14ac:dyDescent="0.2">
      <c r="A18" s="93" t="s">
        <v>344</v>
      </c>
      <c r="B18" s="84" t="s">
        <v>254</v>
      </c>
      <c r="C18" s="94">
        <f>+BS!K33+BS!K34+BS!K38+BS!K39+BS!K40</f>
        <v>72652.496292634722</v>
      </c>
      <c r="D18" s="94">
        <f>+BS!L33+BS!L34+BS!L38+BS!L39+BS!L40</f>
        <v>117627.45098039215</v>
      </c>
      <c r="E18" s="94">
        <f>+BS!M33+BS!M34+BS!M38+BS!M39+BS!M40</f>
        <v>64068.006326697665</v>
      </c>
      <c r="F18" s="94">
        <f>+BS!N33+BS!N34+BS!N38+BS!N39+BS!N40</f>
        <v>65672.914169468117</v>
      </c>
      <c r="G18" s="94">
        <f>+BS!O33+BS!O34+BS!O38+BS!O39+BS!O40</f>
        <v>79867.005217781363</v>
      </c>
      <c r="H18" s="94">
        <f>+BS!P33+BS!P34+BS!P38+BS!P39+BS!P40</f>
        <v>86256.354903642408</v>
      </c>
      <c r="I18" s="94">
        <f>+BS!Q33+BS!Q34+BS!Q38+BS!Q39+BS!Q40</f>
        <v>97370.448415401261</v>
      </c>
      <c r="J18" s="94">
        <f>+BS!R33+BS!R34+BS!R38+BS!R39+BS!R40</f>
        <v>82397.102769942721</v>
      </c>
      <c r="K18" s="94">
        <f>+BS!S33+BS!S34+BS!S38+BS!S39+BS!S40</f>
        <v>72055.796425449676</v>
      </c>
      <c r="L18" s="94">
        <f>+BS!T33+BS!T34+BS!T38+BS!T39+BS!T40</f>
        <v>61452.090927936428</v>
      </c>
      <c r="M18" s="94">
        <f>+BS!U33+BS!U34+BS!U38+BS!U39+BS!U40</f>
        <v>55993.422923187849</v>
      </c>
      <c r="N18" s="94">
        <f>+BS!V33+BS!V34+BS!V38+BS!V39+BS!V40</f>
        <v>66064.574578398751</v>
      </c>
      <c r="O18" s="94">
        <f>+BS!W33+BS!W34+BS!W38+BS!W39+BS!W40</f>
        <v>60418.381980535967</v>
      </c>
      <c r="P18" s="94">
        <f>+BS!X33+BS!X34+BS!X38+BS!X39+BS!X40</f>
        <v>66117.477752073173</v>
      </c>
      <c r="Q18" s="94">
        <f>+BS!Y33+BS!Y34+BS!Y38+BS!Y39+BS!Y40</f>
        <v>62361.556420184221</v>
      </c>
      <c r="R18" s="94">
        <f>+BS!Z33+BS!Z34+BS!Z38+BS!Z39+BS!Z40</f>
        <v>71954.064098286035</v>
      </c>
      <c r="S18" s="94">
        <f>+BS!AA33+BS!AA34+BS!AA38+BS!AA39+BS!AA40</f>
        <v>79868.8801349235</v>
      </c>
      <c r="T18" s="94">
        <f>+BS!AB33+BS!AB34+BS!AB38+BS!AB39+BS!AB40</f>
        <v>73848.169133705407</v>
      </c>
      <c r="U18" s="94">
        <f>+BS!AC33+BS!AC34+BS!AC38+BS!AC39+BS!AC40</f>
        <v>72264.589092222493</v>
      </c>
      <c r="W18" s="271"/>
      <c r="X18" s="272"/>
      <c r="Y18" s="272"/>
      <c r="Z18" s="272"/>
      <c r="AA18" s="272"/>
      <c r="AB18" s="272"/>
      <c r="AC18" s="272"/>
      <c r="AD18" s="273"/>
      <c r="AE18" s="271"/>
      <c r="AF18" s="272"/>
      <c r="AG18" s="272"/>
      <c r="AH18" s="272"/>
      <c r="AI18" s="272"/>
      <c r="AJ18" s="272"/>
      <c r="AK18" s="272"/>
      <c r="AL18" s="273"/>
    </row>
    <row r="19" spans="1:38" x14ac:dyDescent="0.2">
      <c r="A19" s="88" t="s">
        <v>314</v>
      </c>
      <c r="B19" s="89" t="s">
        <v>254</v>
      </c>
      <c r="C19" s="90">
        <f>+BS!K43</f>
        <v>51483.316856154197</v>
      </c>
      <c r="D19" s="90">
        <f>+BS!L43</f>
        <v>49507.139812446716</v>
      </c>
      <c r="E19" s="90">
        <f>+BS!M43</f>
        <v>48698.385233398913</v>
      </c>
      <c r="F19" s="90">
        <f>+BS!N43</f>
        <v>65961.847335874991</v>
      </c>
      <c r="G19" s="90">
        <f>+BS!O43</f>
        <v>50236.49470309358</v>
      </c>
      <c r="H19" s="90">
        <f>+BS!P43</f>
        <v>66085.211136520724</v>
      </c>
      <c r="I19" s="90">
        <f>+BS!Q43</f>
        <v>85944.744137372982</v>
      </c>
      <c r="J19" s="90">
        <f>+BS!R43</f>
        <v>31952.277555698762</v>
      </c>
      <c r="K19" s="90">
        <f>+BS!S43</f>
        <v>45684.214792713632</v>
      </c>
      <c r="L19" s="90">
        <f>+BS!T43</f>
        <v>48221.057189315405</v>
      </c>
      <c r="M19" s="90">
        <f>+BS!U43</f>
        <v>46577.298463612438</v>
      </c>
      <c r="N19" s="90">
        <f>+BS!V43</f>
        <v>80617.303997791416</v>
      </c>
      <c r="O19" s="90">
        <f>+BS!W43</f>
        <v>86081.197080467988</v>
      </c>
      <c r="P19" s="90">
        <f>+BS!X43</f>
        <v>53042.841968269684</v>
      </c>
      <c r="Q19" s="90">
        <f>+BS!Y43</f>
        <v>89893.21682627355</v>
      </c>
      <c r="R19" s="90">
        <f>+BS!Z43</f>
        <v>59005.086002803757</v>
      </c>
      <c r="S19" s="90">
        <f>+BS!AA43</f>
        <v>77756.674858450788</v>
      </c>
      <c r="T19" s="90">
        <f>+BS!AB43</f>
        <v>84560.407182722643</v>
      </c>
      <c r="U19" s="90">
        <f>+BS!AC43</f>
        <v>65996.174331808332</v>
      </c>
      <c r="W19" s="271"/>
      <c r="X19" s="272"/>
      <c r="Y19" s="272"/>
      <c r="Z19" s="272"/>
      <c r="AA19" s="272"/>
      <c r="AB19" s="272"/>
      <c r="AC19" s="272"/>
      <c r="AD19" s="273"/>
      <c r="AE19" s="271"/>
      <c r="AF19" s="272"/>
      <c r="AG19" s="272"/>
      <c r="AH19" s="272"/>
      <c r="AI19" s="272"/>
      <c r="AJ19" s="272"/>
      <c r="AK19" s="272"/>
      <c r="AL19" s="273"/>
    </row>
    <row r="20" spans="1:38" x14ac:dyDescent="0.2">
      <c r="A20" s="78" t="s">
        <v>313</v>
      </c>
      <c r="B20" s="79" t="s">
        <v>254</v>
      </c>
      <c r="C20" s="92">
        <f>+BS!K29</f>
        <v>172019.03114186903</v>
      </c>
      <c r="D20" s="92">
        <f>+BS!L29</f>
        <v>212450.44757033247</v>
      </c>
      <c r="E20" s="92">
        <f>+BS!M29</f>
        <v>154580.10133306755</v>
      </c>
      <c r="F20" s="92">
        <f>+BS!N29</f>
        <v>171774.86786850065</v>
      </c>
      <c r="G20" s="92">
        <f>+BS!O29</f>
        <v>163112.00143486558</v>
      </c>
      <c r="H20" s="92">
        <f>+BS!P29</f>
        <v>199954.09914388359</v>
      </c>
      <c r="I20" s="92">
        <f>+BS!Q29</f>
        <v>237743.32485038225</v>
      </c>
      <c r="J20" s="92">
        <f>+BS!R29</f>
        <v>157889.46589738407</v>
      </c>
      <c r="K20" s="92">
        <f>+BS!S29</f>
        <v>152668.71520667465</v>
      </c>
      <c r="L20" s="92">
        <f>+BS!T29</f>
        <v>134108.25605754138</v>
      </c>
      <c r="M20" s="92">
        <f>+BS!U29</f>
        <v>137052.87628909614</v>
      </c>
      <c r="N20" s="92">
        <f>+BS!V29</f>
        <v>183219.29010029873</v>
      </c>
      <c r="O20" s="92">
        <f>+BS!W29</f>
        <v>190694.49508048844</v>
      </c>
      <c r="P20" s="92">
        <f>+BS!X29</f>
        <v>152192.89357523341</v>
      </c>
      <c r="Q20" s="92">
        <f>+BS!Y29</f>
        <v>194326.10431526855</v>
      </c>
      <c r="R20" s="92">
        <f>+BS!Z29</f>
        <v>164368.49354175248</v>
      </c>
      <c r="S20" s="92">
        <f>+BS!AA29</f>
        <v>201989.22623780268</v>
      </c>
      <c r="T20" s="92">
        <f>+BS!AB29</f>
        <v>195507.99199223489</v>
      </c>
      <c r="U20" s="92">
        <f>+BS!AC29</f>
        <v>178802.13111004094</v>
      </c>
      <c r="W20" s="274"/>
      <c r="X20" s="275"/>
      <c r="Y20" s="275"/>
      <c r="Z20" s="275"/>
      <c r="AA20" s="275"/>
      <c r="AB20" s="275"/>
      <c r="AC20" s="275"/>
      <c r="AD20" s="276"/>
      <c r="AE20" s="274"/>
      <c r="AF20" s="275"/>
      <c r="AG20" s="275"/>
      <c r="AH20" s="275"/>
      <c r="AI20" s="275"/>
      <c r="AJ20" s="275"/>
      <c r="AK20" s="275"/>
      <c r="AL20" s="276"/>
    </row>
    <row r="21" spans="1:38"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W21" s="268"/>
      <c r="X21" s="269"/>
      <c r="Y21" s="269"/>
      <c r="Z21" s="269"/>
      <c r="AA21" s="269"/>
      <c r="AB21" s="269"/>
      <c r="AC21" s="269"/>
      <c r="AD21" s="270"/>
      <c r="AE21" s="268"/>
      <c r="AF21" s="269"/>
      <c r="AG21" s="269"/>
      <c r="AH21" s="269"/>
      <c r="AI21" s="269"/>
      <c r="AJ21" s="269"/>
      <c r="AK21" s="269"/>
      <c r="AL21" s="270"/>
    </row>
    <row r="22" spans="1:38" x14ac:dyDescent="0.2">
      <c r="A22" s="80" t="s">
        <v>311</v>
      </c>
      <c r="B22" s="81" t="s">
        <v>254</v>
      </c>
      <c r="C22" s="96"/>
      <c r="D22" s="96">
        <f>+D11</f>
        <v>-1777.4936061381075</v>
      </c>
      <c r="E22" s="96">
        <f t="shared" ref="E22:K22" si="0">+E11</f>
        <v>1494.2503164568413</v>
      </c>
      <c r="F22" s="96">
        <f t="shared" si="0"/>
        <v>4432.0498402299372</v>
      </c>
      <c r="G22" s="96">
        <f t="shared" si="0"/>
        <v>1860.0379218558428</v>
      </c>
      <c r="H22" s="96">
        <f t="shared" si="0"/>
        <v>894.23853736377112</v>
      </c>
      <c r="I22" s="96">
        <f t="shared" si="0"/>
        <v>-3154.2424382950499</v>
      </c>
      <c r="J22" s="96">
        <f t="shared" si="0"/>
        <v>-67.547033838425293</v>
      </c>
      <c r="K22" s="96">
        <f t="shared" si="0"/>
        <v>2541.1832224739037</v>
      </c>
      <c r="L22" s="96">
        <f>+L11</f>
        <v>1985.8973658749958</v>
      </c>
      <c r="M22" s="96">
        <f>+M11</f>
        <v>2916.5360283739246</v>
      </c>
      <c r="N22" s="96">
        <f>+N11</f>
        <v>6499.580013040736</v>
      </c>
      <c r="O22" s="96">
        <f>+O11</f>
        <v>6610.8576718471513</v>
      </c>
      <c r="P22" s="96">
        <f t="shared" ref="P22:Q22" si="1">+P11</f>
        <v>4609.7749969860743</v>
      </c>
      <c r="Q22" s="96">
        <f t="shared" si="1"/>
        <v>5959.5944767777009</v>
      </c>
      <c r="R22" s="96">
        <f t="shared" ref="R22:U22" si="2">+R11</f>
        <v>4499.3556578553234</v>
      </c>
      <c r="S22" s="96">
        <f t="shared" ref="S22:T22" si="3">+S11</f>
        <v>6407.3807974942774</v>
      </c>
      <c r="T22" s="96">
        <f t="shared" si="3"/>
        <v>4005.7256733802474</v>
      </c>
      <c r="U22" s="96">
        <f t="shared" si="2"/>
        <v>4479.7866602456052</v>
      </c>
      <c r="W22" s="271"/>
      <c r="X22" s="272"/>
      <c r="Y22" s="272"/>
      <c r="Z22" s="272"/>
      <c r="AA22" s="272"/>
      <c r="AB22" s="272"/>
      <c r="AC22" s="272"/>
      <c r="AD22" s="273"/>
      <c r="AE22" s="271"/>
      <c r="AF22" s="272"/>
      <c r="AG22" s="272"/>
      <c r="AH22" s="272"/>
      <c r="AI22" s="272"/>
      <c r="AJ22" s="272"/>
      <c r="AK22" s="272"/>
      <c r="AL22" s="273"/>
    </row>
    <row r="23" spans="1:38" x14ac:dyDescent="0.2">
      <c r="A23" s="86" t="s">
        <v>325</v>
      </c>
      <c r="B23" s="84" t="s">
        <v>254</v>
      </c>
      <c r="C23" s="97"/>
      <c r="D23" s="97">
        <f>+PL!L37-PL!L38</f>
        <v>784.52685421994829</v>
      </c>
      <c r="E23" s="97">
        <f>+PL!M37-PL!M38</f>
        <v>1608.3278273815326</v>
      </c>
      <c r="F23" s="97">
        <f>+PL!N37-PL!N38</f>
        <v>1650.2582675946505</v>
      </c>
      <c r="G23" s="97">
        <f>+PL!O37-PL!O38</f>
        <v>1074.5029485941682</v>
      </c>
      <c r="H23" s="97">
        <f>+PL!P37-PL!P38</f>
        <v>793.57717298665307</v>
      </c>
      <c r="I23" s="97">
        <f>+PL!Q37-PL!Q38</f>
        <v>1131.1976835149608</v>
      </c>
      <c r="J23" s="97">
        <f>+PL!R37-PL!R38</f>
        <v>763.61479642178165</v>
      </c>
      <c r="K23" s="97">
        <f>+PL!S37-PL!S38</f>
        <v>1182.1598065470416</v>
      </c>
      <c r="L23" s="97">
        <f>+PL!T37-PL!T38</f>
        <v>798.09704751902154</v>
      </c>
      <c r="M23" s="97">
        <f>+PL!U37-PL!U38</f>
        <v>1514.9149676144471</v>
      </c>
      <c r="N23" s="97">
        <f>+PL!V37-PL!V38</f>
        <v>1004.6173296320594</v>
      </c>
      <c r="O23" s="97">
        <f>+PL!W37-PL!W38</f>
        <v>1355.396712430972</v>
      </c>
      <c r="P23" s="97">
        <f>+PL!X37-PL!X38</f>
        <v>1345.3745283347926</v>
      </c>
      <c r="Q23" s="97">
        <f>+PL!Y37-PL!Y38</f>
        <v>1978.6035669193811</v>
      </c>
      <c r="R23" s="97">
        <f>+PL!Z37-PL!Z38</f>
        <v>1741.2345899459951</v>
      </c>
      <c r="S23" s="97">
        <f>+PL!AA37-PL!AA38</f>
        <v>1824.7649680761351</v>
      </c>
      <c r="T23" s="97">
        <f>+PL!AB37-PL!AB38</f>
        <v>35655.296651298224</v>
      </c>
      <c r="U23" s="97">
        <f>+PL!AC37-PL!AC38</f>
        <v>1428.6637370575481</v>
      </c>
      <c r="W23" s="271"/>
      <c r="X23" s="272"/>
      <c r="Y23" s="272"/>
      <c r="Z23" s="272"/>
      <c r="AA23" s="272"/>
      <c r="AB23" s="272"/>
      <c r="AC23" s="272"/>
      <c r="AD23" s="273"/>
      <c r="AE23" s="271"/>
      <c r="AF23" s="272"/>
      <c r="AG23" s="272"/>
      <c r="AH23" s="272"/>
      <c r="AI23" s="272"/>
      <c r="AJ23" s="272"/>
      <c r="AK23" s="272"/>
      <c r="AL23" s="273"/>
    </row>
    <row r="24" spans="1:38" x14ac:dyDescent="0.2">
      <c r="A24" s="86" t="s">
        <v>326</v>
      </c>
      <c r="B24" s="84" t="s">
        <v>254</v>
      </c>
      <c r="C24" s="97"/>
      <c r="D24" s="97">
        <f>+PL!L13+PL!L24</f>
        <v>3534.633418584825</v>
      </c>
      <c r="E24" s="97">
        <f>+PL!M13+PL!M24</f>
        <v>2695.1023325066922</v>
      </c>
      <c r="F24" s="97">
        <f>+PL!N13+PL!N24</f>
        <v>3414.3078985387028</v>
      </c>
      <c r="G24" s="97">
        <f>+PL!O13+PL!O24</f>
        <v>3211.9620469876118</v>
      </c>
      <c r="H24" s="97">
        <f>+PL!P13+PL!P24</f>
        <v>4252.5838678994551</v>
      </c>
      <c r="I24" s="97">
        <f>+PL!Q13+PL!Q24</f>
        <v>4370.6913656261195</v>
      </c>
      <c r="J24" s="97">
        <f>+PL!R13+PL!R24</f>
        <v>2832.6266410977864</v>
      </c>
      <c r="K24" s="97">
        <f>+PL!S13+PL!S24</f>
        <v>3247.0073242634162</v>
      </c>
      <c r="L24" s="97">
        <f>+PL!T13+PL!T24</f>
        <v>3431.4750477077951</v>
      </c>
      <c r="M24" s="97">
        <f>+PL!U13+PL!U24</f>
        <v>2925.5735034667596</v>
      </c>
      <c r="N24" s="97">
        <f>+PL!V13+PL!V24</f>
        <v>3110.7499048704162</v>
      </c>
      <c r="O24" s="97">
        <f>+PL!W13+PL!W24</f>
        <v>3782.4290267649421</v>
      </c>
      <c r="P24" s="97">
        <f>+PL!X13+PL!X24</f>
        <v>4161.2523829383581</v>
      </c>
      <c r="Q24" s="97">
        <f>+PL!Y13+PL!Y24</f>
        <v>4403.1862433282977</v>
      </c>
      <c r="R24" s="97">
        <f>+PL!Z13+PL!Z24</f>
        <v>3853.9334147989866</v>
      </c>
      <c r="S24" s="97">
        <f>+PL!AA13+PL!AA24</f>
        <v>4508.3565835441514</v>
      </c>
      <c r="T24" s="97">
        <f>+PL!AB13+PL!AB24</f>
        <v>4706.6235137102649</v>
      </c>
      <c r="U24" s="97">
        <f>+PL!AC13+PL!AC24</f>
        <v>4405.4322176739706</v>
      </c>
      <c r="W24" s="271"/>
      <c r="X24" s="272"/>
      <c r="Y24" s="272"/>
      <c r="Z24" s="272"/>
      <c r="AA24" s="272"/>
      <c r="AB24" s="272"/>
      <c r="AC24" s="272"/>
      <c r="AD24" s="273"/>
      <c r="AE24" s="271"/>
      <c r="AF24" s="272"/>
      <c r="AG24" s="272"/>
      <c r="AH24" s="272"/>
      <c r="AI24" s="272"/>
      <c r="AJ24" s="272"/>
      <c r="AK24" s="272"/>
      <c r="AL24" s="273"/>
    </row>
    <row r="25" spans="1:38" x14ac:dyDescent="0.2">
      <c r="A25" s="86" t="s">
        <v>327</v>
      </c>
      <c r="B25" s="84" t="s">
        <v>254</v>
      </c>
      <c r="C25" s="97"/>
      <c r="D25" s="97">
        <f>-(BS!L11-BS!K11)</f>
        <v>-9481.1730318725749</v>
      </c>
      <c r="E25" s="97">
        <f>-(BS!M11-BS!L11)</f>
        <v>8602.1458733207692</v>
      </c>
      <c r="F25" s="97">
        <f>-(BS!N11-BS!M11)</f>
        <v>7130.5827300923556</v>
      </c>
      <c r="G25" s="97">
        <f>-(BS!O11-BS!N11)</f>
        <v>-1996.86647277866</v>
      </c>
      <c r="H25" s="97">
        <f>-(BS!P11-BS!O11)</f>
        <v>-11095.144086189459</v>
      </c>
      <c r="I25" s="97">
        <f>-(BS!Q11-BS!P11)</f>
        <v>-3531.8031979262742</v>
      </c>
      <c r="J25" s="97">
        <f>-(BS!R11-BS!Q11)</f>
        <v>19512.422229545773</v>
      </c>
      <c r="K25" s="97">
        <f>-(BS!S11-BS!R11)</f>
        <v>-7577.6400388294787</v>
      </c>
      <c r="L25" s="97">
        <f>-(BS!T11-BS!S11)</f>
        <v>11079.931630370902</v>
      </c>
      <c r="M25" s="97">
        <f>-(BS!U11-BS!T11)</f>
        <v>1195.2186619941349</v>
      </c>
      <c r="N25" s="97">
        <f>-(BS!V11-BS!U11)</f>
        <v>-10833.758834196775</v>
      </c>
      <c r="O25" s="97">
        <f>-(BS!W11-BS!V11)</f>
        <v>-2745.2903373166992</v>
      </c>
      <c r="P25" s="97">
        <f>-(BS!X11-BS!W11)</f>
        <v>9695.4451614717109</v>
      </c>
      <c r="Q25" s="97">
        <f>-(BS!Y11-BS!X11)</f>
        <v>177.76634262141306</v>
      </c>
      <c r="R25" s="97">
        <f>-(BS!Z11-BS!Y11)</f>
        <v>-942.13661209331622</v>
      </c>
      <c r="S25" s="97">
        <f>-(BS!AA11-BS!Z11)</f>
        <v>-4674.1797283869528</v>
      </c>
      <c r="T25" s="97">
        <f>-(BS!AB11-BS!AA11)</f>
        <v>6349.6815807867933</v>
      </c>
      <c r="U25" s="97">
        <f>-(BS!AC11-BS!AB11)</f>
        <v>-4766.3670500294138</v>
      </c>
      <c r="W25" s="271"/>
      <c r="X25" s="272"/>
      <c r="Y25" s="272"/>
      <c r="Z25" s="272"/>
      <c r="AA25" s="272"/>
      <c r="AB25" s="272"/>
      <c r="AC25" s="272"/>
      <c r="AD25" s="273"/>
      <c r="AE25" s="271"/>
      <c r="AF25" s="272"/>
      <c r="AG25" s="272"/>
      <c r="AH25" s="272"/>
      <c r="AI25" s="272"/>
      <c r="AJ25" s="272"/>
      <c r="AK25" s="272"/>
      <c r="AL25" s="273"/>
    </row>
    <row r="26" spans="1:38" x14ac:dyDescent="0.2">
      <c r="A26" s="86" t="s">
        <v>328</v>
      </c>
      <c r="B26" s="84" t="s">
        <v>254</v>
      </c>
      <c r="C26" s="97"/>
      <c r="D26" s="97">
        <f>-(BS!L13-BS!K13)</f>
        <v>-6030.9054568118336</v>
      </c>
      <c r="E26" s="97">
        <f>-(BS!M13-BS!L13)</f>
        <v>3849.1638215353269</v>
      </c>
      <c r="F26" s="97">
        <f>-(BS!N13-BS!M13)</f>
        <v>2565.90985368154</v>
      </c>
      <c r="G26" s="97">
        <f>-(BS!O13-BS!N13)</f>
        <v>-7794.4941529084972</v>
      </c>
      <c r="H26" s="97">
        <f>-(BS!P13-BS!O13)</f>
        <v>2693.196300627671</v>
      </c>
      <c r="I26" s="97">
        <f>-(BS!Q13-BS!P13)</f>
        <v>1796.6021955071665</v>
      </c>
      <c r="J26" s="97">
        <f>-(BS!R13-BS!Q13)</f>
        <v>190.67819809307912</v>
      </c>
      <c r="K26" s="97">
        <f>-(BS!S13-BS!R13)</f>
        <v>-868.25905998480084</v>
      </c>
      <c r="L26" s="97">
        <f>-(BS!T13-BS!S13)</f>
        <v>1261.1029901065776</v>
      </c>
      <c r="M26" s="97">
        <f>-(BS!U13-BS!T13)</f>
        <v>2533.1815816624257</v>
      </c>
      <c r="N26" s="97">
        <f>-(BS!V13-BS!U13)</f>
        <v>-8673.4430990621258</v>
      </c>
      <c r="O26" s="97">
        <f>-(BS!W13-BS!V13)</f>
        <v>6578.8366585331896</v>
      </c>
      <c r="P26" s="97">
        <f>-(BS!X13-BS!W13)</f>
        <v>670.43010719223093</v>
      </c>
      <c r="Q26" s="97">
        <f>-(BS!Y13-BS!X13)</f>
        <v>-2871.2712438218878</v>
      </c>
      <c r="R26" s="97">
        <f>-(BS!Z13-BS!Y13)</f>
        <v>1605.4744672596062</v>
      </c>
      <c r="S26" s="97">
        <f>-(BS!AA13-BS!Z13)</f>
        <v>-6398.697412610476</v>
      </c>
      <c r="T26" s="97">
        <f>-(BS!AB13-BS!AA13)</f>
        <v>3057.3196025183388</v>
      </c>
      <c r="U26" s="97">
        <f>-(BS!AC13-BS!AB13)</f>
        <v>-1240.9220357599443</v>
      </c>
      <c r="W26" s="271"/>
      <c r="X26" s="272"/>
      <c r="Y26" s="272"/>
      <c r="Z26" s="272"/>
      <c r="AA26" s="272"/>
      <c r="AB26" s="272"/>
      <c r="AC26" s="272"/>
      <c r="AD26" s="273"/>
      <c r="AE26" s="271"/>
      <c r="AF26" s="272"/>
      <c r="AG26" s="272"/>
      <c r="AH26" s="272"/>
      <c r="AI26" s="272"/>
      <c r="AJ26" s="272"/>
      <c r="AK26" s="272"/>
      <c r="AL26" s="273"/>
    </row>
    <row r="27" spans="1:38" x14ac:dyDescent="0.2">
      <c r="A27" s="86" t="s">
        <v>329</v>
      </c>
      <c r="B27" s="84" t="s">
        <v>254</v>
      </c>
      <c r="C27" s="97"/>
      <c r="D27" s="97">
        <f>-((BS!L12+BS!L14)-(BS!K12+BS!K14))</f>
        <v>-14559.29008432017</v>
      </c>
      <c r="E27" s="97">
        <f>-((BS!M12+BS!M14)-(BS!L12+BS!L14))</f>
        <v>17195.487003890405</v>
      </c>
      <c r="F27" s="97">
        <f>-((BS!N12+BS!N14)-(BS!M12+BS!M14))</f>
        <v>-5008.5223497715724</v>
      </c>
      <c r="G27" s="97">
        <f>-((BS!O12+BS!O14)-(BS!N12+BS!N14))</f>
        <v>3367.677377768915</v>
      </c>
      <c r="H27" s="97">
        <f>-((BS!P12+BS!P14)-(BS!O12+BS!O14))</f>
        <v>-7187.0180142239251</v>
      </c>
      <c r="I27" s="97">
        <f>-((BS!Q12+BS!Q14)-(BS!P12+BS!P14))</f>
        <v>-6609.3723826842361</v>
      </c>
      <c r="J27" s="97">
        <f>-((BS!R12+BS!R14)-(BS!Q12+BS!Q14))</f>
        <v>10550.97782831933</v>
      </c>
      <c r="K27" s="97">
        <f>-((BS!S12+BS!S14)-(BS!R12+BS!R14))</f>
        <v>952.10181442632529</v>
      </c>
      <c r="L27" s="97">
        <f>-((BS!T12+BS!T14)-(BS!S12+BS!S14))</f>
        <v>3874.6487453750678</v>
      </c>
      <c r="M27" s="97">
        <f>-((BS!U12+BS!U14)-(BS!T12+BS!T14))</f>
        <v>-4008.8238085643688</v>
      </c>
      <c r="N27" s="97">
        <f>-((BS!V12+BS!V14)-(BS!U12+BS!U14))</f>
        <v>-3277.3411662192011</v>
      </c>
      <c r="O27" s="97">
        <f>-((BS!W12+BS!W14)-(BS!V12+BS!V14))</f>
        <v>-4046.2429580683129</v>
      </c>
      <c r="P27" s="97">
        <f>-((BS!X12+BS!X14)-(BS!W12+BS!W14))</f>
        <v>9473.3378117715347</v>
      </c>
      <c r="Q27" s="97">
        <f>-((BS!Y12+BS!Y14)-(BS!X12+BS!X14))</f>
        <v>-6718.3700206905596</v>
      </c>
      <c r="R27" s="97">
        <f>-((BS!Z12+BS!Z14)-(BS!Y12+BS!Y14))</f>
        <v>4796.6819200304217</v>
      </c>
      <c r="S27" s="97">
        <f>-((BS!AA12+BS!AA14)-(BS!Z12+BS!Z14))</f>
        <v>-5910.9838221436803</v>
      </c>
      <c r="T27" s="97">
        <f>-((BS!AB12+BS!AB14)-(BS!AA12+BS!AA14))</f>
        <v>1583.6921111471311</v>
      </c>
      <c r="U27" s="97">
        <f>-((BS!AC12+BS!AC14)-(BS!AB12+BS!AB14))</f>
        <v>2633.4888895173499</v>
      </c>
      <c r="W27" s="271"/>
      <c r="X27" s="272"/>
      <c r="Y27" s="272"/>
      <c r="Z27" s="272"/>
      <c r="AA27" s="272"/>
      <c r="AB27" s="272"/>
      <c r="AC27" s="272"/>
      <c r="AD27" s="273"/>
      <c r="AE27" s="271"/>
      <c r="AF27" s="272"/>
      <c r="AG27" s="272"/>
      <c r="AH27" s="272"/>
      <c r="AI27" s="272"/>
      <c r="AJ27" s="272"/>
      <c r="AK27" s="272"/>
      <c r="AL27" s="273"/>
    </row>
    <row r="28" spans="1:38" x14ac:dyDescent="0.2">
      <c r="A28" s="86" t="s">
        <v>330</v>
      </c>
      <c r="B28" s="84" t="s">
        <v>254</v>
      </c>
      <c r="C28" s="97"/>
      <c r="D28" s="97">
        <f>BS!L32-BS!K32</f>
        <v>-1709.9264258133189</v>
      </c>
      <c r="E28" s="97">
        <f>BS!M32-BS!L32</f>
        <v>-1508.8915878385051</v>
      </c>
      <c r="F28" s="97">
        <f>BS!N32-BS!M32</f>
        <v>-5342.0578459121316</v>
      </c>
      <c r="G28" s="97">
        <f>BS!O32-BS!N32</f>
        <v>1626.4972144135972</v>
      </c>
      <c r="H28" s="97">
        <f>BS!P32-BS!O32</f>
        <v>5824.8231646285967</v>
      </c>
      <c r="I28" s="97">
        <f>BS!Q32-BS!P32</f>
        <v>1972.3350801407069</v>
      </c>
      <c r="J28" s="97">
        <f>BS!R32-BS!Q32</f>
        <v>-6489.7533536803967</v>
      </c>
      <c r="K28" s="97">
        <f>BS!S32-BS!R32</f>
        <v>-3689.0889995020698</v>
      </c>
      <c r="L28" s="97">
        <f>BS!T32-BS!S32</f>
        <v>-6899.046309297988</v>
      </c>
      <c r="M28" s="97">
        <f>BS!U32-BS!T32</f>
        <v>4431.8281062288843</v>
      </c>
      <c r="N28" s="97">
        <f>BS!V32-BS!U32</f>
        <v>1473.0575953687476</v>
      </c>
      <c r="O28" s="97">
        <f>BS!W32-BS!V32</f>
        <v>6806.7879051619493</v>
      </c>
      <c r="P28" s="97">
        <f>BS!X32-BS!W32</f>
        <v>-7214.2241688657596</v>
      </c>
      <c r="Q28" s="97">
        <f>BS!Y32-BS!X32</f>
        <v>5369.5462842442357</v>
      </c>
      <c r="R28" s="97">
        <f>BS!Z32-BS!Y32</f>
        <v>-4827.0723483147522</v>
      </c>
      <c r="S28" s="97">
        <f>BS!AA32-BS!Z32</f>
        <v>5879.7013721625481</v>
      </c>
      <c r="T28" s="97">
        <f>BS!AB32-BS!AA32</f>
        <v>-3740.5929766679365</v>
      </c>
      <c r="U28" s="97">
        <f>BS!AC32-BS!AB32</f>
        <v>5159.1961093196151</v>
      </c>
      <c r="W28" s="271"/>
      <c r="X28" s="272"/>
      <c r="Y28" s="272"/>
      <c r="Z28" s="272"/>
      <c r="AA28" s="272"/>
      <c r="AB28" s="272"/>
      <c r="AC28" s="272"/>
      <c r="AD28" s="273"/>
      <c r="AE28" s="271"/>
      <c r="AF28" s="272"/>
      <c r="AG28" s="272"/>
      <c r="AH28" s="272"/>
      <c r="AI28" s="272"/>
      <c r="AJ28" s="272"/>
      <c r="AK28" s="272"/>
      <c r="AL28" s="273"/>
    </row>
    <row r="29" spans="1:38" x14ac:dyDescent="0.2">
      <c r="A29" s="88" t="s">
        <v>331</v>
      </c>
      <c r="B29" s="89" t="s">
        <v>254</v>
      </c>
      <c r="C29" s="98"/>
      <c r="D29" s="98">
        <f>(BS!L36+BS!L42)-(BS!K36+BS!K42)</f>
        <v>-857.41777529422689</v>
      </c>
      <c r="E29" s="98">
        <f>(BS!M36+BS!M42)-(BS!L36+BS!L42)</f>
        <v>-1993.1488523188746</v>
      </c>
      <c r="F29" s="98">
        <f>(BS!N36+BS!N42)-(BS!M36+BS!M42)</f>
        <v>3668.4544360981745</v>
      </c>
      <c r="G29" s="98">
        <f>(BS!O36+BS!O42)-(BS!N36+BS!N42)</f>
        <v>-8758.102063580036</v>
      </c>
      <c r="H29" s="98">
        <f>(BS!P36+BS!P42)-(BS!O36+BS!O42)</f>
        <v>8779.2084251002798</v>
      </c>
      <c r="I29" s="98">
        <f>(BS!Q36+BS!Q42)-(BS!P36+BS!P42)</f>
        <v>4087.1123268200317</v>
      </c>
      <c r="J29" s="98">
        <f>(BS!R36+BS!R42)-(BS!Q36+BS!Q42)</f>
        <v>-4238.6573026029037</v>
      </c>
      <c r="K29" s="98">
        <f>(BS!S36+BS!S42)-(BS!R36+BS!R42)</f>
        <v>-4570.1111584631853</v>
      </c>
      <c r="L29" s="98">
        <f>(BS!T36+BS!T42)-(BS!S36+BS!S42)</f>
        <v>-3748.3487705179923</v>
      </c>
      <c r="M29" s="98">
        <f>(BS!U36+BS!U42)-(BS!T36+BS!T42)</f>
        <v>5510.5383916915998</v>
      </c>
      <c r="N29" s="98">
        <f>(BS!V36+BS!V42)-(BS!U36+BS!U42)</f>
        <v>807.48338714297279</v>
      </c>
      <c r="O29" s="98">
        <f>(BS!W36+BS!W42)-(BS!V36+BS!V42)</f>
        <v>531.06796567417041</v>
      </c>
      <c r="P29" s="98">
        <f>(BS!X36+BS!X42)-(BS!W36+BS!W42)</f>
        <v>-3863.8430582842848</v>
      </c>
      <c r="Q29" s="98">
        <f>(BS!Y36+BS!Y42)-(BS!X36+BS!X42)</f>
        <v>3909.6956448944802</v>
      </c>
      <c r="R29" s="98">
        <f>(BS!Z36+BS!Z42)-(BS!Y36+BS!Y42)</f>
        <v>-3562.4968808956619</v>
      </c>
      <c r="S29" s="98">
        <f>(BS!AA36+BS!AA42)-(BS!Z36+BS!Z42)</f>
        <v>5074.6263111357985</v>
      </c>
      <c r="T29" s="98">
        <f>(BS!AB36+BS!AB42)-(BS!AA36+BS!AA42)</f>
        <v>-3523.6625928159701</v>
      </c>
      <c r="U29" s="98">
        <f>(BS!AC36+BS!AC42)-(BS!AB36+BS!AB42)</f>
        <v>-1717.2439777865438</v>
      </c>
      <c r="W29" s="271"/>
      <c r="X29" s="272"/>
      <c r="Y29" s="272"/>
      <c r="Z29" s="272"/>
      <c r="AA29" s="272"/>
      <c r="AB29" s="272"/>
      <c r="AC29" s="272"/>
      <c r="AD29" s="273"/>
      <c r="AE29" s="271"/>
      <c r="AF29" s="272"/>
      <c r="AG29" s="272"/>
      <c r="AH29" s="272"/>
      <c r="AI29" s="272"/>
      <c r="AJ29" s="272"/>
      <c r="AK29" s="272"/>
      <c r="AL29" s="273"/>
    </row>
    <row r="30" spans="1:38" x14ac:dyDescent="0.2">
      <c r="A30" s="80" t="s">
        <v>333</v>
      </c>
      <c r="B30" s="81" t="s">
        <v>254</v>
      </c>
      <c r="C30" s="96"/>
      <c r="D30" s="96">
        <f>-(BS!L15-BS!K15)</f>
        <v>-13853.131917728751</v>
      </c>
      <c r="E30" s="96">
        <f>-(BS!M15-BS!L15)</f>
        <v>37221.291008429049</v>
      </c>
      <c r="F30" s="96">
        <f>-(BS!N15-BS!M15)</f>
        <v>-21401.700489152776</v>
      </c>
      <c r="G30" s="96">
        <f>-(BS!O15-BS!N15)</f>
        <v>9078.4845036117476</v>
      </c>
      <c r="H30" s="96">
        <f>-(BS!P15-BS!O15)</f>
        <v>-25265.910792032097</v>
      </c>
      <c r="I30" s="96">
        <f>-(BS!Q15-BS!P15)</f>
        <v>-24078.221761496519</v>
      </c>
      <c r="J30" s="96">
        <f>-(BS!R15-BS!Q15)</f>
        <v>39910.954374163339</v>
      </c>
      <c r="K30" s="96">
        <f>-(BS!S15-BS!R15)</f>
        <v>15017.775111449948</v>
      </c>
      <c r="L30" s="96">
        <f>-(BS!T15-BS!S15)</f>
        <v>1782.5868968281284</v>
      </c>
      <c r="M30" s="96">
        <f>-(BS!U15-BS!T15)</f>
        <v>1647.326216224712</v>
      </c>
      <c r="N30" s="96">
        <f>-(BS!V15-BS!U15)</f>
        <v>-14245.805858869418</v>
      </c>
      <c r="O30" s="96">
        <f>-(BS!W15-BS!V15)</f>
        <v>-8050.5516668361961</v>
      </c>
      <c r="P30" s="96">
        <f>-(BS!X15-BS!W15)</f>
        <v>12868.205290104277</v>
      </c>
      <c r="Q30" s="96">
        <f>-(BS!Y15-BS!X15)</f>
        <v>-24277.107469775699</v>
      </c>
      <c r="R30" s="96">
        <f>-(BS!Z15-BS!Y15)</f>
        <v>21222.413834365783</v>
      </c>
      <c r="S30" s="96">
        <f>-(BS!AA15-BS!Z15)</f>
        <v>-13426.537346314377</v>
      </c>
      <c r="T30" s="96">
        <f>-(BS!AB15-BS!AA15)</f>
        <v>5000.9866653593926</v>
      </c>
      <c r="U30" s="96">
        <f>-(BS!AC15-BS!AB15)</f>
        <v>12313.486061157557</v>
      </c>
      <c r="W30" s="271"/>
      <c r="X30" s="272"/>
      <c r="Y30" s="272"/>
      <c r="Z30" s="272"/>
      <c r="AA30" s="272"/>
      <c r="AB30" s="272"/>
      <c r="AC30" s="272"/>
      <c r="AD30" s="273"/>
      <c r="AE30" s="271"/>
      <c r="AF30" s="272"/>
      <c r="AG30" s="272"/>
      <c r="AH30" s="272"/>
      <c r="AI30" s="272"/>
      <c r="AJ30" s="272"/>
      <c r="AK30" s="272"/>
      <c r="AL30" s="273"/>
    </row>
    <row r="31" spans="1:38" x14ac:dyDescent="0.2">
      <c r="A31" s="88" t="s">
        <v>334</v>
      </c>
      <c r="B31" s="89" t="s">
        <v>254</v>
      </c>
      <c r="C31" s="98"/>
      <c r="D31" s="98">
        <f>-(PL!L13+PL!L24)</f>
        <v>-3534.633418584825</v>
      </c>
      <c r="E31" s="98">
        <f>-(PL!M13+PL!M24)</f>
        <v>-2695.1023325066922</v>
      </c>
      <c r="F31" s="98">
        <f>-(PL!N13+PL!N24)</f>
        <v>-3414.3078985387028</v>
      </c>
      <c r="G31" s="98">
        <f>-(PL!O13+PL!O24)</f>
        <v>-3211.9620469876118</v>
      </c>
      <c r="H31" s="98">
        <f>-(PL!P13+PL!P24)</f>
        <v>-4252.5838678994551</v>
      </c>
      <c r="I31" s="98">
        <f>-(PL!Q13+PL!Q24)</f>
        <v>-4370.6913656261195</v>
      </c>
      <c r="J31" s="98">
        <f>-(PL!R13+PL!R24)</f>
        <v>-2832.6266410977864</v>
      </c>
      <c r="K31" s="98">
        <f>-(PL!S13+PL!S24)</f>
        <v>-3247.0073242634162</v>
      </c>
      <c r="L31" s="98">
        <f>-(PL!T13+PL!T24)</f>
        <v>-3431.4750477077951</v>
      </c>
      <c r="M31" s="98">
        <f>-(PL!U13+PL!U24)</f>
        <v>-2925.5735034667596</v>
      </c>
      <c r="N31" s="98">
        <f>-(PL!V13+PL!V24)</f>
        <v>-3110.7499048704162</v>
      </c>
      <c r="O31" s="98">
        <f>-(PL!W13+PL!W24)</f>
        <v>-3782.4290267649421</v>
      </c>
      <c r="P31" s="98">
        <f>-(PL!X13+PL!X24)</f>
        <v>-4161.2523829383581</v>
      </c>
      <c r="Q31" s="98">
        <f>-(PL!Y13+PL!Y24)</f>
        <v>-4403.1862433282977</v>
      </c>
      <c r="R31" s="98">
        <f>-(PL!Z13+PL!Z24)</f>
        <v>-3853.9334147989866</v>
      </c>
      <c r="S31" s="98">
        <f>-(PL!AA13+PL!AA24)</f>
        <v>-4508.3565835441514</v>
      </c>
      <c r="T31" s="98">
        <f>-(PL!AB13+PL!AB24)</f>
        <v>-4706.6235137102649</v>
      </c>
      <c r="U31" s="98">
        <f>-(PL!AC13+PL!AC24)</f>
        <v>-4405.4322176739706</v>
      </c>
      <c r="W31" s="271"/>
      <c r="X31" s="272"/>
      <c r="Y31" s="272"/>
      <c r="Z31" s="272"/>
      <c r="AA31" s="272"/>
      <c r="AB31" s="272"/>
      <c r="AC31" s="272"/>
      <c r="AD31" s="273"/>
      <c r="AE31" s="271"/>
      <c r="AF31" s="272"/>
      <c r="AG31" s="272"/>
      <c r="AH31" s="272"/>
      <c r="AI31" s="272"/>
      <c r="AJ31" s="272"/>
      <c r="AK31" s="272"/>
      <c r="AL31" s="273"/>
    </row>
    <row r="32" spans="1:38" x14ac:dyDescent="0.2">
      <c r="A32" s="80" t="s">
        <v>336</v>
      </c>
      <c r="B32" s="81" t="s">
        <v>254</v>
      </c>
      <c r="C32" s="96"/>
      <c r="D32" s="96">
        <f>(BS!L33+BS!L34+BS!L38+BS!L39+BS!L40)-(BS!K33+BS!K34+BS!K38+BS!K39+BS!K40)</f>
        <v>44974.954687757432</v>
      </c>
      <c r="E32" s="96">
        <f>(BS!M33+BS!M34+BS!M38+BS!M39+BS!M40)-(BS!L33+BS!L34+BS!L38+BS!L39+BS!L40)</f>
        <v>-53559.444653694489</v>
      </c>
      <c r="F32" s="96">
        <f>(BS!N33+BS!N34+BS!N38+BS!N39+BS!N40)-(BS!M33+BS!M34+BS!M38+BS!M39+BS!M40)</f>
        <v>1604.9078427704517</v>
      </c>
      <c r="G32" s="96">
        <f>(BS!O33+BS!O34+BS!O38+BS!O39+BS!O40)-(BS!N33+BS!N34+BS!N38+BS!N39+BS!N40)</f>
        <v>14194.091048313247</v>
      </c>
      <c r="H32" s="96">
        <f>(BS!P33+BS!P34+BS!P38+BS!P39+BS!P40)-(BS!O33+BS!O34+BS!O38+BS!O39+BS!O40)</f>
        <v>6389.3496858610451</v>
      </c>
      <c r="I32" s="96">
        <f>(BS!Q33+BS!Q34+BS!Q38+BS!Q39+BS!Q40)-(BS!P33+BS!P34+BS!P38+BS!P39+BS!P40)</f>
        <v>11114.093511758852</v>
      </c>
      <c r="J32" s="96">
        <f>(BS!R33+BS!R34+BS!R38+BS!R39+BS!R40)-(BS!Q33+BS!Q34+BS!Q38+BS!Q39+BS!Q40)</f>
        <v>-14973.345645458539</v>
      </c>
      <c r="K32" s="96">
        <f>(BS!S33+BS!S34+BS!S38+BS!S39+BS!S40)-(BS!R33+BS!R34+BS!R38+BS!R39+BS!R40)</f>
        <v>-10341.306344493045</v>
      </c>
      <c r="L32" s="96">
        <f>(BS!T33+BS!T34+BS!T38+BS!T39+BS!T40)-(BS!S33+BS!S34+BS!S38+BS!S39+BS!S40)</f>
        <v>-10603.705497513249</v>
      </c>
      <c r="M32" s="96">
        <f>(BS!U33+BS!U34+BS!U38+BS!U39+BS!U40)-(BS!T33+BS!T34+BS!T38+BS!T39+BS!T40)</f>
        <v>-5458.6680047485788</v>
      </c>
      <c r="N32" s="96">
        <f>(BS!V33+BS!V34+BS!V38+BS!V39+BS!V40)-(BS!U33+BS!U34+BS!U38+BS!U39+BS!U40)</f>
        <v>10071.151655210902</v>
      </c>
      <c r="O32" s="96">
        <f>(BS!W33+BS!W34+BS!W38+BS!W39+BS!W40)-(BS!V33+BS!V34+BS!V38+BS!V39+BS!V40)</f>
        <v>-5646.1925978627842</v>
      </c>
      <c r="P32" s="96">
        <f>(BS!X33+BS!X34+BS!X38+BS!X39+BS!X40)-(BS!W33+BS!W34+BS!W38+BS!W39+BS!W40)</f>
        <v>5699.095771537206</v>
      </c>
      <c r="Q32" s="96">
        <f>(BS!Y33+BS!Y34+BS!Y38+BS!Y39+BS!Y40)-(BS!X33+BS!X34+BS!X38+BS!X39+BS!X40)</f>
        <v>-3755.9213318889524</v>
      </c>
      <c r="R32" s="96">
        <f>(BS!Z33+BS!Z34+BS!Z38+BS!Z39+BS!Z40)-(BS!Y33+BS!Y34+BS!Y38+BS!Y39+BS!Y40)</f>
        <v>9592.5076781018142</v>
      </c>
      <c r="S32" s="96">
        <f>(BS!AA33+BS!AA34+BS!AA38+BS!AA39+BS!AA40)-(BS!Z33+BS!Z34+BS!Z38+BS!Z39+BS!Z40)</f>
        <v>7914.816036637465</v>
      </c>
      <c r="T32" s="96">
        <f>(BS!AB33+BS!AB34+BS!AB38+BS!AB39+BS!AB40)-(BS!AA33+BS!AA34+BS!AA38+BS!AA39+BS!AA40)</f>
        <v>-6020.7110012180929</v>
      </c>
      <c r="U32" s="96">
        <f>(BS!AC33+BS!AC34+BS!AC38+BS!AC39+BS!AC40)-(BS!AB33+BS!AB34+BS!AB38+BS!AB39+BS!AB40)</f>
        <v>-1583.5800414829137</v>
      </c>
      <c r="W32" s="271"/>
      <c r="X32" s="272"/>
      <c r="Y32" s="272"/>
      <c r="Z32" s="272"/>
      <c r="AA32" s="272"/>
      <c r="AB32" s="272"/>
      <c r="AC32" s="272"/>
      <c r="AD32" s="273"/>
      <c r="AE32" s="271"/>
      <c r="AF32" s="272"/>
      <c r="AG32" s="272"/>
      <c r="AH32" s="272"/>
      <c r="AI32" s="272"/>
      <c r="AJ32" s="272"/>
      <c r="AK32" s="272"/>
      <c r="AL32" s="273"/>
    </row>
    <row r="33" spans="1:38" x14ac:dyDescent="0.2">
      <c r="A33" s="88" t="s">
        <v>337</v>
      </c>
      <c r="B33" s="89" t="s">
        <v>254</v>
      </c>
      <c r="C33" s="98"/>
      <c r="D33" s="98">
        <f>(BS!L45+BS!L46)-(BS!K45+BS!K46)</f>
        <v>2569.2632551741917</v>
      </c>
      <c r="E33" s="98">
        <f>(BS!M45+BS!M46)-(BS!L45+BS!L46)</f>
        <v>-7843.2922606801922</v>
      </c>
      <c r="F33" s="98">
        <f>(BS!N45+BS!N46)-(BS!M45+BS!M46)</f>
        <v>1619.2704173328248</v>
      </c>
      <c r="G33" s="98">
        <f>(BS!O45+BS!O46)-(BS!N45+BS!N46)</f>
        <v>51.137454522209737</v>
      </c>
      <c r="H33" s="98">
        <f>(BS!P45+BS!P46)-(BS!O45+BS!O46)</f>
        <v>335.61157672514128</v>
      </c>
      <c r="I33" s="98">
        <f>(BS!Q45+BS!Q46)-(BS!P45+BS!P46)</f>
        <v>1433.6564128204009</v>
      </c>
      <c r="J33" s="98">
        <f>(BS!R45+BS!R46)-(BS!Q45+BS!Q46)</f>
        <v>-1596.38445637738</v>
      </c>
      <c r="K33" s="98">
        <f>(BS!S45+BS!S46)-(BS!R45+BS!R46)</f>
        <v>1443.5426141459029</v>
      </c>
      <c r="L33" s="98">
        <f>(BS!T45+BS!T46)-(BS!S45+BS!S46)</f>
        <v>-1024.9939548052826</v>
      </c>
      <c r="M33" s="98">
        <f>(BS!U45+BS!U46)-(BS!T45+BS!T46)</f>
        <v>848.26442321915056</v>
      </c>
      <c r="N33" s="98">
        <f>(BS!V45+BS!V46)-(BS!U45+BS!U46)</f>
        <v>2332.1383691095652</v>
      </c>
      <c r="O33" s="98">
        <f>(BS!W45+BS!W46)-(BS!V45+BS!V46)</f>
        <v>-2749.6809483097204</v>
      </c>
      <c r="P33" s="98">
        <f>(BS!X45+BS!X46)-(BS!W45+BS!W46)</f>
        <v>-437.79550268571984</v>
      </c>
      <c r="Q33" s="98">
        <f>(BS!Y45+BS!Y46)-(BS!X45+BS!X46)</f>
        <v>13998.613748268481</v>
      </c>
      <c r="R33" s="98">
        <f>(BS!Z45+BS!Z46)-(BS!Y45+BS!Y46)</f>
        <v>-11504.561044659195</v>
      </c>
      <c r="S33" s="98">
        <f>(BS!AA45+BS!AA46)-(BS!Z45+BS!Z46)</f>
        <v>-1745.9911103196118</v>
      </c>
      <c r="T33" s="98">
        <f>(BS!AB45+BS!AB46)-(BS!AA45+BS!AA46)</f>
        <v>8861.3479483312003</v>
      </c>
      <c r="U33" s="98">
        <f>(BS!AC45+BS!AC46)-(BS!AB45+BS!AB46)</f>
        <v>-6365.3049141976735</v>
      </c>
      <c r="W33" s="271"/>
      <c r="X33" s="272"/>
      <c r="Y33" s="272"/>
      <c r="Z33" s="272"/>
      <c r="AA33" s="272"/>
      <c r="AB33" s="272"/>
      <c r="AC33" s="272"/>
      <c r="AD33" s="273"/>
      <c r="AE33" s="271"/>
      <c r="AF33" s="272"/>
      <c r="AG33" s="272"/>
      <c r="AH33" s="272"/>
      <c r="AI33" s="272"/>
      <c r="AJ33" s="272"/>
      <c r="AK33" s="272"/>
      <c r="AL33" s="273"/>
    </row>
    <row r="34" spans="1:38" x14ac:dyDescent="0.2">
      <c r="A34" s="99" t="s">
        <v>332</v>
      </c>
      <c r="B34" s="79" t="s">
        <v>254</v>
      </c>
      <c r="C34" s="100"/>
      <c r="D34" s="100">
        <f>SUM(D22:D29)</f>
        <v>-30097.046107445458</v>
      </c>
      <c r="E34" s="100">
        <f t="shared" ref="E34:K34" si="4">SUM(E22:E29)</f>
        <v>31942.436734934192</v>
      </c>
      <c r="F34" s="100">
        <f t="shared" si="4"/>
        <v>12510.982830551658</v>
      </c>
      <c r="G34" s="100">
        <f t="shared" si="4"/>
        <v>-7408.7851796470577</v>
      </c>
      <c r="H34" s="100">
        <f t="shared" si="4"/>
        <v>4955.4653681930413</v>
      </c>
      <c r="I34" s="100">
        <f t="shared" si="4"/>
        <v>62.520632703424781</v>
      </c>
      <c r="J34" s="100">
        <f t="shared" si="4"/>
        <v>23054.362003356026</v>
      </c>
      <c r="K34" s="100">
        <f t="shared" si="4"/>
        <v>-8782.647089068847</v>
      </c>
      <c r="L34" s="100">
        <f>SUM(L22:L29)</f>
        <v>11783.757747138379</v>
      </c>
      <c r="M34" s="100">
        <f>SUM(M22:M29)</f>
        <v>17018.967432467809</v>
      </c>
      <c r="N34" s="100">
        <f>SUM(N22:N29)</f>
        <v>-9889.0548694231693</v>
      </c>
      <c r="O34" s="100">
        <f>SUM(O22:O29)</f>
        <v>18873.842645027362</v>
      </c>
      <c r="P34" s="100">
        <f t="shared" ref="P34:Q34" si="5">SUM(P22:P29)</f>
        <v>18877.547761544658</v>
      </c>
      <c r="Q34" s="100">
        <f t="shared" si="5"/>
        <v>12208.751294273061</v>
      </c>
      <c r="R34" s="100">
        <f t="shared" ref="R34:U34" si="6">SUM(R22:R29)</f>
        <v>7164.9742085866037</v>
      </c>
      <c r="S34" s="100">
        <f t="shared" ref="S34:T34" si="7">SUM(S22:S29)</f>
        <v>6710.9690692718013</v>
      </c>
      <c r="T34" s="100">
        <f t="shared" si="7"/>
        <v>48094.083563357104</v>
      </c>
      <c r="U34" s="100">
        <f t="shared" si="6"/>
        <v>10382.034550238186</v>
      </c>
      <c r="W34" s="271"/>
      <c r="X34" s="272"/>
      <c r="Y34" s="272"/>
      <c r="Z34" s="272"/>
      <c r="AA34" s="272"/>
      <c r="AB34" s="272"/>
      <c r="AC34" s="272"/>
      <c r="AD34" s="273"/>
      <c r="AE34" s="271"/>
      <c r="AF34" s="272"/>
      <c r="AG34" s="272"/>
      <c r="AH34" s="272"/>
      <c r="AI34" s="272"/>
      <c r="AJ34" s="272"/>
      <c r="AK34" s="272"/>
      <c r="AL34" s="273"/>
    </row>
    <row r="35" spans="1:38" x14ac:dyDescent="0.2">
      <c r="A35" s="99" t="s">
        <v>335</v>
      </c>
      <c r="B35" s="79" t="s">
        <v>254</v>
      </c>
      <c r="C35" s="100"/>
      <c r="D35" s="100">
        <f>SUM(D30:D31)</f>
        <v>-17387.765336313576</v>
      </c>
      <c r="E35" s="100">
        <f t="shared" ref="E35:K35" si="8">SUM(E30:E31)</f>
        <v>34526.188675922356</v>
      </c>
      <c r="F35" s="100">
        <f t="shared" si="8"/>
        <v>-24816.00838769148</v>
      </c>
      <c r="G35" s="100">
        <f t="shared" si="8"/>
        <v>5866.5224566241359</v>
      </c>
      <c r="H35" s="100">
        <f t="shared" si="8"/>
        <v>-29518.494659931552</v>
      </c>
      <c r="I35" s="100">
        <f t="shared" si="8"/>
        <v>-28448.91312712264</v>
      </c>
      <c r="J35" s="100">
        <f t="shared" si="8"/>
        <v>37078.327733065555</v>
      </c>
      <c r="K35" s="100">
        <f t="shared" si="8"/>
        <v>11770.767787186531</v>
      </c>
      <c r="L35" s="100">
        <f>SUM(L30:L31)</f>
        <v>-1648.8881508796667</v>
      </c>
      <c r="M35" s="100">
        <f>SUM(M30:M31)</f>
        <v>-1278.2472872420476</v>
      </c>
      <c r="N35" s="100">
        <f>SUM(N30:N31)</f>
        <v>-17356.555763739834</v>
      </c>
      <c r="O35" s="100">
        <f>SUM(O30:O31)</f>
        <v>-11832.980693601137</v>
      </c>
      <c r="P35" s="100">
        <f t="shared" ref="P35:Q35" si="9">SUM(P30:P31)</f>
        <v>8706.9529071659199</v>
      </c>
      <c r="Q35" s="100">
        <f t="shared" si="9"/>
        <v>-28680.293713103998</v>
      </c>
      <c r="R35" s="100">
        <f t="shared" ref="R35:U35" si="10">SUM(R30:R31)</f>
        <v>17368.480419566797</v>
      </c>
      <c r="S35" s="100">
        <f t="shared" ref="S35:T35" si="11">SUM(S30:S31)</f>
        <v>-17934.893929858528</v>
      </c>
      <c r="T35" s="100">
        <f t="shared" si="11"/>
        <v>294.36315164912776</v>
      </c>
      <c r="U35" s="100">
        <f t="shared" si="10"/>
        <v>7908.0538434835862</v>
      </c>
      <c r="W35" s="271"/>
      <c r="X35" s="272"/>
      <c r="Y35" s="272"/>
      <c r="Z35" s="272"/>
      <c r="AA35" s="272"/>
      <c r="AB35" s="272"/>
      <c r="AC35" s="272"/>
      <c r="AD35" s="273"/>
      <c r="AE35" s="271"/>
      <c r="AF35" s="272"/>
      <c r="AG35" s="272"/>
      <c r="AH35" s="272"/>
      <c r="AI35" s="272"/>
      <c r="AJ35" s="272"/>
      <c r="AK35" s="272"/>
      <c r="AL35" s="273"/>
    </row>
    <row r="36" spans="1:38" x14ac:dyDescent="0.2">
      <c r="A36" s="99" t="s">
        <v>357</v>
      </c>
      <c r="B36" s="79" t="s">
        <v>254</v>
      </c>
      <c r="C36" s="100"/>
      <c r="D36" s="100">
        <f t="shared" ref="D36:K36" si="12">+D34+D35</f>
        <v>-47484.811443759034</v>
      </c>
      <c r="E36" s="100">
        <f t="shared" si="12"/>
        <v>66468.625410856548</v>
      </c>
      <c r="F36" s="100">
        <f t="shared" si="12"/>
        <v>-12305.025557139821</v>
      </c>
      <c r="G36" s="100">
        <f t="shared" si="12"/>
        <v>-1542.2627230229218</v>
      </c>
      <c r="H36" s="100">
        <f t="shared" si="12"/>
        <v>-24563.029291738509</v>
      </c>
      <c r="I36" s="100">
        <f t="shared" si="12"/>
        <v>-28386.392494419215</v>
      </c>
      <c r="J36" s="100">
        <f t="shared" si="12"/>
        <v>60132.689736421584</v>
      </c>
      <c r="K36" s="100">
        <f t="shared" si="12"/>
        <v>2988.1206981176838</v>
      </c>
      <c r="L36" s="100">
        <f>+L34+L35</f>
        <v>10134.869596258712</v>
      </c>
      <c r="M36" s="100">
        <f>+M34+M35</f>
        <v>15740.720145225761</v>
      </c>
      <c r="N36" s="100">
        <f>+N34+N35</f>
        <v>-27245.610633163004</v>
      </c>
      <c r="O36" s="100">
        <f>+O34+O35</f>
        <v>7040.8619514262246</v>
      </c>
      <c r="P36" s="100">
        <f t="shared" ref="P36:Q36" si="13">+P34+P35</f>
        <v>27584.500668710578</v>
      </c>
      <c r="Q36" s="100">
        <f t="shared" si="13"/>
        <v>-16471.542418830937</v>
      </c>
      <c r="R36" s="100">
        <f t="shared" ref="R36:U36" si="14">+R34+R35</f>
        <v>24533.454628153399</v>
      </c>
      <c r="S36" s="100">
        <f t="shared" ref="S36:T36" si="15">+S34+S35</f>
        <v>-11223.924860586727</v>
      </c>
      <c r="T36" s="100">
        <f t="shared" si="15"/>
        <v>48388.446715006234</v>
      </c>
      <c r="U36" s="100">
        <f t="shared" si="14"/>
        <v>18290.088393721773</v>
      </c>
      <c r="W36" s="271"/>
      <c r="X36" s="272"/>
      <c r="Y36" s="272"/>
      <c r="Z36" s="272"/>
      <c r="AA36" s="272"/>
      <c r="AB36" s="272"/>
      <c r="AC36" s="272"/>
      <c r="AD36" s="273"/>
      <c r="AE36" s="271"/>
      <c r="AF36" s="272"/>
      <c r="AG36" s="272"/>
      <c r="AH36" s="272"/>
      <c r="AI36" s="272"/>
      <c r="AJ36" s="272"/>
      <c r="AK36" s="272"/>
      <c r="AL36" s="273"/>
    </row>
    <row r="37" spans="1:38" x14ac:dyDescent="0.2">
      <c r="A37" s="99" t="s">
        <v>338</v>
      </c>
      <c r="B37" s="79" t="s">
        <v>254</v>
      </c>
      <c r="C37" s="100"/>
      <c r="D37" s="100">
        <f>SUM(D32:D33)</f>
        <v>47544.217942931624</v>
      </c>
      <c r="E37" s="100">
        <f t="shared" ref="E37:K37" si="16">SUM(E32:E33)</f>
        <v>-61402.736914374684</v>
      </c>
      <c r="F37" s="100">
        <f t="shared" si="16"/>
        <v>3224.1782601032764</v>
      </c>
      <c r="G37" s="100">
        <f t="shared" si="16"/>
        <v>14245.228502835456</v>
      </c>
      <c r="H37" s="100">
        <f t="shared" si="16"/>
        <v>6724.9612625861864</v>
      </c>
      <c r="I37" s="100">
        <f t="shared" si="16"/>
        <v>12547.749924579253</v>
      </c>
      <c r="J37" s="100">
        <f t="shared" si="16"/>
        <v>-16569.730101835921</v>
      </c>
      <c r="K37" s="100">
        <f t="shared" si="16"/>
        <v>-8897.763730347142</v>
      </c>
      <c r="L37" s="100">
        <f>SUM(L32:L33)</f>
        <v>-11628.699452318531</v>
      </c>
      <c r="M37" s="100">
        <f>SUM(M32:M33)</f>
        <v>-4610.4035815294283</v>
      </c>
      <c r="N37" s="100">
        <f>SUM(N32:N33)</f>
        <v>12403.290024320468</v>
      </c>
      <c r="O37" s="100">
        <f>SUM(O32:O33)</f>
        <v>-8395.8735461725046</v>
      </c>
      <c r="P37" s="100">
        <f t="shared" ref="P37:Q37" si="17">SUM(P32:P33)</f>
        <v>5261.3002688514862</v>
      </c>
      <c r="Q37" s="100">
        <f t="shared" si="17"/>
        <v>10242.692416379528</v>
      </c>
      <c r="R37" s="100">
        <f t="shared" ref="R37:U37" si="18">SUM(R32:R33)</f>
        <v>-1912.0533665573803</v>
      </c>
      <c r="S37" s="100">
        <f t="shared" ref="S37:T37" si="19">SUM(S32:S33)</f>
        <v>6168.8249263178532</v>
      </c>
      <c r="T37" s="100">
        <f t="shared" si="19"/>
        <v>2840.6369471131075</v>
      </c>
      <c r="U37" s="100">
        <f t="shared" si="18"/>
        <v>-7948.8849556805872</v>
      </c>
      <c r="W37" s="271"/>
      <c r="X37" s="272"/>
      <c r="Y37" s="272"/>
      <c r="Z37" s="272"/>
      <c r="AA37" s="272"/>
      <c r="AB37" s="272"/>
      <c r="AC37" s="272"/>
      <c r="AD37" s="273"/>
      <c r="AE37" s="271"/>
      <c r="AF37" s="272"/>
      <c r="AG37" s="272"/>
      <c r="AH37" s="272"/>
      <c r="AI37" s="272"/>
      <c r="AJ37" s="272"/>
      <c r="AK37" s="272"/>
      <c r="AL37" s="273"/>
    </row>
    <row r="38" spans="1:38" x14ac:dyDescent="0.2">
      <c r="A38" s="78" t="s">
        <v>339</v>
      </c>
      <c r="B38" s="79" t="s">
        <v>254</v>
      </c>
      <c r="C38" s="100"/>
      <c r="D38" s="100">
        <f>+BS!K10</f>
        <v>29551.161641127001</v>
      </c>
      <c r="E38" s="100">
        <f>+BS!L10</f>
        <v>26504.582267689686</v>
      </c>
      <c r="F38" s="100">
        <f>+BS!M10</f>
        <v>35326.464873434525</v>
      </c>
      <c r="G38" s="100">
        <f>+BS!N10</f>
        <v>35954.894530504927</v>
      </c>
      <c r="H38" s="100">
        <f>+BS!O10</f>
        <v>29734.554696047773</v>
      </c>
      <c r="I38" s="100">
        <f>+BS!P10</f>
        <v>25889.850774199989</v>
      </c>
      <c r="J38" s="100">
        <f>+BS!Q10</f>
        <v>31289.607143108198</v>
      </c>
      <c r="K38" s="100">
        <f>+BS!R10</f>
        <v>21712.828266911769</v>
      </c>
      <c r="L38" s="100">
        <f>+BS!S10</f>
        <v>23129.40110458932</v>
      </c>
      <c r="M38" s="100">
        <f>+BS!T10</f>
        <v>23349.824716680963</v>
      </c>
      <c r="N38" s="100">
        <f>+BS!U10</f>
        <v>27674.215965520834</v>
      </c>
      <c r="O38" s="100">
        <f>+BS!V10</f>
        <v>36476.654585097771</v>
      </c>
      <c r="P38" s="100">
        <f>+BS!W10</f>
        <v>35658.775079066894</v>
      </c>
      <c r="Q38" s="100">
        <f>+BS!X10</f>
        <v>29807.537062013656</v>
      </c>
      <c r="R38" s="100">
        <f>+BS!Y10</f>
        <v>38735.519938480014</v>
      </c>
      <c r="S38" s="100">
        <f>+BS!Z10</f>
        <v>35265.224642052191</v>
      </c>
      <c r="T38" s="100">
        <f>+BS!AA10</f>
        <v>42530.441031201059</v>
      </c>
      <c r="U38" s="100">
        <f>+BS!AB10</f>
        <v>51965.077165736475</v>
      </c>
      <c r="W38" s="274"/>
      <c r="X38" s="275"/>
      <c r="Y38" s="275"/>
      <c r="Z38" s="275"/>
      <c r="AA38" s="275"/>
      <c r="AB38" s="275"/>
      <c r="AC38" s="275"/>
      <c r="AD38" s="276"/>
      <c r="AE38" s="274"/>
      <c r="AF38" s="275"/>
      <c r="AG38" s="275"/>
      <c r="AH38" s="275"/>
      <c r="AI38" s="275"/>
      <c r="AJ38" s="275"/>
      <c r="AK38" s="275"/>
      <c r="AL38" s="276"/>
    </row>
    <row r="39" spans="1:38" x14ac:dyDescent="0.2">
      <c r="A39" s="78" t="s">
        <v>340</v>
      </c>
      <c r="B39" s="79" t="s">
        <v>254</v>
      </c>
      <c r="C39" s="100"/>
      <c r="D39" s="100">
        <f>D41-(D34+D35+D37)</f>
        <v>-3105.9858726099046</v>
      </c>
      <c r="E39" s="100">
        <f t="shared" ref="E39:K39" si="20">E41-(E34+E35+E37)</f>
        <v>3755.9941092629742</v>
      </c>
      <c r="F39" s="100">
        <f t="shared" si="20"/>
        <v>9709.2769541069465</v>
      </c>
      <c r="G39" s="100">
        <f t="shared" si="20"/>
        <v>-18923.305614269688</v>
      </c>
      <c r="H39" s="100">
        <f t="shared" si="20"/>
        <v>13993.36410730454</v>
      </c>
      <c r="I39" s="100">
        <f t="shared" si="20"/>
        <v>21238.398938748171</v>
      </c>
      <c r="J39" s="100">
        <f t="shared" si="20"/>
        <v>-53139.738510782088</v>
      </c>
      <c r="K39" s="100">
        <f t="shared" si="20"/>
        <v>7326.2158699070096</v>
      </c>
      <c r="L39" s="100">
        <f>L41-(L34+L35+L37)</f>
        <v>1714.2534681514626</v>
      </c>
      <c r="M39" s="100">
        <f>M41-(M34+M35+M37)</f>
        <v>-6805.9253148564621</v>
      </c>
      <c r="N39" s="100">
        <f>N41-(N34+N35+N37)</f>
        <v>23644.759228419472</v>
      </c>
      <c r="O39" s="100">
        <f>O41-(O34+O35+O37)</f>
        <v>537.13208871540337</v>
      </c>
      <c r="P39" s="100">
        <f t="shared" ref="P39:Q39" si="21">P41-(P34+P35+P37)</f>
        <v>-38697.038954615302</v>
      </c>
      <c r="Q39" s="100">
        <f t="shared" si="21"/>
        <v>15156.832878917767</v>
      </c>
      <c r="R39" s="100">
        <f t="shared" ref="R39:U39" si="22">R41-(R34+R35+R37)</f>
        <v>-26091.696558023839</v>
      </c>
      <c r="S39" s="100">
        <f t="shared" ref="S39:T39" si="23">S41-(S34+S35+S37)</f>
        <v>12320.316323417741</v>
      </c>
      <c r="T39" s="100">
        <f t="shared" si="23"/>
        <v>-41794.447527583929</v>
      </c>
      <c r="U39" s="100">
        <f t="shared" si="22"/>
        <v>-18484.597723931765</v>
      </c>
      <c r="W39" s="268"/>
      <c r="X39" s="269"/>
      <c r="Y39" s="269"/>
      <c r="Z39" s="269"/>
      <c r="AA39" s="269"/>
      <c r="AB39" s="269"/>
      <c r="AC39" s="269"/>
      <c r="AD39" s="270"/>
      <c r="AE39" s="268"/>
      <c r="AF39" s="269"/>
      <c r="AG39" s="269"/>
      <c r="AH39" s="269"/>
      <c r="AI39" s="269"/>
      <c r="AJ39" s="269"/>
      <c r="AK39" s="269"/>
      <c r="AL39" s="270"/>
    </row>
    <row r="40" spans="1:38" x14ac:dyDescent="0.2">
      <c r="A40" s="78" t="s">
        <v>341</v>
      </c>
      <c r="B40" s="79" t="s">
        <v>254</v>
      </c>
      <c r="C40" s="100"/>
      <c r="D40" s="100">
        <f>+BS!L10</f>
        <v>26504.582267689686</v>
      </c>
      <c r="E40" s="100">
        <f>+BS!M10</f>
        <v>35326.464873434525</v>
      </c>
      <c r="F40" s="100">
        <f>+BS!N10</f>
        <v>35954.894530504927</v>
      </c>
      <c r="G40" s="100">
        <f>+BS!O10</f>
        <v>29734.554696047773</v>
      </c>
      <c r="H40" s="100">
        <f>+BS!P10</f>
        <v>25889.850774199989</v>
      </c>
      <c r="I40" s="100">
        <f>+BS!Q10</f>
        <v>31289.607143108198</v>
      </c>
      <c r="J40" s="100">
        <f>+BS!R10</f>
        <v>21712.828266911769</v>
      </c>
      <c r="K40" s="100">
        <f>+BS!S10</f>
        <v>23129.40110458932</v>
      </c>
      <c r="L40" s="100">
        <f>+BS!T10</f>
        <v>23349.824716680963</v>
      </c>
      <c r="M40" s="100">
        <f>+BS!U10</f>
        <v>27674.215965520834</v>
      </c>
      <c r="N40" s="100">
        <f>+BS!V10</f>
        <v>36476.654585097771</v>
      </c>
      <c r="O40" s="100">
        <f>+BS!W10</f>
        <v>35658.775079066894</v>
      </c>
      <c r="P40" s="100">
        <f>+BS!X10</f>
        <v>29807.537062013656</v>
      </c>
      <c r="Q40" s="100">
        <f>+BS!Y10</f>
        <v>38735.519938480014</v>
      </c>
      <c r="R40" s="100">
        <f>+BS!Z10</f>
        <v>35265.224642052191</v>
      </c>
      <c r="S40" s="100">
        <f>+BS!AA10</f>
        <v>42530.441031201059</v>
      </c>
      <c r="T40" s="100">
        <f>+BS!AB10</f>
        <v>51965.077165736475</v>
      </c>
      <c r="U40" s="100">
        <f>+BS!AC10</f>
        <v>43821.682879845896</v>
      </c>
      <c r="W40" s="271"/>
      <c r="X40" s="272"/>
      <c r="Y40" s="272"/>
      <c r="Z40" s="272"/>
      <c r="AA40" s="272"/>
      <c r="AB40" s="272"/>
      <c r="AC40" s="272"/>
      <c r="AD40" s="273"/>
      <c r="AE40" s="271"/>
      <c r="AF40" s="272"/>
      <c r="AG40" s="272"/>
      <c r="AH40" s="272"/>
      <c r="AI40" s="272"/>
      <c r="AJ40" s="272"/>
      <c r="AK40" s="272"/>
      <c r="AL40" s="273"/>
    </row>
    <row r="41" spans="1:38" x14ac:dyDescent="0.2">
      <c r="A41" s="78" t="s">
        <v>342</v>
      </c>
      <c r="B41" s="79" t="s">
        <v>254</v>
      </c>
      <c r="C41" s="100"/>
      <c r="D41" s="100">
        <f t="shared" ref="D41:K41" si="24">+D40-D38</f>
        <v>-3046.5793734373146</v>
      </c>
      <c r="E41" s="100">
        <f t="shared" si="24"/>
        <v>8821.8826057448387</v>
      </c>
      <c r="F41" s="100">
        <f t="shared" si="24"/>
        <v>628.42965707040275</v>
      </c>
      <c r="G41" s="100">
        <f t="shared" si="24"/>
        <v>-6220.3398344571542</v>
      </c>
      <c r="H41" s="100">
        <f t="shared" si="24"/>
        <v>-3844.7039218477839</v>
      </c>
      <c r="I41" s="100">
        <f t="shared" si="24"/>
        <v>5399.756368908209</v>
      </c>
      <c r="J41" s="100">
        <f t="shared" si="24"/>
        <v>-9576.7788761964293</v>
      </c>
      <c r="K41" s="100">
        <f t="shared" si="24"/>
        <v>1416.5728376775514</v>
      </c>
      <c r="L41" s="100">
        <f>+L40-L38</f>
        <v>220.42361209164301</v>
      </c>
      <c r="M41" s="100">
        <f>+M40-M38</f>
        <v>4324.391248839871</v>
      </c>
      <c r="N41" s="100">
        <f>+N40-N38</f>
        <v>8802.4386195769366</v>
      </c>
      <c r="O41" s="100">
        <f>+O40-O38</f>
        <v>-817.87950603087666</v>
      </c>
      <c r="P41" s="100">
        <f t="shared" ref="P41:Q41" si="25">+P40-P38</f>
        <v>-5851.2380170532379</v>
      </c>
      <c r="Q41" s="100">
        <f t="shared" si="25"/>
        <v>8927.982876466358</v>
      </c>
      <c r="R41" s="100">
        <f t="shared" ref="R41:U41" si="26">+R40-R38</f>
        <v>-3470.2952964278229</v>
      </c>
      <c r="S41" s="100">
        <f t="shared" ref="S41:T41" si="27">+S40-S38</f>
        <v>7265.2163891488672</v>
      </c>
      <c r="T41" s="100">
        <f t="shared" si="27"/>
        <v>9434.6361345354162</v>
      </c>
      <c r="U41" s="100">
        <f t="shared" si="26"/>
        <v>-8143.3942858905793</v>
      </c>
      <c r="W41" s="271"/>
      <c r="X41" s="272"/>
      <c r="Y41" s="272"/>
      <c r="Z41" s="272"/>
      <c r="AA41" s="272"/>
      <c r="AB41" s="272"/>
      <c r="AC41" s="272"/>
      <c r="AD41" s="273"/>
      <c r="AE41" s="271"/>
      <c r="AF41" s="272"/>
      <c r="AG41" s="272"/>
      <c r="AH41" s="272"/>
      <c r="AI41" s="272"/>
      <c r="AJ41" s="272"/>
      <c r="AK41" s="272"/>
      <c r="AL41" s="273"/>
    </row>
    <row r="42" spans="1:38"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W42" s="271"/>
      <c r="X42" s="272"/>
      <c r="Y42" s="272"/>
      <c r="Z42" s="272"/>
      <c r="AA42" s="272"/>
      <c r="AB42" s="272"/>
      <c r="AC42" s="272"/>
      <c r="AD42" s="273"/>
      <c r="AE42" s="271"/>
      <c r="AF42" s="272"/>
      <c r="AG42" s="272"/>
      <c r="AH42" s="272"/>
      <c r="AI42" s="272"/>
      <c r="AJ42" s="272"/>
      <c r="AK42" s="272"/>
      <c r="AL42" s="273"/>
    </row>
    <row r="43" spans="1:38" x14ac:dyDescent="0.2">
      <c r="A43" s="78" t="s">
        <v>343</v>
      </c>
      <c r="B43" s="79" t="s">
        <v>352</v>
      </c>
      <c r="C43" s="101">
        <f t="shared" ref="C43:K43" si="28">+C12/C20*100</f>
        <v>0.1523845922852225</v>
      </c>
      <c r="D43" s="101">
        <f>+D12/D20*100</f>
        <v>-1.4229284698553144</v>
      </c>
      <c r="E43" s="101">
        <f t="shared" si="28"/>
        <v>-0.57887420300027326</v>
      </c>
      <c r="F43" s="101">
        <f t="shared" si="28"/>
        <v>1.3938543184401551</v>
      </c>
      <c r="G43" s="101">
        <f t="shared" si="28"/>
        <v>-4.3623168631572902E-2</v>
      </c>
      <c r="H43" s="101">
        <f t="shared" si="28"/>
        <v>-0.51052602779799483</v>
      </c>
      <c r="I43" s="101">
        <f t="shared" si="28"/>
        <v>-1.4346832698534888</v>
      </c>
      <c r="J43" s="101">
        <f t="shared" si="28"/>
        <v>-1.1322123177417047</v>
      </c>
      <c r="K43" s="101">
        <f t="shared" si="28"/>
        <v>1.5639272365924808</v>
      </c>
      <c r="L43" s="101">
        <f>+L12/L20*100</f>
        <v>0.60778713572163723</v>
      </c>
      <c r="M43" s="101">
        <f>+M12/M20*100</f>
        <v>1.2117828099379355</v>
      </c>
      <c r="N43" s="101">
        <f>+N12/N20*100</f>
        <v>2.6491637180039938</v>
      </c>
      <c r="O43" s="101">
        <f>+O12/O20*100</f>
        <v>2.2468500584989339</v>
      </c>
      <c r="P43" s="101">
        <f t="shared" ref="P43:Q43" si="29">+P12/P20*100</f>
        <v>1.755722520307857</v>
      </c>
      <c r="Q43" s="101">
        <f t="shared" si="29"/>
        <v>1.7633971877035712</v>
      </c>
      <c r="R43" s="101">
        <f t="shared" ref="R43:U43" si="30">+R12/R20*100</f>
        <v>1.3674253571781452</v>
      </c>
      <c r="S43" s="101">
        <f t="shared" ref="S43:T43" si="31">+S12/S20*100</f>
        <v>1.8236324222647755</v>
      </c>
      <c r="T43" s="101">
        <f t="shared" si="31"/>
        <v>50.228888850812417</v>
      </c>
      <c r="U43" s="101">
        <f t="shared" si="30"/>
        <v>1.504664605901862</v>
      </c>
      <c r="W43" s="271"/>
      <c r="X43" s="272"/>
      <c r="Y43" s="272"/>
      <c r="Z43" s="272"/>
      <c r="AA43" s="272"/>
      <c r="AB43" s="272"/>
      <c r="AC43" s="272"/>
      <c r="AD43" s="273"/>
      <c r="AE43" s="271"/>
      <c r="AF43" s="272"/>
      <c r="AG43" s="272"/>
      <c r="AH43" s="272"/>
      <c r="AI43" s="272"/>
      <c r="AJ43" s="272"/>
      <c r="AK43" s="272"/>
      <c r="AL43" s="273"/>
    </row>
    <row r="44" spans="1:38" x14ac:dyDescent="0.2">
      <c r="A44" s="78" t="s">
        <v>315</v>
      </c>
      <c r="B44" s="79" t="s">
        <v>353</v>
      </c>
      <c r="C44" s="102">
        <f t="shared" ref="C44:K44" si="32">+C19/C20*100</f>
        <v>29.928849450206723</v>
      </c>
      <c r="D44" s="102">
        <f>+D19/D20*100</f>
        <v>23.30291151589935</v>
      </c>
      <c r="E44" s="102">
        <f t="shared" si="32"/>
        <v>31.503657206479929</v>
      </c>
      <c r="F44" s="102">
        <f t="shared" si="32"/>
        <v>38.400173526182527</v>
      </c>
      <c r="G44" s="102">
        <f t="shared" si="32"/>
        <v>30.798772782611085</v>
      </c>
      <c r="H44" s="102">
        <f t="shared" si="32"/>
        <v>33.050190728506607</v>
      </c>
      <c r="I44" s="102">
        <f t="shared" si="32"/>
        <v>36.150223856531042</v>
      </c>
      <c r="J44" s="102">
        <f t="shared" si="32"/>
        <v>20.237118020568431</v>
      </c>
      <c r="K44" s="102">
        <f t="shared" si="32"/>
        <v>29.923756632698989</v>
      </c>
      <c r="L44" s="102">
        <f>+L19/L20*100</f>
        <v>35.956814745712116</v>
      </c>
      <c r="M44" s="102">
        <f>+M19/M20*100</f>
        <v>33.984911316536966</v>
      </c>
      <c r="N44" s="102">
        <f>+N19/N20*100</f>
        <v>44.000445560977518</v>
      </c>
      <c r="O44" s="102">
        <f>+O19/O20*100</f>
        <v>45.140892527670914</v>
      </c>
      <c r="P44" s="102">
        <f t="shared" ref="P44:Q44" si="33">+P19/P20*100</f>
        <v>34.852377612525679</v>
      </c>
      <c r="Q44" s="102">
        <f t="shared" si="33"/>
        <v>46.258950717415523</v>
      </c>
      <c r="R44" s="102">
        <f t="shared" ref="R44:U44" si="34">+R19/R20*100</f>
        <v>35.898051220999619</v>
      </c>
      <c r="S44" s="102">
        <f t="shared" ref="S44:T44" si="35">+S19/S20*100</f>
        <v>38.495456568018909</v>
      </c>
      <c r="T44" s="102">
        <f t="shared" si="35"/>
        <v>43.251637092196816</v>
      </c>
      <c r="U44" s="102">
        <f t="shared" si="34"/>
        <v>36.910172111534862</v>
      </c>
      <c r="W44" s="271"/>
      <c r="X44" s="272"/>
      <c r="Y44" s="272"/>
      <c r="Z44" s="272"/>
      <c r="AA44" s="272"/>
      <c r="AB44" s="272"/>
      <c r="AC44" s="272"/>
      <c r="AD44" s="273"/>
      <c r="AE44" s="271"/>
      <c r="AF44" s="272"/>
      <c r="AG44" s="272"/>
      <c r="AH44" s="272"/>
      <c r="AI44" s="272"/>
      <c r="AJ44" s="272"/>
      <c r="AK44" s="272"/>
      <c r="AL44" s="273"/>
    </row>
    <row r="45" spans="1:38" x14ac:dyDescent="0.2">
      <c r="A45" s="78" t="s">
        <v>316</v>
      </c>
      <c r="B45" s="79" t="s">
        <v>353</v>
      </c>
      <c r="C45" s="102">
        <f t="shared" ref="C45:K45" si="36">+C12/C19*100</f>
        <v>0.50915619906721798</v>
      </c>
      <c r="D45" s="102">
        <f>+D12/D19*100</f>
        <v>-6.1062261206479036</v>
      </c>
      <c r="E45" s="102">
        <f t="shared" si="36"/>
        <v>-1.8374825475221512</v>
      </c>
      <c r="F45" s="102">
        <f t="shared" si="36"/>
        <v>3.6298125514713591</v>
      </c>
      <c r="G45" s="102">
        <f t="shared" si="36"/>
        <v>-0.14163930796685004</v>
      </c>
      <c r="H45" s="102">
        <f t="shared" si="36"/>
        <v>-1.5446991879464511</v>
      </c>
      <c r="I45" s="102">
        <f t="shared" si="36"/>
        <v>-3.9686704999318931</v>
      </c>
      <c r="J45" s="102">
        <f t="shared" si="36"/>
        <v>-5.5947310115548881</v>
      </c>
      <c r="K45" s="102">
        <f t="shared" si="36"/>
        <v>5.2263733320284711</v>
      </c>
      <c r="L45" s="102">
        <f>+L12/L19*100</f>
        <v>1.6903252972209288</v>
      </c>
      <c r="M45" s="102">
        <f>+M12/M19*100</f>
        <v>3.5656494691168583</v>
      </c>
      <c r="N45" s="102">
        <f>+N12/N19*100</f>
        <v>6.0207656632310238</v>
      </c>
      <c r="O45" s="102">
        <f>+O12/O19*100</f>
        <v>4.9774161136083812</v>
      </c>
      <c r="P45" s="102">
        <f t="shared" ref="P45:Q45" si="37">+P12/P19*100</f>
        <v>5.0375975488021325</v>
      </c>
      <c r="Q45" s="102">
        <f t="shared" si="37"/>
        <v>3.8120129409673131</v>
      </c>
      <c r="R45" s="102">
        <f t="shared" ref="R45:U45" si="38">+R12/R19*100</f>
        <v>3.8091910581993642</v>
      </c>
      <c r="S45" s="102">
        <f t="shared" ref="S45:T45" si="39">+S12/S19*100</f>
        <v>4.7372666409152426</v>
      </c>
      <c r="T45" s="102">
        <f t="shared" si="39"/>
        <v>116.1317633913894</v>
      </c>
      <c r="U45" s="102">
        <f t="shared" si="38"/>
        <v>4.0765580863591708</v>
      </c>
      <c r="W45" s="271"/>
      <c r="X45" s="272"/>
      <c r="Y45" s="272"/>
      <c r="Z45" s="272"/>
      <c r="AA45" s="272"/>
      <c r="AB45" s="272"/>
      <c r="AC45" s="272"/>
      <c r="AD45" s="273"/>
      <c r="AE45" s="271"/>
      <c r="AF45" s="272"/>
      <c r="AG45" s="272"/>
      <c r="AH45" s="272"/>
      <c r="AI45" s="272"/>
      <c r="AJ45" s="272"/>
      <c r="AK45" s="272"/>
      <c r="AL45" s="273"/>
    </row>
    <row r="46" spans="1:38" x14ac:dyDescent="0.2">
      <c r="A46" s="78" t="s">
        <v>349</v>
      </c>
      <c r="B46" s="79" t="s">
        <v>354</v>
      </c>
      <c r="C46" s="101">
        <f t="shared" ref="C46:K46" si="40">+C18/C20*100</f>
        <v>42.23515026817941</v>
      </c>
      <c r="D46" s="101">
        <f>+D18/D20*100</f>
        <v>55.367005494987801</v>
      </c>
      <c r="E46" s="101">
        <f t="shared" si="40"/>
        <v>41.44647711716329</v>
      </c>
      <c r="F46" s="101">
        <f t="shared" si="40"/>
        <v>38.231968962853699</v>
      </c>
      <c r="G46" s="101">
        <f t="shared" si="40"/>
        <v>48.964517947916981</v>
      </c>
      <c r="H46" s="101">
        <f t="shared" si="40"/>
        <v>43.1380778253382</v>
      </c>
      <c r="I46" s="101">
        <f t="shared" si="40"/>
        <v>40.956122943379754</v>
      </c>
      <c r="J46" s="101">
        <f t="shared" si="40"/>
        <v>52.186573880422436</v>
      </c>
      <c r="K46" s="101">
        <f t="shared" si="40"/>
        <v>47.197486615318951</v>
      </c>
      <c r="L46" s="101">
        <f>+L18/L20*100</f>
        <v>45.822750018887263</v>
      </c>
      <c r="M46" s="101">
        <f>+M18/M20*100</f>
        <v>40.855343163376325</v>
      </c>
      <c r="N46" s="101">
        <f>+N18/N20*100</f>
        <v>36.057652304096024</v>
      </c>
      <c r="O46" s="101">
        <f>+O18/O20*100</f>
        <v>31.683338291980867</v>
      </c>
      <c r="P46" s="101">
        <f t="shared" ref="P46:Q46" si="41">+P18/P20*100</f>
        <v>43.443209599920884</v>
      </c>
      <c r="Q46" s="101">
        <f t="shared" si="41"/>
        <v>32.091188489535504</v>
      </c>
      <c r="R46" s="101">
        <f t="shared" ref="R46:U46" si="42">+R18/R20*100</f>
        <v>43.77606836191417</v>
      </c>
      <c r="S46" s="101">
        <f t="shared" ref="S46:T46" si="43">+S18/S20*100</f>
        <v>39.541158517481307</v>
      </c>
      <c r="T46" s="101">
        <f t="shared" si="43"/>
        <v>37.772455428133334</v>
      </c>
      <c r="U46" s="101">
        <f t="shared" si="42"/>
        <v>40.415955136322395</v>
      </c>
      <c r="W46" s="271"/>
      <c r="X46" s="272"/>
      <c r="Y46" s="272"/>
      <c r="Z46" s="272"/>
      <c r="AA46" s="272"/>
      <c r="AB46" s="272"/>
      <c r="AC46" s="272"/>
      <c r="AD46" s="273"/>
      <c r="AE46" s="271"/>
      <c r="AF46" s="272"/>
      <c r="AG46" s="272"/>
      <c r="AH46" s="272"/>
      <c r="AI46" s="272"/>
      <c r="AJ46" s="272"/>
      <c r="AK46" s="272"/>
      <c r="AL46" s="273"/>
    </row>
    <row r="47" spans="1:38" x14ac:dyDescent="0.2">
      <c r="A47" s="78" t="s">
        <v>350</v>
      </c>
      <c r="B47" s="79" t="s">
        <v>254</v>
      </c>
      <c r="C47" s="100">
        <f t="shared" ref="C47:K47" si="44">+C5/C13</f>
        <v>14256.585226376335</v>
      </c>
      <c r="D47" s="100">
        <f>+D5/D13</f>
        <v>16806.865369368803</v>
      </c>
      <c r="E47" s="100">
        <f t="shared" si="44"/>
        <v>15164.819136370706</v>
      </c>
      <c r="F47" s="100">
        <f t="shared" si="44"/>
        <v>12827.938953739524</v>
      </c>
      <c r="G47" s="100">
        <f t="shared" si="44"/>
        <v>14389.666068434486</v>
      </c>
      <c r="H47" s="100">
        <f t="shared" si="44"/>
        <v>14054.414580021878</v>
      </c>
      <c r="I47" s="100">
        <f t="shared" si="44"/>
        <v>13320.553227287051</v>
      </c>
      <c r="J47" s="100">
        <f t="shared" si="44"/>
        <v>13172.647683320149</v>
      </c>
      <c r="K47" s="100">
        <f t="shared" si="44"/>
        <v>13288.72783991112</v>
      </c>
      <c r="L47" s="100">
        <f>+L5/L13</f>
        <v>13374.492548878656</v>
      </c>
      <c r="M47" s="100">
        <f>+M5/M13</f>
        <v>13329.140450479716</v>
      </c>
      <c r="N47" s="100">
        <f>+N5/N13</f>
        <v>14754.441593716076</v>
      </c>
      <c r="O47" s="100">
        <f>+O5/O13</f>
        <v>14811.279378527339</v>
      </c>
      <c r="P47" s="100">
        <f t="shared" ref="P47:Q47" si="45">+P5/P13</f>
        <v>14262.411687854035</v>
      </c>
      <c r="Q47" s="100">
        <f t="shared" si="45"/>
        <v>15365.253667925583</v>
      </c>
      <c r="R47" s="100">
        <f t="shared" ref="R47:U47" si="46">+R5/R13</f>
        <v>13687.176720852214</v>
      </c>
      <c r="S47" s="100">
        <f t="shared" ref="S47:T47" si="47">+S5/S13</f>
        <v>16094.202777112763</v>
      </c>
      <c r="T47" s="100">
        <f t="shared" si="47"/>
        <v>15162.155610681453</v>
      </c>
      <c r="U47" s="100">
        <f t="shared" si="46"/>
        <v>16654.892944701714</v>
      </c>
      <c r="W47" s="271"/>
      <c r="X47" s="272"/>
      <c r="Y47" s="272"/>
      <c r="Z47" s="272"/>
      <c r="AA47" s="272"/>
      <c r="AB47" s="272"/>
      <c r="AC47" s="272"/>
      <c r="AD47" s="273"/>
      <c r="AE47" s="271"/>
      <c r="AF47" s="272"/>
      <c r="AG47" s="272"/>
      <c r="AH47" s="272"/>
      <c r="AI47" s="272"/>
      <c r="AJ47" s="272"/>
      <c r="AK47" s="272"/>
      <c r="AL47" s="273"/>
    </row>
    <row r="48" spans="1:38" x14ac:dyDescent="0.2">
      <c r="A48" s="78" t="s">
        <v>185</v>
      </c>
      <c r="B48" s="79" t="s">
        <v>254</v>
      </c>
      <c r="C48" s="100">
        <f>+PL!K47</f>
        <v>80211.725160652306</v>
      </c>
      <c r="D48" s="100">
        <f>+PL!L47</f>
        <v>98201.513213981249</v>
      </c>
      <c r="E48" s="100">
        <f>+PL!M47</f>
        <v>83971.303673487389</v>
      </c>
      <c r="F48" s="100">
        <f>+PL!N47</f>
        <v>85362.729767710145</v>
      </c>
      <c r="G48" s="100">
        <f>+PL!O47</f>
        <v>76259.072636423647</v>
      </c>
      <c r="H48" s="100">
        <f>+PL!P47</f>
        <v>88500.241430049398</v>
      </c>
      <c r="I48" s="100">
        <f>+PL!Q47</f>
        <v>87932.049582930806</v>
      </c>
      <c r="J48" s="100">
        <f>+PL!R47</f>
        <v>66941.244476116583</v>
      </c>
      <c r="K48" s="100">
        <f>+PL!S47</f>
        <v>71458.905409387327</v>
      </c>
      <c r="L48" s="100">
        <f>+PL!T47</f>
        <v>77021.811781065553</v>
      </c>
      <c r="M48" s="100">
        <f>+PL!U47</f>
        <v>69510.304427645198</v>
      </c>
      <c r="N48" s="100">
        <f>+PL!V47</f>
        <v>77270.38332064182</v>
      </c>
      <c r="O48" s="100">
        <f>+PL!W47</f>
        <v>79365.106414770606</v>
      </c>
      <c r="P48" s="100">
        <f>+PL!X47</f>
        <v>91170.264708581686</v>
      </c>
      <c r="Q48" s="100">
        <f>+PL!Y47</f>
        <v>89794.266168461036</v>
      </c>
      <c r="R48" s="100">
        <f>+PL!Z47</f>
        <v>86085.09306395911</v>
      </c>
      <c r="S48" s="100">
        <f>+PL!AA47</f>
        <v>109442.12046741358</v>
      </c>
      <c r="T48" s="100">
        <f>+PL!AB47</f>
        <v>96421.310118903202</v>
      </c>
      <c r="U48" s="100">
        <f>+PL!AC47</f>
        <v>110811.72261016131</v>
      </c>
      <c r="W48" s="271"/>
      <c r="X48" s="272"/>
      <c r="Y48" s="272"/>
      <c r="Z48" s="272"/>
      <c r="AA48" s="272"/>
      <c r="AB48" s="272"/>
      <c r="AC48" s="272"/>
      <c r="AD48" s="273"/>
      <c r="AE48" s="271"/>
      <c r="AF48" s="272"/>
      <c r="AG48" s="272"/>
      <c r="AH48" s="272"/>
      <c r="AI48" s="272"/>
      <c r="AJ48" s="272"/>
      <c r="AK48" s="272"/>
      <c r="AL48" s="273"/>
    </row>
    <row r="49" spans="1:38" x14ac:dyDescent="0.2">
      <c r="A49" s="78" t="s">
        <v>351</v>
      </c>
      <c r="B49" s="79" t="s">
        <v>355</v>
      </c>
      <c r="C49" s="103">
        <f t="shared" ref="C49:K49" si="48">+C7/C48*100</f>
        <v>51.467446017805706</v>
      </c>
      <c r="D49" s="103">
        <f t="shared" si="48"/>
        <v>59.003410658225562</v>
      </c>
      <c r="E49" s="103">
        <f t="shared" si="48"/>
        <v>58.678542150337002</v>
      </c>
      <c r="F49" s="103">
        <f t="shared" si="48"/>
        <v>55.085010969918294</v>
      </c>
      <c r="G49" s="103">
        <f t="shared" si="48"/>
        <v>58.661769555560937</v>
      </c>
      <c r="H49" s="103">
        <f t="shared" si="48"/>
        <v>49.787223116868667</v>
      </c>
      <c r="I49" s="103">
        <f t="shared" si="48"/>
        <v>55.642915792818329</v>
      </c>
      <c r="J49" s="103">
        <f t="shared" si="48"/>
        <v>60.028741343552049</v>
      </c>
      <c r="K49" s="103">
        <f t="shared" si="48"/>
        <v>54.24630252064663</v>
      </c>
      <c r="L49" s="103">
        <f>+L7/L48*100</f>
        <v>58.714151187617837</v>
      </c>
      <c r="M49" s="103">
        <f>+M7/M48*100</f>
        <v>51.757802735807942</v>
      </c>
      <c r="N49" s="103">
        <f>+N7/N48*100</f>
        <v>52.923180493529053</v>
      </c>
      <c r="O49" s="103">
        <f>+O7/O48*100</f>
        <v>50.274686201624384</v>
      </c>
      <c r="P49" s="103">
        <f t="shared" ref="P49:Q49" si="49">+P7/P48*100</f>
        <v>51.32779019154551</v>
      </c>
      <c r="Q49" s="103">
        <f t="shared" si="49"/>
        <v>49.209527491711079</v>
      </c>
      <c r="R49" s="103">
        <f t="shared" ref="R49:U49" si="50">+R7/R48*100</f>
        <v>53.201024376507512</v>
      </c>
      <c r="S49" s="103">
        <f t="shared" ref="S49:T49" si="51">+S7/S48*100</f>
        <v>44.803451173065142</v>
      </c>
      <c r="T49" s="103">
        <f t="shared" si="51"/>
        <v>48.725662709838787</v>
      </c>
      <c r="U49" s="103">
        <f t="shared" si="50"/>
        <v>44.235938283882888</v>
      </c>
      <c r="W49" s="271"/>
      <c r="X49" s="272"/>
      <c r="Y49" s="272"/>
      <c r="Z49" s="272"/>
      <c r="AA49" s="272"/>
      <c r="AB49" s="272"/>
      <c r="AC49" s="272"/>
      <c r="AD49" s="273"/>
      <c r="AE49" s="271"/>
      <c r="AF49" s="272"/>
      <c r="AG49" s="272"/>
      <c r="AH49" s="272"/>
      <c r="AI49" s="272"/>
      <c r="AJ49" s="272"/>
      <c r="AK49" s="272"/>
      <c r="AL49" s="273"/>
    </row>
    <row r="50" spans="1:38" ht="12.6" thickBot="1" x14ac:dyDescent="0.25">
      <c r="A50" s="76" t="s">
        <v>356</v>
      </c>
      <c r="W50" s="271"/>
      <c r="X50" s="272"/>
      <c r="Y50" s="272"/>
      <c r="Z50" s="272"/>
      <c r="AA50" s="272"/>
      <c r="AB50" s="272"/>
      <c r="AC50" s="272"/>
      <c r="AD50" s="273"/>
      <c r="AE50" s="271"/>
      <c r="AF50" s="272"/>
      <c r="AG50" s="272"/>
      <c r="AH50" s="272"/>
      <c r="AI50" s="272"/>
      <c r="AJ50" s="272"/>
      <c r="AK50" s="272"/>
      <c r="AL50" s="273"/>
    </row>
    <row r="51" spans="1:38" x14ac:dyDescent="0.2">
      <c r="A51" s="277"/>
      <c r="B51" s="278"/>
      <c r="C51" s="278"/>
      <c r="D51" s="278"/>
      <c r="E51" s="278"/>
      <c r="F51" s="278"/>
      <c r="G51" s="278"/>
      <c r="H51" s="278"/>
      <c r="I51" s="278"/>
      <c r="J51" s="278"/>
      <c r="K51" s="278"/>
      <c r="L51" s="278"/>
      <c r="M51" s="278"/>
      <c r="N51" s="278"/>
      <c r="O51" s="278"/>
      <c r="P51" s="278"/>
      <c r="Q51" s="278"/>
      <c r="R51" s="278"/>
      <c r="S51" s="278"/>
      <c r="T51" s="278"/>
      <c r="U51" s="279"/>
      <c r="W51" s="271"/>
      <c r="X51" s="272"/>
      <c r="Y51" s="272"/>
      <c r="Z51" s="272"/>
      <c r="AA51" s="272"/>
      <c r="AB51" s="272"/>
      <c r="AC51" s="272"/>
      <c r="AD51" s="273"/>
      <c r="AE51" s="271"/>
      <c r="AF51" s="272"/>
      <c r="AG51" s="272"/>
      <c r="AH51" s="272"/>
      <c r="AI51" s="272"/>
      <c r="AJ51" s="272"/>
      <c r="AK51" s="272"/>
      <c r="AL51" s="273"/>
    </row>
    <row r="52" spans="1:38" x14ac:dyDescent="0.2">
      <c r="A52" s="280"/>
      <c r="B52" s="281"/>
      <c r="C52" s="281"/>
      <c r="D52" s="281"/>
      <c r="E52" s="281"/>
      <c r="F52" s="281"/>
      <c r="G52" s="281"/>
      <c r="H52" s="281"/>
      <c r="I52" s="281"/>
      <c r="J52" s="281"/>
      <c r="K52" s="281"/>
      <c r="L52" s="281"/>
      <c r="M52" s="281"/>
      <c r="N52" s="281"/>
      <c r="O52" s="281"/>
      <c r="P52" s="281"/>
      <c r="Q52" s="281"/>
      <c r="R52" s="281"/>
      <c r="S52" s="281"/>
      <c r="T52" s="281"/>
      <c r="U52" s="282"/>
      <c r="W52" s="271"/>
      <c r="X52" s="272"/>
      <c r="Y52" s="272"/>
      <c r="Z52" s="272"/>
      <c r="AA52" s="272"/>
      <c r="AB52" s="272"/>
      <c r="AC52" s="272"/>
      <c r="AD52" s="273"/>
      <c r="AE52" s="271"/>
      <c r="AF52" s="272"/>
      <c r="AG52" s="272"/>
      <c r="AH52" s="272"/>
      <c r="AI52" s="272"/>
      <c r="AJ52" s="272"/>
      <c r="AK52" s="272"/>
      <c r="AL52" s="273"/>
    </row>
    <row r="53" spans="1:38" x14ac:dyDescent="0.2">
      <c r="A53" s="280"/>
      <c r="B53" s="281"/>
      <c r="C53" s="281"/>
      <c r="D53" s="281"/>
      <c r="E53" s="281"/>
      <c r="F53" s="281"/>
      <c r="G53" s="281"/>
      <c r="H53" s="281"/>
      <c r="I53" s="281"/>
      <c r="J53" s="281"/>
      <c r="K53" s="281"/>
      <c r="L53" s="281"/>
      <c r="M53" s="281"/>
      <c r="N53" s="281"/>
      <c r="O53" s="281"/>
      <c r="P53" s="281"/>
      <c r="Q53" s="281"/>
      <c r="R53" s="281"/>
      <c r="S53" s="281"/>
      <c r="T53" s="281"/>
      <c r="U53" s="282"/>
      <c r="W53" s="271"/>
      <c r="X53" s="272"/>
      <c r="Y53" s="272"/>
      <c r="Z53" s="272"/>
      <c r="AA53" s="272"/>
      <c r="AB53" s="272"/>
      <c r="AC53" s="272"/>
      <c r="AD53" s="273"/>
      <c r="AE53" s="271"/>
      <c r="AF53" s="272"/>
      <c r="AG53" s="272"/>
      <c r="AH53" s="272"/>
      <c r="AI53" s="272"/>
      <c r="AJ53" s="272"/>
      <c r="AK53" s="272"/>
      <c r="AL53" s="273"/>
    </row>
    <row r="54" spans="1:38" x14ac:dyDescent="0.2">
      <c r="A54" s="280"/>
      <c r="B54" s="281"/>
      <c r="C54" s="281"/>
      <c r="D54" s="281"/>
      <c r="E54" s="281"/>
      <c r="F54" s="281"/>
      <c r="G54" s="281"/>
      <c r="H54" s="281"/>
      <c r="I54" s="281"/>
      <c r="J54" s="281"/>
      <c r="K54" s="281"/>
      <c r="L54" s="281"/>
      <c r="M54" s="281"/>
      <c r="N54" s="281"/>
      <c r="O54" s="281"/>
      <c r="P54" s="281"/>
      <c r="Q54" s="281"/>
      <c r="R54" s="281"/>
      <c r="S54" s="281"/>
      <c r="T54" s="281"/>
      <c r="U54" s="282"/>
      <c r="W54" s="271"/>
      <c r="X54" s="272"/>
      <c r="Y54" s="272"/>
      <c r="Z54" s="272"/>
      <c r="AA54" s="272"/>
      <c r="AB54" s="272"/>
      <c r="AC54" s="272"/>
      <c r="AD54" s="273"/>
      <c r="AE54" s="271"/>
      <c r="AF54" s="272"/>
      <c r="AG54" s="272"/>
      <c r="AH54" s="272"/>
      <c r="AI54" s="272"/>
      <c r="AJ54" s="272"/>
      <c r="AK54" s="272"/>
      <c r="AL54" s="273"/>
    </row>
    <row r="55" spans="1:38" x14ac:dyDescent="0.2">
      <c r="A55" s="280"/>
      <c r="B55" s="281"/>
      <c r="C55" s="281"/>
      <c r="D55" s="281"/>
      <c r="E55" s="281"/>
      <c r="F55" s="281"/>
      <c r="G55" s="281"/>
      <c r="H55" s="281"/>
      <c r="I55" s="281"/>
      <c r="J55" s="281"/>
      <c r="K55" s="281"/>
      <c r="L55" s="281"/>
      <c r="M55" s="281"/>
      <c r="N55" s="281"/>
      <c r="O55" s="281"/>
      <c r="P55" s="281"/>
      <c r="Q55" s="281"/>
      <c r="R55" s="281"/>
      <c r="S55" s="281"/>
      <c r="T55" s="281"/>
      <c r="U55" s="282"/>
      <c r="W55" s="271"/>
      <c r="X55" s="272"/>
      <c r="Y55" s="272"/>
      <c r="Z55" s="272"/>
      <c r="AA55" s="272"/>
      <c r="AB55" s="272"/>
      <c r="AC55" s="272"/>
      <c r="AD55" s="273"/>
      <c r="AE55" s="271"/>
      <c r="AF55" s="272"/>
      <c r="AG55" s="272"/>
      <c r="AH55" s="272"/>
      <c r="AI55" s="272"/>
      <c r="AJ55" s="272"/>
      <c r="AK55" s="272"/>
      <c r="AL55" s="273"/>
    </row>
    <row r="56" spans="1:38"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5"/>
      <c r="W56" s="274"/>
      <c r="X56" s="275"/>
      <c r="Y56" s="275"/>
      <c r="Z56" s="275"/>
      <c r="AA56" s="275"/>
      <c r="AB56" s="275"/>
      <c r="AC56" s="275"/>
      <c r="AD56" s="276"/>
      <c r="AE56" s="274"/>
      <c r="AF56" s="275"/>
      <c r="AG56" s="275"/>
      <c r="AH56" s="275"/>
      <c r="AI56" s="275"/>
      <c r="AJ56" s="275"/>
      <c r="AK56" s="275"/>
      <c r="AL56" s="276"/>
    </row>
    <row r="57" spans="1:38" x14ac:dyDescent="0.2">
      <c r="A57" s="267" t="s">
        <v>581</v>
      </c>
      <c r="B57" s="267"/>
      <c r="C57" s="267"/>
      <c r="D57" s="267"/>
      <c r="E57" s="267"/>
      <c r="F57" s="267"/>
      <c r="G57" s="267"/>
      <c r="H57" s="267"/>
      <c r="I57" s="267"/>
      <c r="J57" s="267"/>
      <c r="K57" s="267"/>
      <c r="L57" s="267"/>
      <c r="M57" s="267"/>
      <c r="N57" s="267"/>
      <c r="O57" s="267"/>
      <c r="P57" s="267"/>
      <c r="Q57" s="267"/>
      <c r="R57" s="267"/>
      <c r="S57" s="267"/>
      <c r="T57" s="267"/>
      <c r="U57" s="267"/>
    </row>
  </sheetData>
  <sheetProtection algorithmName="SHA-512" hashValue="nHwlw/a047Re4v2KxxyPciZhUHtlFV4nXRTiH0x4r0dx/1Kr6Ami+nlJHIC+VMlw+KW1KKs9PHKrw52YOoVGgA==" saltValue="Rn1cYyzMQZ2NKwS/1Nz9Rw==" spinCount="100000" sheet="1" objects="1" scenarios="1"/>
  <mergeCells count="8">
    <mergeCell ref="A57:U57"/>
    <mergeCell ref="AE39:AL56"/>
    <mergeCell ref="A51:U56"/>
    <mergeCell ref="W3:AD20"/>
    <mergeCell ref="AE3:AL20"/>
    <mergeCell ref="W39:AD56"/>
    <mergeCell ref="W21:AD38"/>
    <mergeCell ref="AE21:AL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92"/>
  <sheetViews>
    <sheetView zoomScaleNormal="100" workbookViewId="0"/>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1" width="9.21875" style="76" customWidth="1"/>
    <col min="22" max="26" width="7" style="76" customWidth="1"/>
    <col min="27" max="32" width="7" style="31" customWidth="1"/>
    <col min="33" max="36" width="7.21875" style="31" customWidth="1"/>
    <col min="37" max="40" width="7.33203125" style="31" customWidth="1"/>
    <col min="41" max="16384" width="9" style="31"/>
  </cols>
  <sheetData>
    <row r="1" spans="1:40" ht="14.4" x14ac:dyDescent="0.2">
      <c r="A1" s="75" t="s">
        <v>384</v>
      </c>
    </row>
    <row r="2" spans="1:40" ht="15" thickBot="1" x14ac:dyDescent="0.25">
      <c r="A2" s="75" t="str">
        <f>BS!A2</f>
        <v>１３　家具・装備品製造業</v>
      </c>
    </row>
    <row r="3" spans="1:40"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109" t="s">
        <v>580</v>
      </c>
      <c r="V3" s="110" t="s">
        <v>532</v>
      </c>
      <c r="W3" s="110" t="s">
        <v>519</v>
      </c>
      <c r="X3" s="111" t="s">
        <v>520</v>
      </c>
      <c r="Y3" s="111" t="s">
        <v>521</v>
      </c>
      <c r="Z3" s="111" t="s">
        <v>522</v>
      </c>
      <c r="AA3" s="111" t="s">
        <v>359</v>
      </c>
      <c r="AB3" s="111" t="s">
        <v>506</v>
      </c>
      <c r="AC3" s="111" t="s">
        <v>511</v>
      </c>
      <c r="AD3" s="111" t="s">
        <v>515</v>
      </c>
      <c r="AE3" s="111" t="s">
        <v>517</v>
      </c>
      <c r="AF3" s="111" t="s">
        <v>535</v>
      </c>
      <c r="AG3" s="111" t="s">
        <v>536</v>
      </c>
      <c r="AH3" s="111" t="s">
        <v>539</v>
      </c>
      <c r="AI3" s="111" t="s">
        <v>554</v>
      </c>
      <c r="AJ3" s="111" t="s">
        <v>557</v>
      </c>
      <c r="AK3" s="111" t="s">
        <v>559</v>
      </c>
      <c r="AL3" s="111" t="s">
        <v>563</v>
      </c>
      <c r="AM3" s="111" t="s">
        <v>576</v>
      </c>
      <c r="AN3" s="111" t="s">
        <v>580</v>
      </c>
    </row>
    <row r="4" spans="1:40" x14ac:dyDescent="0.2">
      <c r="A4" s="195" t="s">
        <v>322</v>
      </c>
      <c r="B4" s="189"/>
      <c r="C4" s="196"/>
      <c r="D4" s="196"/>
      <c r="E4" s="196"/>
      <c r="F4" s="196"/>
      <c r="G4" s="196"/>
      <c r="H4" s="196"/>
      <c r="I4" s="196"/>
      <c r="J4" s="196"/>
      <c r="K4" s="196"/>
      <c r="L4" s="196"/>
      <c r="M4" s="196"/>
      <c r="N4" s="196"/>
      <c r="O4" s="196"/>
      <c r="P4" s="196"/>
      <c r="Q4" s="196"/>
      <c r="R4" s="196"/>
      <c r="S4" s="196"/>
      <c r="T4" s="196"/>
      <c r="U4" s="197"/>
      <c r="V4" s="200" t="s">
        <v>383</v>
      </c>
      <c r="W4" s="196"/>
      <c r="X4" s="196"/>
      <c r="Y4" s="196"/>
      <c r="Z4" s="196"/>
      <c r="AA4" s="196"/>
      <c r="AB4" s="196"/>
      <c r="AC4" s="196"/>
      <c r="AD4" s="196"/>
      <c r="AE4" s="196"/>
      <c r="AF4" s="196"/>
      <c r="AG4" s="110"/>
      <c r="AH4" s="110"/>
      <c r="AI4" s="110"/>
      <c r="AJ4" s="110"/>
      <c r="AK4" s="110"/>
      <c r="AL4" s="110"/>
      <c r="AM4" s="110"/>
      <c r="AN4" s="110"/>
    </row>
    <row r="5" spans="1:40" x14ac:dyDescent="0.2">
      <c r="A5" s="113" t="s">
        <v>310</v>
      </c>
      <c r="B5" s="81" t="s">
        <v>254</v>
      </c>
      <c r="C5" s="82">
        <f>PL!K6</f>
        <v>178690.05190311401</v>
      </c>
      <c r="D5" s="82">
        <f>PL!L6</f>
        <v>228162.5106564365</v>
      </c>
      <c r="E5" s="82">
        <f>PL!M6</f>
        <v>185528.85343416347</v>
      </c>
      <c r="F5" s="82">
        <f>PL!N6</f>
        <v>167398.51104675228</v>
      </c>
      <c r="G5" s="82">
        <f>PL!O6</f>
        <v>173287.57670911792</v>
      </c>
      <c r="H5" s="82">
        <f>PL!P6</f>
        <v>177881.84871766673</v>
      </c>
      <c r="I5" s="82">
        <f>PL!Q6</f>
        <v>171715.58089207942</v>
      </c>
      <c r="J5" s="82">
        <f>PL!R6</f>
        <v>149769.25517416568</v>
      </c>
      <c r="K5" s="82">
        <f>PL!S6</f>
        <v>157111.54862516082</v>
      </c>
      <c r="L5" s="82">
        <f>PL!T6</f>
        <v>150018.4249596498</v>
      </c>
      <c r="M5" s="82">
        <f>PL!U6</f>
        <v>150079.80754763054</v>
      </c>
      <c r="N5" s="240">
        <f>PL!V6</f>
        <v>165545.42591284707</v>
      </c>
      <c r="O5" s="240">
        <f>PL!W6</f>
        <v>176132.00737193864</v>
      </c>
      <c r="P5" s="240">
        <f>PL!X6</f>
        <v>168887.11406020238</v>
      </c>
      <c r="Q5" s="240">
        <f>PL!Y6</f>
        <v>186822.29642525339</v>
      </c>
      <c r="R5" s="240">
        <f>PL!Z6</f>
        <v>164449.18406024383</v>
      </c>
      <c r="S5" s="240">
        <f>PL!AA6</f>
        <v>210560.48789302495</v>
      </c>
      <c r="T5" s="240">
        <f>PL!AB6</f>
        <v>189103.8323222519</v>
      </c>
      <c r="U5" s="114">
        <f>PL!AC6</f>
        <v>206106.80664579821</v>
      </c>
      <c r="V5" s="115">
        <f t="shared" ref="V5:V13" si="0">+C5/C$5</f>
        <v>1</v>
      </c>
      <c r="W5" s="116">
        <f t="shared" ref="W5:W13" si="1">+D5/D$5</f>
        <v>1</v>
      </c>
      <c r="X5" s="116">
        <f t="shared" ref="X5:X13" si="2">+E5/E$5</f>
        <v>1</v>
      </c>
      <c r="Y5" s="116">
        <f t="shared" ref="Y5:Y13" si="3">+F5/F$5</f>
        <v>1</v>
      </c>
      <c r="Z5" s="116">
        <f t="shared" ref="Z5:Z13" si="4">+G5/G$5</f>
        <v>1</v>
      </c>
      <c r="AA5" s="116">
        <f t="shared" ref="AA5:AA13" si="5">+H5/H$5</f>
        <v>1</v>
      </c>
      <c r="AB5" s="116">
        <f t="shared" ref="AB5:AB13" si="6">+I5/I$5</f>
        <v>1</v>
      </c>
      <c r="AC5" s="116">
        <f t="shared" ref="AC5:AC13" si="7">+J5/J$5</f>
        <v>1</v>
      </c>
      <c r="AD5" s="116">
        <f t="shared" ref="AD5:AD13" si="8">+K5/K$5</f>
        <v>1</v>
      </c>
      <c r="AE5" s="116">
        <f t="shared" ref="AE5:AE13" si="9">+L5/L$5</f>
        <v>1</v>
      </c>
      <c r="AF5" s="116">
        <f t="shared" ref="AF5:AF13" si="10">+M5/M$5</f>
        <v>1</v>
      </c>
      <c r="AG5" s="116">
        <f t="shared" ref="AG5:AG13" si="11">+N5/N$5</f>
        <v>1</v>
      </c>
      <c r="AH5" s="116">
        <f t="shared" ref="AH5:AH13" si="12">+O5/O$5</f>
        <v>1</v>
      </c>
      <c r="AI5" s="116">
        <f t="shared" ref="AI5:AI13" si="13">+P5/P$5</f>
        <v>1</v>
      </c>
      <c r="AJ5" s="116">
        <f t="shared" ref="AJ5:AJ13" si="14">+Q5/Q$5</f>
        <v>1</v>
      </c>
      <c r="AK5" s="116">
        <f t="shared" ref="AK5:AK13" si="15">+R5/R$5</f>
        <v>1</v>
      </c>
      <c r="AL5" s="116">
        <f t="shared" ref="AL5:AL13" si="16">+S5/S$5</f>
        <v>1</v>
      </c>
      <c r="AM5" s="116">
        <f t="shared" ref="AM5:AM13" si="17">+T5/T$5</f>
        <v>1</v>
      </c>
      <c r="AN5" s="116">
        <f t="shared" ref="AN5:AN6" si="18">+U5/U$5</f>
        <v>1</v>
      </c>
    </row>
    <row r="6" spans="1:40" x14ac:dyDescent="0.2">
      <c r="A6" s="117" t="s">
        <v>371</v>
      </c>
      <c r="B6" s="84" t="s">
        <v>254</v>
      </c>
      <c r="C6" s="85">
        <f>PL!K9+PL!K10</f>
        <v>82166.460701927805</v>
      </c>
      <c r="D6" s="85">
        <f>PL!L9+PL!L10</f>
        <v>88497.44245524297</v>
      </c>
      <c r="E6" s="85">
        <f>PL!M9+PL!M10</f>
        <v>88979.410440535154</v>
      </c>
      <c r="F6" s="85">
        <f>PL!N9+PL!N10</f>
        <v>63765.047481701105</v>
      </c>
      <c r="G6" s="85">
        <f>PL!O9+PL!O10</f>
        <v>80299.447759680304</v>
      </c>
      <c r="H6" s="85">
        <f>PL!P9+PL!P10</f>
        <v>75620.844260960032</v>
      </c>
      <c r="I6" s="85">
        <f>PL!Q9+PL!Q10</f>
        <v>71885.642102173137</v>
      </c>
      <c r="J6" s="85">
        <f>PL!R9+PL!R10</f>
        <v>74877.971091674059</v>
      </c>
      <c r="K6" s="85">
        <f>PL!S9+PL!S10</f>
        <v>68213.284804342024</v>
      </c>
      <c r="L6" s="85">
        <f>PL!T9+PL!T10</f>
        <v>64961.987391378665</v>
      </c>
      <c r="M6" s="85">
        <f>PL!U9+PL!U10</f>
        <v>67876.74244414772</v>
      </c>
      <c r="N6" s="241">
        <f>PL!V9+PL!V10</f>
        <v>72693.343690739915</v>
      </c>
      <c r="O6" s="241">
        <f>PL!W9+PL!W10</f>
        <v>80772.009829800692</v>
      </c>
      <c r="P6" s="241">
        <f>PL!X9+PL!X10</f>
        <v>61459.644753258806</v>
      </c>
      <c r="Q6" s="241">
        <f>PL!Y9+PL!Y10</f>
        <v>88627.470069969684</v>
      </c>
      <c r="R6" s="241">
        <f>PL!Z9+PL!Z10</f>
        <v>68397.598942372118</v>
      </c>
      <c r="S6" s="241">
        <f>PL!AA9+PL!AA10</f>
        <v>89115.871220334899</v>
      </c>
      <c r="T6" s="241">
        <f>PL!AB9+PL!AB10</f>
        <v>79252.681994661485</v>
      </c>
      <c r="U6" s="118">
        <f>PL!AC9+PL!AC10</f>
        <v>80010.513363833379</v>
      </c>
      <c r="V6" s="119">
        <f t="shared" si="0"/>
        <v>0.45982672133577179</v>
      </c>
      <c r="W6" s="120">
        <f t="shared" si="1"/>
        <v>0.3878702167180349</v>
      </c>
      <c r="X6" s="120">
        <f t="shared" si="2"/>
        <v>0.47959877287825892</v>
      </c>
      <c r="Y6" s="120">
        <f t="shared" si="3"/>
        <v>0.38091765024058272</v>
      </c>
      <c r="Z6" s="120">
        <f t="shared" si="4"/>
        <v>0.46338837027233454</v>
      </c>
      <c r="AA6" s="120">
        <f t="shared" si="5"/>
        <v>0.42511838507471944</v>
      </c>
      <c r="AB6" s="120">
        <f t="shared" si="6"/>
        <v>0.41863202936343991</v>
      </c>
      <c r="AC6" s="120">
        <f t="shared" si="7"/>
        <v>0.49995555499424071</v>
      </c>
      <c r="AD6" s="120">
        <f t="shared" si="8"/>
        <v>0.43417104217517671</v>
      </c>
      <c r="AE6" s="120">
        <f t="shared" si="9"/>
        <v>0.43302672594283925</v>
      </c>
      <c r="AF6" s="120">
        <f t="shared" si="10"/>
        <v>0.45227098537293769</v>
      </c>
      <c r="AG6" s="120">
        <f t="shared" si="11"/>
        <v>0.43911417841897971</v>
      </c>
      <c r="AH6" s="120">
        <f t="shared" si="12"/>
        <v>0.4585879138891214</v>
      </c>
      <c r="AI6" s="120">
        <f t="shared" si="13"/>
        <v>0.36390961557523316</v>
      </c>
      <c r="AJ6" s="120">
        <f t="shared" si="14"/>
        <v>0.47439450090171154</v>
      </c>
      <c r="AK6" s="120">
        <f t="shared" si="15"/>
        <v>0.41591935729711826</v>
      </c>
      <c r="AL6" s="120">
        <f t="shared" si="16"/>
        <v>0.42323169039012737</v>
      </c>
      <c r="AM6" s="120">
        <f t="shared" si="17"/>
        <v>0.41909611783862194</v>
      </c>
      <c r="AN6" s="120">
        <f t="shared" si="18"/>
        <v>0.38819927718997782</v>
      </c>
    </row>
    <row r="7" spans="1:40" x14ac:dyDescent="0.2">
      <c r="A7" s="117" t="s">
        <v>368</v>
      </c>
      <c r="B7" s="84" t="s">
        <v>254</v>
      </c>
      <c r="C7" s="85">
        <f>PL!K12</f>
        <v>16311.8660405339</v>
      </c>
      <c r="D7" s="85">
        <f>PL!L12</f>
        <v>41463.554987212279</v>
      </c>
      <c r="E7" s="85">
        <f>PL!M12</f>
        <v>12578.139320140925</v>
      </c>
      <c r="F7" s="85">
        <f>PL!N12</f>
        <v>18270.733797340999</v>
      </c>
      <c r="G7" s="85">
        <f>PL!O12</f>
        <v>16729.056313013934</v>
      </c>
      <c r="H7" s="85">
        <f>PL!P12</f>
        <v>13760.763026657283</v>
      </c>
      <c r="I7" s="85">
        <f>PL!Q12</f>
        <v>11897.889206975498</v>
      </c>
      <c r="J7" s="85">
        <f>PL!R12</f>
        <v>7950.0396063750359</v>
      </c>
      <c r="K7" s="85">
        <f>PL!S12</f>
        <v>17439.358411431447</v>
      </c>
      <c r="L7" s="85">
        <f>PL!T12</f>
        <v>8034.6257872055703</v>
      </c>
      <c r="M7" s="85">
        <f>PL!U12</f>
        <v>12692.760675837613</v>
      </c>
      <c r="N7" s="241">
        <f>PL!V12</f>
        <v>15581.698901465337</v>
      </c>
      <c r="O7" s="241">
        <f>PL!W12</f>
        <v>15994.891127367338</v>
      </c>
      <c r="P7" s="241">
        <f>PL!X12</f>
        <v>16257.204598361899</v>
      </c>
      <c r="Q7" s="241">
        <f>PL!Y12</f>
        <v>8400.5601868226695</v>
      </c>
      <c r="R7" s="241">
        <f>PL!Z12</f>
        <v>9966.4920539126088</v>
      </c>
      <c r="S7" s="241">
        <f>PL!AA12</f>
        <v>12002.496205276473</v>
      </c>
      <c r="T7" s="241">
        <f>PL!AB12</f>
        <v>13429.840208687212</v>
      </c>
      <c r="U7" s="118">
        <f>PL!AC12</f>
        <v>15284.570671803516</v>
      </c>
      <c r="V7" s="119">
        <f t="shared" si="0"/>
        <v>9.1285809516571267E-2</v>
      </c>
      <c r="W7" s="120">
        <f t="shared" si="1"/>
        <v>0.18172816764646951</v>
      </c>
      <c r="X7" s="120">
        <f t="shared" si="2"/>
        <v>6.7796135680881497E-2</v>
      </c>
      <c r="Y7" s="120">
        <f t="shared" si="3"/>
        <v>0.10914513924343219</v>
      </c>
      <c r="Z7" s="120">
        <f t="shared" si="4"/>
        <v>9.6539270908586133E-2</v>
      </c>
      <c r="AA7" s="120">
        <f t="shared" si="5"/>
        <v>7.7359006137260836E-2</v>
      </c>
      <c r="AB7" s="120">
        <f t="shared" si="6"/>
        <v>6.9288349637026458E-2</v>
      </c>
      <c r="AC7" s="120">
        <f t="shared" si="7"/>
        <v>5.3081919898246052E-2</v>
      </c>
      <c r="AD7" s="120">
        <f t="shared" si="8"/>
        <v>0.110999850514099</v>
      </c>
      <c r="AE7" s="120">
        <f t="shared" si="9"/>
        <v>5.3557593271404032E-2</v>
      </c>
      <c r="AF7" s="120">
        <f t="shared" si="10"/>
        <v>8.457340719742952E-2</v>
      </c>
      <c r="AG7" s="120">
        <f t="shared" si="11"/>
        <v>9.4123403383361781E-2</v>
      </c>
      <c r="AH7" s="120">
        <f t="shared" si="12"/>
        <v>9.0811950457084525E-2</v>
      </c>
      <c r="AI7" s="120">
        <f t="shared" si="13"/>
        <v>9.6260775659691669E-2</v>
      </c>
      <c r="AJ7" s="120">
        <f t="shared" si="14"/>
        <v>4.496551186642591E-2</v>
      </c>
      <c r="AK7" s="120">
        <f t="shared" si="15"/>
        <v>6.0605299508579583E-2</v>
      </c>
      <c r="AL7" s="120">
        <f t="shared" si="16"/>
        <v>5.7002604455278091E-2</v>
      </c>
      <c r="AM7" s="120">
        <f t="shared" si="17"/>
        <v>7.1018339733070118E-2</v>
      </c>
      <c r="AN7" s="120">
        <f t="shared" ref="AN7:AN13" si="19">+U7/U$5</f>
        <v>7.4158495396372759E-2</v>
      </c>
    </row>
    <row r="8" spans="1:40" x14ac:dyDescent="0.2">
      <c r="A8" s="117" t="s">
        <v>346</v>
      </c>
      <c r="B8" s="84" t="s">
        <v>254</v>
      </c>
      <c r="C8" s="85">
        <f>PL!K11+PL!K17+PL!K25</f>
        <v>41282.926347009401</v>
      </c>
      <c r="D8" s="85">
        <f>PL!L11+PL!L17+PL!L25</f>
        <v>57983.48252344416</v>
      </c>
      <c r="E8" s="85">
        <f>PL!M11+PL!M17+PL!M25</f>
        <v>49315.653523699875</v>
      </c>
      <c r="F8" s="85">
        <f>PL!N11+PL!N17+PL!N25</f>
        <v>47064.05012204362</v>
      </c>
      <c r="G8" s="85">
        <f>PL!O11+PL!O17+PL!O25</f>
        <v>44800.608544381408</v>
      </c>
      <c r="H8" s="85">
        <f>PL!P11+PL!P17+PL!P25</f>
        <v>44100.200953978419</v>
      </c>
      <c r="I8" s="85">
        <f>PL!Q11+PL!Q17+PL!Q25</f>
        <v>48978.229174717802</v>
      </c>
      <c r="J8" s="85">
        <f>PL!R11+PL!R17+PL!R25</f>
        <v>40227.668584166793</v>
      </c>
      <c r="K8" s="85">
        <f>PL!S11+PL!S17+PL!S25</f>
        <v>38856.198923997428</v>
      </c>
      <c r="L8" s="85">
        <f>PL!T11+PL!T17+PL!T25</f>
        <v>45255.127744650628</v>
      </c>
      <c r="M8" s="85">
        <f>PL!U11+PL!U17+PL!U25</f>
        <v>36019.231808586141</v>
      </c>
      <c r="N8" s="241">
        <f>PL!V11+PL!V17+PL!V25</f>
        <v>40914.26215751149</v>
      </c>
      <c r="O8" s="241">
        <f>PL!W11+PL!W17+PL!W25</f>
        <v>40068.929620093484</v>
      </c>
      <c r="P8" s="241">
        <f>PL!X11+PL!X17+PL!X25</f>
        <v>46854.715504585329</v>
      </c>
      <c r="Q8" s="241">
        <f>PL!Y11+PL!Y17+PL!Y25</f>
        <v>44209.440739438833</v>
      </c>
      <c r="R8" s="241">
        <f>PL!Z11+PL!Z17+PL!Z25</f>
        <v>45809.846416127781</v>
      </c>
      <c r="S8" s="241">
        <f>PL!AA11+PL!AA17+PL!AA25</f>
        <v>49062.635465606552</v>
      </c>
      <c r="T8" s="241">
        <f>PL!AB11+PL!AB17+PL!AB25</f>
        <v>47002.892623149717</v>
      </c>
      <c r="U8" s="118">
        <f>PL!AC11+PL!AC17+PL!AC25</f>
        <v>49056.235492415122</v>
      </c>
      <c r="V8" s="119">
        <f t="shared" si="0"/>
        <v>0.23103091586426455</v>
      </c>
      <c r="W8" s="120">
        <f t="shared" si="1"/>
        <v>0.25413238290822793</v>
      </c>
      <c r="X8" s="120">
        <f t="shared" si="2"/>
        <v>0.26581123426820491</v>
      </c>
      <c r="Y8" s="120">
        <f t="shared" si="3"/>
        <v>0.28114975352976246</v>
      </c>
      <c r="Z8" s="120">
        <f t="shared" si="4"/>
        <v>0.25853329704981742</v>
      </c>
      <c r="AA8" s="120">
        <f t="shared" si="5"/>
        <v>0.2479184991155228</v>
      </c>
      <c r="AB8" s="120">
        <f t="shared" si="6"/>
        <v>0.28522880055654276</v>
      </c>
      <c r="AC8" s="120">
        <f t="shared" si="7"/>
        <v>0.26859764066654601</v>
      </c>
      <c r="AD8" s="120">
        <f t="shared" si="8"/>
        <v>0.247315994680322</v>
      </c>
      <c r="AE8" s="120">
        <f t="shared" si="9"/>
        <v>0.30166379734237858</v>
      </c>
      <c r="AF8" s="120">
        <f t="shared" si="10"/>
        <v>0.24000051970452313</v>
      </c>
      <c r="AG8" s="120">
        <f t="shared" si="11"/>
        <v>0.24714824907968877</v>
      </c>
      <c r="AH8" s="120">
        <f t="shared" si="12"/>
        <v>0.22749374300537989</v>
      </c>
      <c r="AI8" s="120">
        <f t="shared" si="13"/>
        <v>0.27743215203430649</v>
      </c>
      <c r="AJ8" s="120">
        <f t="shared" si="14"/>
        <v>0.23663899644401812</v>
      </c>
      <c r="AK8" s="120">
        <f t="shared" si="15"/>
        <v>0.27856536156084505</v>
      </c>
      <c r="AL8" s="120">
        <f t="shared" si="16"/>
        <v>0.23300969691204731</v>
      </c>
      <c r="AM8" s="120">
        <f t="shared" si="17"/>
        <v>0.24855600251956858</v>
      </c>
      <c r="AN8" s="120">
        <f t="shared" si="19"/>
        <v>0.2380136604450914</v>
      </c>
    </row>
    <row r="9" spans="1:40" x14ac:dyDescent="0.2">
      <c r="A9" s="117" t="s">
        <v>369</v>
      </c>
      <c r="B9" s="84" t="s">
        <v>254</v>
      </c>
      <c r="C9" s="85">
        <f>PL!K13+PL!K18+PL!K19+PL!K24+PL!K26+PL!K14*0.5</f>
        <v>14848.183391003457</v>
      </c>
      <c r="D9" s="85">
        <f>PL!L13+PL!L18+PL!L19+PL!L24+PL!L26+PL!L14*0.5</f>
        <v>13838.128729752771</v>
      </c>
      <c r="E9" s="85">
        <f>PL!M13+PL!M18+PL!M19+PL!M24+PL!M26+PL!M14*0.5</f>
        <v>12811.257246134632</v>
      </c>
      <c r="F9" s="85">
        <f>PL!N13+PL!N18+PL!N19+PL!N24+PL!N26+PL!N14*0.5</f>
        <v>13983.889298224229</v>
      </c>
      <c r="G9" s="85">
        <f>PL!O13+PL!O18+PL!O19+PL!O24+PL!O26+PL!O14*0.5</f>
        <v>11166.94246619773</v>
      </c>
      <c r="H9" s="85">
        <f>PL!P13+PL!P18+PL!P19+PL!P24+PL!P26+PL!P14*0.5</f>
        <v>17514.450433058977</v>
      </c>
      <c r="I9" s="85">
        <f>PL!Q13+PL!Q18+PL!Q19+PL!Q24+PL!Q26+PL!Q14*0.5</f>
        <v>17386.254381711435</v>
      </c>
      <c r="J9" s="85">
        <f>PL!R13+PL!R18+PL!R19+PL!R24+PL!R26+PL!R14*0.5</f>
        <v>10193.913510024358</v>
      </c>
      <c r="K9" s="85">
        <f>PL!S13+PL!S18+PL!S19+PL!S24+PL!S26+PL!S14*0.5</f>
        <v>11443.236775925563</v>
      </c>
      <c r="L9" s="85">
        <f>PL!T13+PL!T18+PL!T19+PL!T24+PL!T26+PL!T14*0.5</f>
        <v>12053.454256774881</v>
      </c>
      <c r="M9" s="85">
        <f>PL!U13+PL!U18+PL!U19+PL!U24+PL!U26+PL!U14*0.5</f>
        <v>11180.520535024258</v>
      </c>
      <c r="N9" s="241">
        <f>PL!V13+PL!V18+PL!V19+PL!V24+PL!V26+PL!V14*0.5</f>
        <v>11437.115639090658</v>
      </c>
      <c r="O9" s="241">
        <f>PL!W13+PL!W18+PL!W19+PL!W24+PL!W26+PL!W14*0.5</f>
        <v>13511.521434132401</v>
      </c>
      <c r="P9" s="241">
        <f>PL!X13+PL!X18+PL!X19+PL!X24+PL!X26+PL!X14*0.5</f>
        <v>15841.246345998126</v>
      </c>
      <c r="Q9" s="241">
        <f>PL!Y13+PL!Y18+PL!Y19+PL!Y24+PL!Y26+PL!Y14*0.5</f>
        <v>16607.396332898537</v>
      </c>
      <c r="R9" s="241">
        <f>PL!Z13+PL!Z18+PL!Z19+PL!Z24+PL!Z26+PL!Z14*0.5</f>
        <v>14319.005044217645</v>
      </c>
      <c r="S9" s="241">
        <f>PL!AA13+PL!AA18+PL!AA19+PL!AA24+PL!AA26+PL!AA14*0.5</f>
        <v>21321.564450066246</v>
      </c>
      <c r="T9" s="241">
        <f>PL!AB13+PL!AB18+PL!AB19+PL!AB24+PL!AB26+PL!AB14*0.5</f>
        <v>18677.743144867756</v>
      </c>
      <c r="U9" s="118">
        <f>PL!AC13+PL!AC18+PL!AC19+PL!AC24+PL!AC26+PL!AC14*0.5</f>
        <v>25019.536539850702</v>
      </c>
      <c r="V9" s="119">
        <f t="shared" si="0"/>
        <v>8.3094628004552612E-2</v>
      </c>
      <c r="W9" s="120">
        <f t="shared" si="1"/>
        <v>6.0650317573819154E-2</v>
      </c>
      <c r="X9" s="120">
        <f t="shared" si="2"/>
        <v>6.9052640648592262E-2</v>
      </c>
      <c r="Y9" s="120">
        <f t="shared" si="3"/>
        <v>8.3536521387091112E-2</v>
      </c>
      <c r="Z9" s="120">
        <f t="shared" si="4"/>
        <v>6.4441679422539686E-2</v>
      </c>
      <c r="AA9" s="120">
        <f t="shared" si="5"/>
        <v>9.8461144626722619E-2</v>
      </c>
      <c r="AB9" s="120">
        <f t="shared" si="6"/>
        <v>0.10125030175705736</v>
      </c>
      <c r="AC9" s="120">
        <f t="shared" si="7"/>
        <v>6.8064126366722752E-2</v>
      </c>
      <c r="AD9" s="120">
        <f t="shared" si="8"/>
        <v>7.2835109042346816E-2</v>
      </c>
      <c r="AE9" s="120">
        <f t="shared" si="9"/>
        <v>8.0346492505949704E-2</v>
      </c>
      <c r="AF9" s="120">
        <f t="shared" si="10"/>
        <v>7.4497167325297362E-2</v>
      </c>
      <c r="AG9" s="120">
        <f t="shared" si="11"/>
        <v>6.9087475996539069E-2</v>
      </c>
      <c r="AH9" s="120">
        <f t="shared" si="12"/>
        <v>7.6712470582363079E-2</v>
      </c>
      <c r="AI9" s="120">
        <f t="shared" si="13"/>
        <v>9.3797839072264994E-2</v>
      </c>
      <c r="AJ9" s="120">
        <f t="shared" si="14"/>
        <v>8.8894080902934783E-2</v>
      </c>
      <c r="AK9" s="120">
        <f t="shared" si="15"/>
        <v>8.7072521071141731E-2</v>
      </c>
      <c r="AL9" s="120">
        <f t="shared" si="16"/>
        <v>0.1012609947071297</v>
      </c>
      <c r="AM9" s="120">
        <f t="shared" si="17"/>
        <v>9.8769775924154771E-2</v>
      </c>
      <c r="AN9" s="120">
        <f t="shared" si="19"/>
        <v>0.12139112214206324</v>
      </c>
    </row>
    <row r="10" spans="1:40" x14ac:dyDescent="0.2">
      <c r="A10" s="117" t="s">
        <v>370</v>
      </c>
      <c r="B10" s="84" t="s">
        <v>254</v>
      </c>
      <c r="C10" s="85">
        <f>PL!K14*0.5+PL!K20+PL!K21+PL!K22+PL!K23+PL!K27</f>
        <v>22855.01359367276</v>
      </c>
      <c r="D10" s="85">
        <f>PL!L14*0.5+PL!L20+PL!L21+PL!L22+PL!L23+PL!L27</f>
        <v>26899.509803921566</v>
      </c>
      <c r="E10" s="85">
        <f>PL!M14*0.5+PL!M20+PL!M21+PL!M22+PL!M23+PL!M27</f>
        <v>20366.718590064287</v>
      </c>
      <c r="F10" s="85">
        <f>PL!N14*0.5+PL!N20+PL!N21+PL!N22+PL!N23+PL!N27</f>
        <v>21453.407272785807</v>
      </c>
      <c r="G10" s="85">
        <f>PL!O14*0.5+PL!O20+PL!O21+PL!O22+PL!O23+PL!O27</f>
        <v>19649.695414953196</v>
      </c>
      <c r="H10" s="85">
        <f>PL!P14*0.5+PL!P20+PL!P21+PL!P22+PL!P23+PL!P27</f>
        <v>26373.457213699377</v>
      </c>
      <c r="I10" s="85">
        <f>PL!Q14*0.5+PL!Q20+PL!Q21+PL!Q22+PL!Q23+PL!Q27</f>
        <v>25378.885179344274</v>
      </c>
      <c r="J10" s="85">
        <f>PL!R14*0.5+PL!R20+PL!R21+PL!R22+PL!R23+PL!R27</f>
        <v>17488.375249648161</v>
      </c>
      <c r="K10" s="85">
        <f>PL!S14*0.5+PL!S20+PL!S21+PL!S22+PL!S23+PL!S27</f>
        <v>19251.735547294033</v>
      </c>
      <c r="L10" s="85">
        <f>PL!T14*0.5+PL!T20+PL!T21+PL!T22+PL!T23+PL!T27</f>
        <v>18405.077947821595</v>
      </c>
      <c r="M10" s="85">
        <f>PL!U14*0.5+PL!U20+PL!U21+PL!U22+PL!U23+PL!U27</f>
        <v>19485.171632193964</v>
      </c>
      <c r="N10" s="241">
        <f>PL!V14*0.5+PL!V20+PL!V21+PL!V22+PL!V23+PL!V27</f>
        <v>20952.234138107378</v>
      </c>
      <c r="O10" s="241">
        <f>PL!W14*0.5+PL!W20+PL!W21+PL!W22+PL!W23+PL!W27</f>
        <v>21223.216385943182</v>
      </c>
      <c r="P10" s="241">
        <f>PL!X14*0.5+PL!X20+PL!X21+PL!X22+PL!X23+PL!X27</f>
        <v>24859.004109083213</v>
      </c>
      <c r="Q10" s="241">
        <f>PL!Y14*0.5+PL!Y20+PL!Y21+PL!Y22+PL!Y23+PL!Y27</f>
        <v>23990.159798717374</v>
      </c>
      <c r="R10" s="241">
        <f>PL!Z14*0.5+PL!Z20+PL!Z21+PL!Z22+PL!Z23+PL!Z27</f>
        <v>22667.471317747812</v>
      </c>
      <c r="S10" s="241">
        <f>PL!AA14*0.5+PL!AA20+PL!AA21+PL!AA22+PL!AA23+PL!AA27</f>
        <v>34772.116190820365</v>
      </c>
      <c r="T10" s="241">
        <f>PL!AB14*0.5+PL!AB20+PL!AB21+PL!AB22+PL!AB23+PL!AB27</f>
        <v>30190.133220092219</v>
      </c>
      <c r="U10" s="118">
        <f>PL!AC14*0.5+PL!AC20+PL!AC21+PL!AC22+PL!AC23+PL!AC27</f>
        <v>35330.837767878627</v>
      </c>
      <c r="V10" s="119">
        <f t="shared" si="0"/>
        <v>0.12790311128268506</v>
      </c>
      <c r="W10" s="120">
        <f t="shared" si="1"/>
        <v>0.11789627369776985</v>
      </c>
      <c r="X10" s="120">
        <f t="shared" si="2"/>
        <v>0.10977655611552407</v>
      </c>
      <c r="Y10" s="120">
        <f t="shared" si="3"/>
        <v>0.12815769470490776</v>
      </c>
      <c r="Z10" s="120">
        <f t="shared" si="4"/>
        <v>0.11339356108567061</v>
      </c>
      <c r="AA10" s="120">
        <f t="shared" si="5"/>
        <v>0.14826390328087499</v>
      </c>
      <c r="AB10" s="120">
        <f t="shared" si="6"/>
        <v>0.1477960534943798</v>
      </c>
      <c r="AC10" s="120">
        <f t="shared" si="7"/>
        <v>0.11676879363064899</v>
      </c>
      <c r="AD10" s="120">
        <f t="shared" si="8"/>
        <v>0.1225354578690146</v>
      </c>
      <c r="AE10" s="120">
        <f t="shared" si="9"/>
        <v>0.12268544982239334</v>
      </c>
      <c r="AF10" s="120">
        <f t="shared" si="10"/>
        <v>0.12983206702214081</v>
      </c>
      <c r="AG10" s="120">
        <f t="shared" si="11"/>
        <v>0.1265648629225061</v>
      </c>
      <c r="AH10" s="120">
        <f t="shared" si="12"/>
        <v>0.12049607963148931</v>
      </c>
      <c r="AI10" s="120">
        <f t="shared" si="13"/>
        <v>0.14719301852847011</v>
      </c>
      <c r="AJ10" s="120">
        <f t="shared" si="14"/>
        <v>0.12841165245132136</v>
      </c>
      <c r="AK10" s="120">
        <f t="shared" si="15"/>
        <v>0.13783875819927374</v>
      </c>
      <c r="AL10" s="120">
        <f t="shared" si="16"/>
        <v>0.16514074667459122</v>
      </c>
      <c r="AM10" s="120">
        <f t="shared" si="17"/>
        <v>0.15964844736010006</v>
      </c>
      <c r="AN10" s="120">
        <f t="shared" si="19"/>
        <v>0.17142004353401058</v>
      </c>
    </row>
    <row r="11" spans="1:40" x14ac:dyDescent="0.2">
      <c r="A11" s="121" t="s">
        <v>69</v>
      </c>
      <c r="B11" s="122" t="s">
        <v>254</v>
      </c>
      <c r="C11" s="123">
        <f>PL!K42</f>
        <v>1225.6018289670174</v>
      </c>
      <c r="D11" s="123">
        <f>PL!L42</f>
        <v>-519.3947144075064</v>
      </c>
      <c r="E11" s="123">
        <f>PL!M42</f>
        <v>1477.6743135889119</v>
      </c>
      <c r="F11" s="123">
        <f>PL!N42</f>
        <v>2861.3830746563908</v>
      </c>
      <c r="G11" s="123">
        <f>PL!O42</f>
        <v>641.82621089174063</v>
      </c>
      <c r="H11" s="123">
        <f>PL!P42</f>
        <v>512.13282931258436</v>
      </c>
      <c r="I11" s="123">
        <f>PL!Q28</f>
        <v>-3811.3191528423281</v>
      </c>
      <c r="J11" s="123">
        <f>PL!R28</f>
        <v>-968.71286772274459</v>
      </c>
      <c r="K11" s="123">
        <f>PL!S28</f>
        <v>1907.7341621702251</v>
      </c>
      <c r="L11" s="123">
        <f>PL!T28</f>
        <v>1308.1518318185015</v>
      </c>
      <c r="M11" s="123">
        <f>PL!U28</f>
        <v>2825.3804518408192</v>
      </c>
      <c r="N11" s="242">
        <f>PL!V28</f>
        <v>3966.7713859323007</v>
      </c>
      <c r="O11" s="242">
        <f>PL!W28</f>
        <v>4561.438974601514</v>
      </c>
      <c r="P11" s="242">
        <f>PL!X28</f>
        <v>3615.2987489150823</v>
      </c>
      <c r="Q11" s="242">
        <f>PL!Y28</f>
        <v>4987.2692974063229</v>
      </c>
      <c r="R11" s="242">
        <f>PL!Z28</f>
        <v>3288.7702858659486</v>
      </c>
      <c r="S11" s="242">
        <f>PL!AA28</f>
        <v>4285.8043609203705</v>
      </c>
      <c r="T11" s="242">
        <f>PL!AB28</f>
        <v>550.54100946372239</v>
      </c>
      <c r="U11" s="124">
        <f>PL!AC28</f>
        <v>1405.1128100168553</v>
      </c>
      <c r="V11" s="125">
        <f t="shared" si="0"/>
        <v>6.8588139961565419E-3</v>
      </c>
      <c r="W11" s="126">
        <f t="shared" si="1"/>
        <v>-2.2764244349923147E-3</v>
      </c>
      <c r="X11" s="126">
        <f t="shared" si="2"/>
        <v>7.9646604085400526E-3</v>
      </c>
      <c r="Y11" s="126">
        <f t="shared" si="3"/>
        <v>1.7093240894223025E-2</v>
      </c>
      <c r="Z11" s="126">
        <f t="shared" si="4"/>
        <v>3.7038212610539063E-3</v>
      </c>
      <c r="AA11" s="126">
        <f t="shared" si="5"/>
        <v>2.8790617648990105E-3</v>
      </c>
      <c r="AB11" s="126">
        <f t="shared" si="6"/>
        <v>-2.2195534808443988E-2</v>
      </c>
      <c r="AC11" s="126">
        <f t="shared" si="7"/>
        <v>-6.4680355564046494E-3</v>
      </c>
      <c r="AD11" s="126">
        <f t="shared" si="8"/>
        <v>1.2142545719040214E-2</v>
      </c>
      <c r="AE11" s="126">
        <f t="shared" si="9"/>
        <v>8.7199411150353894E-3</v>
      </c>
      <c r="AF11" s="126">
        <f t="shared" si="10"/>
        <v>1.8825853377671301E-2</v>
      </c>
      <c r="AG11" s="126">
        <f t="shared" si="11"/>
        <v>2.3961830198924641E-2</v>
      </c>
      <c r="AH11" s="126">
        <f t="shared" si="12"/>
        <v>2.5897842434561627E-2</v>
      </c>
      <c r="AI11" s="126">
        <f t="shared" si="13"/>
        <v>2.1406599130034006E-2</v>
      </c>
      <c r="AJ11" s="126">
        <f t="shared" si="14"/>
        <v>2.6695257433588516E-2</v>
      </c>
      <c r="AK11" s="126">
        <f t="shared" si="15"/>
        <v>1.9998702363042131E-2</v>
      </c>
      <c r="AL11" s="126">
        <f t="shared" si="16"/>
        <v>2.0354266860826087E-2</v>
      </c>
      <c r="AM11" s="126">
        <f t="shared" si="17"/>
        <v>2.9113159828804808E-3</v>
      </c>
      <c r="AN11" s="126">
        <f t="shared" si="19"/>
        <v>6.8174012924841973E-3</v>
      </c>
    </row>
    <row r="12" spans="1:40" x14ac:dyDescent="0.2">
      <c r="A12" s="112" t="s">
        <v>311</v>
      </c>
      <c r="B12" s="79" t="s">
        <v>254</v>
      </c>
      <c r="C12" s="92">
        <f>+PL!K34</f>
        <v>1068.32056351952</v>
      </c>
      <c r="D12" s="92">
        <f>+PL!L34</f>
        <v>-1777.4936061381075</v>
      </c>
      <c r="E12" s="92">
        <f>+PL!M34</f>
        <v>1494.2503164568413</v>
      </c>
      <c r="F12" s="92">
        <f>+PL!N34</f>
        <v>4432.0498402299372</v>
      </c>
      <c r="G12" s="92">
        <f>+PL!O34</f>
        <v>1860.0379218558428</v>
      </c>
      <c r="H12" s="92">
        <f>+PL!P34</f>
        <v>894.23853736377112</v>
      </c>
      <c r="I12" s="92">
        <f>+PL!Q34</f>
        <v>-3154.2424382950499</v>
      </c>
      <c r="J12" s="92">
        <f>+PL!R34</f>
        <v>-67.547033838425293</v>
      </c>
      <c r="K12" s="92">
        <f>+PL!S34</f>
        <v>2541.1832224739037</v>
      </c>
      <c r="L12" s="92">
        <f>+PL!T34</f>
        <v>1985.8973658749958</v>
      </c>
      <c r="M12" s="92">
        <f>+PL!U34</f>
        <v>2916.5360283739246</v>
      </c>
      <c r="N12" s="243">
        <f>+PL!V34</f>
        <v>6499.580013040736</v>
      </c>
      <c r="O12" s="243">
        <f>+PL!W34</f>
        <v>6610.8576718471513</v>
      </c>
      <c r="P12" s="243">
        <f>+PL!X34</f>
        <v>4609.7749969860743</v>
      </c>
      <c r="Q12" s="243">
        <f>+PL!Y34</f>
        <v>5959.5944767777009</v>
      </c>
      <c r="R12" s="243">
        <f>+PL!Z34</f>
        <v>4499.3556578553234</v>
      </c>
      <c r="S12" s="243">
        <f>+PL!AA34</f>
        <v>6407.3807974942774</v>
      </c>
      <c r="T12" s="243">
        <f>+PL!AB34</f>
        <v>4005.7256733802474</v>
      </c>
      <c r="U12" s="127">
        <f>+PL!AC34</f>
        <v>4479.7866602456052</v>
      </c>
      <c r="V12" s="128">
        <f t="shared" si="0"/>
        <v>5.9786236118995854E-3</v>
      </c>
      <c r="W12" s="129">
        <f t="shared" si="1"/>
        <v>-7.7904718046104835E-3</v>
      </c>
      <c r="X12" s="129">
        <f t="shared" si="2"/>
        <v>8.0540050175380903E-3</v>
      </c>
      <c r="Y12" s="129">
        <f t="shared" si="3"/>
        <v>2.6476040990544545E-2</v>
      </c>
      <c r="Z12" s="129">
        <f t="shared" si="4"/>
        <v>1.0733821530542371E-2</v>
      </c>
      <c r="AA12" s="129">
        <f t="shared" si="5"/>
        <v>5.0271488845559644E-3</v>
      </c>
      <c r="AB12" s="129">
        <f t="shared" si="6"/>
        <v>-1.8368993785586891E-2</v>
      </c>
      <c r="AC12" s="129">
        <f t="shared" si="7"/>
        <v>-4.5100734299489769E-4</v>
      </c>
      <c r="AD12" s="129">
        <f t="shared" si="8"/>
        <v>1.6174388482012216E-2</v>
      </c>
      <c r="AE12" s="129">
        <f t="shared" si="9"/>
        <v>1.3237689746503732E-2</v>
      </c>
      <c r="AF12" s="129">
        <f t="shared" si="10"/>
        <v>1.9433234064138237E-2</v>
      </c>
      <c r="AG12" s="129">
        <f t="shared" si="11"/>
        <v>3.926161038398307E-2</v>
      </c>
      <c r="AH12" s="129">
        <f t="shared" si="12"/>
        <v>3.7533539590490092E-2</v>
      </c>
      <c r="AI12" s="129">
        <f t="shared" si="13"/>
        <v>2.7295007216138763E-2</v>
      </c>
      <c r="AJ12" s="129">
        <f t="shared" si="14"/>
        <v>3.1899803132770625E-2</v>
      </c>
      <c r="AK12" s="129">
        <f t="shared" si="15"/>
        <v>2.7360157993894591E-2</v>
      </c>
      <c r="AL12" s="129">
        <f t="shared" si="16"/>
        <v>3.0430119447431851E-2</v>
      </c>
      <c r="AM12" s="129">
        <f t="shared" si="17"/>
        <v>2.1182678448071264E-2</v>
      </c>
      <c r="AN12" s="129">
        <f t="shared" si="19"/>
        <v>2.1735267908663862E-2</v>
      </c>
    </row>
    <row r="13" spans="1:40" x14ac:dyDescent="0.2">
      <c r="A13" s="112" t="s">
        <v>312</v>
      </c>
      <c r="B13" s="79" t="s">
        <v>254</v>
      </c>
      <c r="C13" s="92">
        <f>PL!K38</f>
        <v>262.13049925852704</v>
      </c>
      <c r="D13" s="92">
        <f>PL!L38</f>
        <v>-3023.0179028132989</v>
      </c>
      <c r="E13" s="92">
        <f>PL!M38</f>
        <v>-894.82432958880952</v>
      </c>
      <c r="F13" s="92">
        <f>PL!N38</f>
        <v>2394.2914137799667</v>
      </c>
      <c r="G13" s="92">
        <f>PL!O38</f>
        <v>-71.154623444265027</v>
      </c>
      <c r="H13" s="92">
        <f>PL!P38</f>
        <v>-1020.8177197785333</v>
      </c>
      <c r="I13" s="92">
        <f>PL!Q38</f>
        <v>-3410.8637068218663</v>
      </c>
      <c r="J13" s="92">
        <f>PL!R38</f>
        <v>-1787.6439813067707</v>
      </c>
      <c r="K13" s="92">
        <f>PL!S38</f>
        <v>2387.6276188729912</v>
      </c>
      <c r="L13" s="92">
        <f>PL!T38</f>
        <v>815.09272825836979</v>
      </c>
      <c r="M13" s="92">
        <f>PL!U38</f>
        <v>1660.7831953967716</v>
      </c>
      <c r="N13" s="243">
        <f>PL!V38</f>
        <v>4853.7789577215972</v>
      </c>
      <c r="O13" s="243">
        <f>PL!W38</f>
        <v>4284.6193742702008</v>
      </c>
      <c r="P13" s="243">
        <f>PL!X38</f>
        <v>2672.0849068085427</v>
      </c>
      <c r="Q13" s="243">
        <f>PL!Y38</f>
        <v>3426.7410584693539</v>
      </c>
      <c r="R13" s="243">
        <f>PL!Z38</f>
        <v>2247.6164599016452</v>
      </c>
      <c r="S13" s="243">
        <f>PL!AA38</f>
        <v>3683.5410191543187</v>
      </c>
      <c r="T13" s="243">
        <f>PL!AB38</f>
        <v>98201.491992234907</v>
      </c>
      <c r="U13" s="127">
        <f>PL!AC38</f>
        <v>2690.3723814110281</v>
      </c>
      <c r="V13" s="128">
        <f t="shared" si="0"/>
        <v>1.4669563104758318E-3</v>
      </c>
      <c r="W13" s="129">
        <f t="shared" si="1"/>
        <v>-1.3249406723812359E-2</v>
      </c>
      <c r="X13" s="129">
        <f t="shared" si="2"/>
        <v>-4.8231006284224455E-3</v>
      </c>
      <c r="Y13" s="129">
        <f t="shared" si="3"/>
        <v>1.4302943310596542E-2</v>
      </c>
      <c r="Z13" s="129">
        <f t="shared" si="4"/>
        <v>-4.1061583753176846E-4</v>
      </c>
      <c r="AA13" s="129">
        <f t="shared" si="5"/>
        <v>-5.7387402207561417E-3</v>
      </c>
      <c r="AB13" s="129">
        <f t="shared" si="6"/>
        <v>-1.9863449135495405E-2</v>
      </c>
      <c r="AC13" s="129">
        <f t="shared" si="7"/>
        <v>-1.193598765800051E-2</v>
      </c>
      <c r="AD13" s="129">
        <f t="shared" si="8"/>
        <v>1.5197021732434389E-2</v>
      </c>
      <c r="AE13" s="129">
        <f t="shared" si="9"/>
        <v>5.4332841347828039E-3</v>
      </c>
      <c r="AF13" s="129">
        <f t="shared" si="10"/>
        <v>1.1066000300338151E-2</v>
      </c>
      <c r="AG13" s="129">
        <f t="shared" si="11"/>
        <v>2.9319921894289693E-2</v>
      </c>
      <c r="AH13" s="129">
        <f t="shared" si="12"/>
        <v>2.4326182607016755E-2</v>
      </c>
      <c r="AI13" s="129">
        <f t="shared" si="13"/>
        <v>1.5821721637424849E-2</v>
      </c>
      <c r="AJ13" s="129">
        <f t="shared" si="14"/>
        <v>1.8342248885910548E-2</v>
      </c>
      <c r="AK13" s="129">
        <f t="shared" si="15"/>
        <v>1.3667544006045418E-2</v>
      </c>
      <c r="AL13" s="129">
        <f t="shared" si="16"/>
        <v>1.749398026198409E-2</v>
      </c>
      <c r="AM13" s="129">
        <f t="shared" si="17"/>
        <v>0.51929932242139709</v>
      </c>
      <c r="AN13" s="129">
        <f t="shared" si="19"/>
        <v>1.3053292247812697E-2</v>
      </c>
    </row>
    <row r="14" spans="1:40" x14ac:dyDescent="0.2">
      <c r="A14" s="112" t="s">
        <v>317</v>
      </c>
      <c r="B14" s="79" t="s">
        <v>318</v>
      </c>
      <c r="C14" s="102">
        <f>PL!K5</f>
        <v>12.533860603064801</v>
      </c>
      <c r="D14" s="102">
        <f>PL!L5</f>
        <v>13.575554134697358</v>
      </c>
      <c r="E14" s="102">
        <f>PL!M5</f>
        <v>12.234161961694509</v>
      </c>
      <c r="F14" s="102">
        <f>PL!N5</f>
        <v>13.049525075729587</v>
      </c>
      <c r="G14" s="102">
        <f>PL!O5</f>
        <v>12.042501603928507</v>
      </c>
      <c r="H14" s="102">
        <f>PL!P5</f>
        <v>12.65665301851298</v>
      </c>
      <c r="I14" s="102">
        <f>PL!Q5</f>
        <v>12.891024716625235</v>
      </c>
      <c r="J14" s="102">
        <f>PL!R5</f>
        <v>11.369715396230543</v>
      </c>
      <c r="K14" s="102">
        <f>PL!S5</f>
        <v>11.822918680996302</v>
      </c>
      <c r="L14" s="102">
        <f>PL!T5</f>
        <v>11.216756404879648</v>
      </c>
      <c r="M14" s="102">
        <f>PL!U5</f>
        <v>11.259526306681627</v>
      </c>
      <c r="N14" s="247">
        <f>PL!V5</f>
        <v>11.220040071415035</v>
      </c>
      <c r="O14" s="247">
        <f>PL!W5</f>
        <v>11.891748367618137</v>
      </c>
      <c r="P14" s="247">
        <f>PL!X5</f>
        <v>11.841413482968505</v>
      </c>
      <c r="Q14" s="247">
        <f>PL!Y5</f>
        <v>12.158751196879896</v>
      </c>
      <c r="R14" s="247">
        <f>PL!Z5</f>
        <v>12.014836033329496</v>
      </c>
      <c r="S14" s="247">
        <f>PL!AA5</f>
        <v>13.08300204794603</v>
      </c>
      <c r="T14" s="247">
        <f>PL!AB5</f>
        <v>12.472094151904878</v>
      </c>
      <c r="U14" s="144">
        <f>PL!AC5</f>
        <v>12.375150493619071</v>
      </c>
      <c r="V14" s="130"/>
      <c r="W14" s="91"/>
      <c r="X14" s="91"/>
      <c r="Y14" s="91"/>
      <c r="Z14" s="91"/>
      <c r="AA14" s="91"/>
      <c r="AB14" s="91"/>
      <c r="AC14" s="91"/>
      <c r="AD14" s="91"/>
      <c r="AE14" s="91"/>
      <c r="AF14" s="91"/>
      <c r="AG14" s="91"/>
      <c r="AH14" s="91"/>
      <c r="AI14" s="91"/>
      <c r="AJ14" s="91"/>
      <c r="AK14" s="91"/>
      <c r="AL14" s="91"/>
      <c r="AM14" s="91"/>
      <c r="AN14" s="91"/>
    </row>
    <row r="15" spans="1:40" x14ac:dyDescent="0.2">
      <c r="A15" s="195" t="s">
        <v>323</v>
      </c>
      <c r="B15" s="189"/>
      <c r="C15" s="193"/>
      <c r="D15" s="193"/>
      <c r="E15" s="193"/>
      <c r="F15" s="193"/>
      <c r="G15" s="193"/>
      <c r="H15" s="193"/>
      <c r="I15" s="193"/>
      <c r="J15" s="193"/>
      <c r="K15" s="193"/>
      <c r="L15" s="193"/>
      <c r="M15" s="193"/>
      <c r="N15" s="193"/>
      <c r="O15" s="193"/>
      <c r="P15" s="193"/>
      <c r="Q15" s="193"/>
      <c r="R15" s="193"/>
      <c r="S15" s="193"/>
      <c r="T15" s="193"/>
      <c r="U15" s="198"/>
      <c r="V15" s="200" t="s">
        <v>383</v>
      </c>
      <c r="W15" s="193"/>
      <c r="X15" s="193"/>
      <c r="Y15" s="193"/>
      <c r="Z15" s="193"/>
      <c r="AA15" s="193"/>
      <c r="AB15" s="193"/>
      <c r="AC15" s="193"/>
      <c r="AD15" s="193"/>
      <c r="AE15" s="193"/>
      <c r="AF15" s="193"/>
      <c r="AG15" s="152"/>
      <c r="AH15" s="152"/>
      <c r="AI15" s="152"/>
      <c r="AJ15" s="152"/>
      <c r="AK15" s="152"/>
      <c r="AL15" s="152"/>
      <c r="AM15" s="152"/>
      <c r="AN15" s="152"/>
    </row>
    <row r="16" spans="1:40" x14ac:dyDescent="0.2">
      <c r="A16" s="113" t="s">
        <v>372</v>
      </c>
      <c r="B16" s="81" t="s">
        <v>254</v>
      </c>
      <c r="C16" s="82">
        <f>BS!K10</f>
        <v>29551.161641127001</v>
      </c>
      <c r="D16" s="82">
        <f>BS!L10</f>
        <v>26504.582267689686</v>
      </c>
      <c r="E16" s="82">
        <f>BS!M10</f>
        <v>35326.464873434525</v>
      </c>
      <c r="F16" s="82">
        <f>BS!N10</f>
        <v>35954.894530504927</v>
      </c>
      <c r="G16" s="82">
        <f>BS!O10</f>
        <v>29734.554696047773</v>
      </c>
      <c r="H16" s="82">
        <f>BS!P10</f>
        <v>25889.850774199989</v>
      </c>
      <c r="I16" s="82">
        <f>BS!Q10</f>
        <v>31289.607143108198</v>
      </c>
      <c r="J16" s="82">
        <f>BS!R10</f>
        <v>21712.828266911769</v>
      </c>
      <c r="K16" s="82">
        <f>BS!S10</f>
        <v>23129.40110458932</v>
      </c>
      <c r="L16" s="82">
        <f>BS!T10</f>
        <v>23349.824716680963</v>
      </c>
      <c r="M16" s="82">
        <f>BS!U10</f>
        <v>27674.215965520834</v>
      </c>
      <c r="N16" s="240">
        <f>BS!V10</f>
        <v>36476.654585097771</v>
      </c>
      <c r="O16" s="240">
        <f>BS!W10</f>
        <v>35658.775079066894</v>
      </c>
      <c r="P16" s="240">
        <f>BS!X10</f>
        <v>29807.537062013656</v>
      </c>
      <c r="Q16" s="240">
        <f>BS!Y10</f>
        <v>38735.519938480014</v>
      </c>
      <c r="R16" s="240">
        <f>BS!Z10</f>
        <v>35265.224642052191</v>
      </c>
      <c r="S16" s="240">
        <f>BS!AA10</f>
        <v>42530.441031201059</v>
      </c>
      <c r="T16" s="240">
        <f>BS!AB10</f>
        <v>51965.077165736475</v>
      </c>
      <c r="U16" s="114">
        <f>BS!AC10</f>
        <v>43821.682879845896</v>
      </c>
      <c r="V16" s="115">
        <f t="shared" ref="V16:V25" si="20">+C16/C$25</f>
        <v>0.17179007139480579</v>
      </c>
      <c r="W16" s="116">
        <f t="shared" ref="W16:W25" si="21">+D16/D$25</f>
        <v>0.12475653768117034</v>
      </c>
      <c r="X16" s="116">
        <f t="shared" ref="X16:X25" si="22">+E16/E$25</f>
        <v>0.22853177458667856</v>
      </c>
      <c r="Y16" s="116">
        <f t="shared" ref="Y16:Y25" si="23">+F16/F$25</f>
        <v>0.20931405726959773</v>
      </c>
      <c r="Z16" s="116">
        <f t="shared" ref="Z16:Z25" si="24">+G16/G$25</f>
        <v>0.18229532121780428</v>
      </c>
      <c r="AA16" s="116">
        <f t="shared" ref="AA16:AA25" si="25">+H16/H$25</f>
        <v>0.12947896984882559</v>
      </c>
      <c r="AB16" s="116">
        <f t="shared" ref="AB16:AB25" si="26">+I16/I$25</f>
        <v>0.13161087556422255</v>
      </c>
      <c r="AC16" s="116">
        <f t="shared" ref="AC16:AC25" si="27">+J16/J$25</f>
        <v>0.13751916977807391</v>
      </c>
      <c r="AD16" s="116">
        <f t="shared" ref="AD16:AD25" si="28">+K16/K$25</f>
        <v>0.15150059442943492</v>
      </c>
      <c r="AE16" s="116">
        <f t="shared" ref="AE16:AE25" si="29">+L16/L$25</f>
        <v>0.17411176167008191</v>
      </c>
      <c r="AF16" s="116">
        <f t="shared" ref="AF16:AF25" si="30">+M16/M$25</f>
        <v>0.20192364228201595</v>
      </c>
      <c r="AG16" s="116">
        <f t="shared" ref="AG16:AG25" si="31">+N16/N$25</f>
        <v>0.19908741358581597</v>
      </c>
      <c r="AH16" s="116">
        <f t="shared" ref="AH16:AH25" si="32">+O16/O$25</f>
        <v>0.18699425520393767</v>
      </c>
      <c r="AI16" s="116">
        <f t="shared" ref="AI16:AI25" si="33">+P16/P$25</f>
        <v>0.19585367201970516</v>
      </c>
      <c r="AJ16" s="116">
        <f t="shared" ref="AJ16:AJ25" si="34">+Q16/Q$25</f>
        <v>0.19933256046566306</v>
      </c>
      <c r="AK16" s="116">
        <f t="shared" ref="AK16:AK25" si="35">+R16/R$25</f>
        <v>0.21454978312552464</v>
      </c>
      <c r="AL16" s="116">
        <f t="shared" ref="AL16:AL25" si="36">+S16/S$25</f>
        <v>0.21055796798354884</v>
      </c>
      <c r="AM16" s="116">
        <f t="shared" ref="AM16:AM25" si="37">+T16/T$25</f>
        <v>0.26579515566709111</v>
      </c>
      <c r="AN16" s="116">
        <f t="shared" ref="AN16" si="38">+U16/U$25</f>
        <v>0.2450847907001541</v>
      </c>
    </row>
    <row r="17" spans="1:40" x14ac:dyDescent="0.2">
      <c r="A17" s="131" t="s">
        <v>373</v>
      </c>
      <c r="B17" s="84" t="s">
        <v>254</v>
      </c>
      <c r="C17" s="85">
        <f>BS!K11+BS!K12+BS!K14</f>
        <v>47083.044982698993</v>
      </c>
      <c r="D17" s="85">
        <f>BS!L11+BS!L12+BS!L14</f>
        <v>71123.508098891733</v>
      </c>
      <c r="E17" s="85">
        <f>BS!M11+BS!M12+BS!M14</f>
        <v>45325.875221680559</v>
      </c>
      <c r="F17" s="85">
        <f>BS!N11+BS!N12+BS!N14</f>
        <v>43203.814841359774</v>
      </c>
      <c r="G17" s="85">
        <f>BS!O11+BS!O12+BS!O14</f>
        <v>41833.003936369518</v>
      </c>
      <c r="H17" s="85">
        <f>BS!P11+BS!P12+BS!P14</f>
        <v>60115.166036782903</v>
      </c>
      <c r="I17" s="85">
        <f>BS!Q11+BS!Q12+BS!Q14</f>
        <v>70256.341617393409</v>
      </c>
      <c r="J17" s="85">
        <f>BS!R11+BS!R12+BS!R14</f>
        <v>40192.941559528306</v>
      </c>
      <c r="K17" s="85">
        <f>BS!S11+BS!S12+BS!S14</f>
        <v>46818.479783931463</v>
      </c>
      <c r="L17" s="85">
        <f>BS!T11+BS!T12+BS!T14</f>
        <v>31863.899408185494</v>
      </c>
      <c r="M17" s="85">
        <f>BS!U11+BS!U12+BS!U14</f>
        <v>34677.504554755724</v>
      </c>
      <c r="N17" s="241">
        <f>BS!V11+BS!V12+BS!V14</f>
        <v>48788.604555171696</v>
      </c>
      <c r="O17" s="241">
        <f>BS!W11+BS!W12+BS!W14</f>
        <v>55580.137850556719</v>
      </c>
      <c r="P17" s="241">
        <f>BS!X11+BS!X12+BS!X14</f>
        <v>36411.354877313468</v>
      </c>
      <c r="Q17" s="241">
        <f>BS!Y11+BS!Y12+BS!Y14</f>
        <v>42951.958555382618</v>
      </c>
      <c r="R17" s="241">
        <f>BS!Z11+BS!Z12+BS!Z14</f>
        <v>39097.413247445511</v>
      </c>
      <c r="S17" s="241">
        <f>BS!AA11+BS!AA12+BS!AA14</f>
        <v>49682.576797976144</v>
      </c>
      <c r="T17" s="241">
        <f>BS!AB11+BS!AB12+BS!AB14</f>
        <v>41749.203106042216</v>
      </c>
      <c r="U17" s="118">
        <f>BS!AC11+BS!AC12+BS!AC14</f>
        <v>43882.081266554284</v>
      </c>
      <c r="V17" s="119">
        <f t="shared" si="20"/>
        <v>0.27370834883884598</v>
      </c>
      <c r="W17" s="120">
        <f t="shared" si="21"/>
        <v>0.3347769275719979</v>
      </c>
      <c r="X17" s="120">
        <f t="shared" si="22"/>
        <v>0.29321933955793389</v>
      </c>
      <c r="Y17" s="120">
        <f t="shared" si="23"/>
        <v>0.25151417886366079</v>
      </c>
      <c r="Z17" s="120">
        <f t="shared" si="24"/>
        <v>0.25646797028037455</v>
      </c>
      <c r="AA17" s="120">
        <f t="shared" si="25"/>
        <v>0.30064482945921028</v>
      </c>
      <c r="AB17" s="120">
        <f t="shared" si="26"/>
        <v>0.29551341414783133</v>
      </c>
      <c r="AC17" s="120">
        <f t="shared" si="27"/>
        <v>0.25456379455771044</v>
      </c>
      <c r="AD17" s="120">
        <f t="shared" si="28"/>
        <v>0.30666714998256939</v>
      </c>
      <c r="AE17" s="120">
        <f t="shared" si="29"/>
        <v>0.2375983428977986</v>
      </c>
      <c r="AF17" s="120">
        <f t="shared" si="30"/>
        <v>0.25302281494339313</v>
      </c>
      <c r="AG17" s="120">
        <f t="shared" si="31"/>
        <v>0.26628530504874032</v>
      </c>
      <c r="AH17" s="120">
        <f t="shared" si="32"/>
        <v>0.29146167972545522</v>
      </c>
      <c r="AI17" s="120">
        <f t="shared" si="33"/>
        <v>0.23924477695349336</v>
      </c>
      <c r="AJ17" s="120">
        <f t="shared" si="34"/>
        <v>0.22103030731115114</v>
      </c>
      <c r="AK17" s="120">
        <f t="shared" si="35"/>
        <v>0.23786440092616704</v>
      </c>
      <c r="AL17" s="120">
        <f t="shared" si="36"/>
        <v>0.24596646921893081</v>
      </c>
      <c r="AM17" s="120">
        <f t="shared" si="37"/>
        <v>0.2135421814761434</v>
      </c>
      <c r="AN17" s="120">
        <f t="shared" ref="AN17:AN25" si="39">+U17/U$25</f>
        <v>0.24542258525737454</v>
      </c>
    </row>
    <row r="18" spans="1:40" x14ac:dyDescent="0.2">
      <c r="A18" s="131" t="s">
        <v>374</v>
      </c>
      <c r="B18" s="84" t="s">
        <v>254</v>
      </c>
      <c r="C18" s="85">
        <f>BS!K13</f>
        <v>16417.943648047501</v>
      </c>
      <c r="D18" s="85">
        <f>BS!L13</f>
        <v>22448.849104859335</v>
      </c>
      <c r="E18" s="85">
        <f>BS!M13</f>
        <v>18599.685283324008</v>
      </c>
      <c r="F18" s="85">
        <f>BS!N13</f>
        <v>16033.775429642468</v>
      </c>
      <c r="G18" s="85">
        <f>BS!O13</f>
        <v>23828.269582550965</v>
      </c>
      <c r="H18" s="85">
        <f>BS!P13</f>
        <v>21135.073281923294</v>
      </c>
      <c r="I18" s="85">
        <f>BS!Q13</f>
        <v>19338.471086416128</v>
      </c>
      <c r="J18" s="85">
        <f>BS!R13</f>
        <v>19147.792888323049</v>
      </c>
      <c r="K18" s="85">
        <f>BS!S13</f>
        <v>20016.05194830785</v>
      </c>
      <c r="L18" s="85">
        <f>BS!T13</f>
        <v>18754.948958201272</v>
      </c>
      <c r="M18" s="85">
        <f>BS!U13</f>
        <v>16221.767376538846</v>
      </c>
      <c r="N18" s="241">
        <f>BS!V13</f>
        <v>24895.210475600972</v>
      </c>
      <c r="O18" s="241">
        <f>BS!W13</f>
        <v>18316.373817067783</v>
      </c>
      <c r="P18" s="241">
        <f>BS!X13</f>
        <v>17645.943709875552</v>
      </c>
      <c r="Q18" s="241">
        <f>BS!Y13</f>
        <v>20517.214953697439</v>
      </c>
      <c r="R18" s="241">
        <f>BS!Z13</f>
        <v>18911.740486437833</v>
      </c>
      <c r="S18" s="241">
        <f>BS!AA13</f>
        <v>25310.437899048309</v>
      </c>
      <c r="T18" s="241">
        <f>BS!AB13</f>
        <v>22253.11829652997</v>
      </c>
      <c r="U18" s="118">
        <f>BS!AC13</f>
        <v>23494.040332289915</v>
      </c>
      <c r="V18" s="119">
        <f t="shared" si="20"/>
        <v>9.5442600385925627E-2</v>
      </c>
      <c r="W18" s="120">
        <f t="shared" si="21"/>
        <v>0.10566628294547398</v>
      </c>
      <c r="X18" s="120">
        <f t="shared" si="22"/>
        <v>0.12032392994262575</v>
      </c>
      <c r="Y18" s="120">
        <f t="shared" si="23"/>
        <v>9.334180039606757E-2</v>
      </c>
      <c r="Z18" s="120">
        <f t="shared" si="24"/>
        <v>0.14608532402850902</v>
      </c>
      <c r="AA18" s="120">
        <f t="shared" si="25"/>
        <v>0.1056996249259929</v>
      </c>
      <c r="AB18" s="120">
        <f t="shared" si="26"/>
        <v>8.1341804648295823E-2</v>
      </c>
      <c r="AC18" s="120">
        <f t="shared" si="27"/>
        <v>0.12127340338694687</v>
      </c>
      <c r="AD18" s="120">
        <f t="shared" si="28"/>
        <v>0.13110775132423955</v>
      </c>
      <c r="AE18" s="120">
        <f t="shared" si="29"/>
        <v>0.13984932404276548</v>
      </c>
      <c r="AF18" s="120">
        <f t="shared" si="30"/>
        <v>0.11836137858443065</v>
      </c>
      <c r="AG18" s="120">
        <f t="shared" si="31"/>
        <v>0.13587657970933478</v>
      </c>
      <c r="AH18" s="120">
        <f t="shared" si="32"/>
        <v>9.605087870699569E-2</v>
      </c>
      <c r="AI18" s="120">
        <f t="shared" si="33"/>
        <v>0.11594459698706396</v>
      </c>
      <c r="AJ18" s="120">
        <f t="shared" si="34"/>
        <v>0.10558136296712332</v>
      </c>
      <c r="AK18" s="120">
        <f t="shared" si="35"/>
        <v>0.11505696790750181</v>
      </c>
      <c r="AL18" s="120">
        <f t="shared" si="36"/>
        <v>0.12530588076638421</v>
      </c>
      <c r="AM18" s="120">
        <f t="shared" si="37"/>
        <v>0.11382203903671524</v>
      </c>
      <c r="AN18" s="120">
        <f t="shared" si="39"/>
        <v>0.13139686974888951</v>
      </c>
    </row>
    <row r="19" spans="1:40" x14ac:dyDescent="0.2">
      <c r="A19" s="131" t="s">
        <v>375</v>
      </c>
      <c r="B19" s="84" t="s">
        <v>254</v>
      </c>
      <c r="C19" s="85">
        <f>BS!K16+BS!K25</f>
        <v>66234.429065744</v>
      </c>
      <c r="D19" s="85">
        <f>BS!L16+BS!L25</f>
        <v>80701.832907075877</v>
      </c>
      <c r="E19" s="85">
        <f>BS!M16+BS!M25</f>
        <v>40424.459013358195</v>
      </c>
      <c r="F19" s="85">
        <f>BS!N16+BS!N25</f>
        <v>64805.211950451856</v>
      </c>
      <c r="G19" s="85">
        <f>BS!O16+BS!O25</f>
        <v>57530.777750995112</v>
      </c>
      <c r="H19" s="85">
        <f>BS!P16+BS!P25</f>
        <v>71036.353352510545</v>
      </c>
      <c r="I19" s="85">
        <f>BS!Q16+BS!Q25</f>
        <v>93786.782469136044</v>
      </c>
      <c r="J19" s="85">
        <f>BS!R16+BS!R25</f>
        <v>68249.110102324063</v>
      </c>
      <c r="K19" s="85">
        <f>BS!S16+BS!S25</f>
        <v>53957.819492345443</v>
      </c>
      <c r="L19" s="85">
        <f>BS!T16+BS!T25</f>
        <v>49103.345036035949</v>
      </c>
      <c r="M19" s="85">
        <f>BS!U16+BS!U25</f>
        <v>47437.959963520429</v>
      </c>
      <c r="N19" s="241">
        <f>BS!V16+BS!V25</f>
        <v>56710.201734945811</v>
      </c>
      <c r="O19" s="241">
        <f>BS!W16+BS!W25</f>
        <v>66039.354785796153</v>
      </c>
      <c r="P19" s="241">
        <f>BS!X16+BS!X25</f>
        <v>51750.099073341436</v>
      </c>
      <c r="Q19" s="241">
        <f>BS!Y16+BS!Y25</f>
        <v>65679.434440982659</v>
      </c>
      <c r="R19" s="241">
        <f>BS!Z16+BS!Z25</f>
        <v>58507.917041931614</v>
      </c>
      <c r="S19" s="241">
        <f>BS!AA16+BS!AA25</f>
        <v>66655.28442356344</v>
      </c>
      <c r="T19" s="241">
        <f>BS!AB16+BS!AB25</f>
        <v>55987.124848337786</v>
      </c>
      <c r="U19" s="118">
        <f>BS!AC16+BS!AC25</f>
        <v>51903.417168312058</v>
      </c>
      <c r="V19" s="119">
        <f t="shared" si="20"/>
        <v>0.38504128657205705</v>
      </c>
      <c r="W19" s="120">
        <f t="shared" si="21"/>
        <v>0.37986191053026258</v>
      </c>
      <c r="X19" s="120">
        <f t="shared" si="22"/>
        <v>0.26151140195112976</v>
      </c>
      <c r="Y19" s="120">
        <f t="shared" si="23"/>
        <v>0.3772682974791306</v>
      </c>
      <c r="Z19" s="120">
        <f t="shared" si="24"/>
        <v>0.35270720268838396</v>
      </c>
      <c r="AA19" s="120">
        <f t="shared" si="25"/>
        <v>0.35526330121091432</v>
      </c>
      <c r="AB19" s="120">
        <f t="shared" si="26"/>
        <v>0.39448755302870597</v>
      </c>
      <c r="AC19" s="120">
        <f t="shared" si="27"/>
        <v>0.43225879392536992</v>
      </c>
      <c r="AD19" s="120">
        <f t="shared" si="28"/>
        <v>0.35343075638843402</v>
      </c>
      <c r="AE19" s="120">
        <f t="shared" si="29"/>
        <v>0.3661470701324111</v>
      </c>
      <c r="AF19" s="120">
        <f t="shared" si="30"/>
        <v>0.34612889016247939</v>
      </c>
      <c r="AG19" s="120">
        <f t="shared" si="31"/>
        <v>0.30952091182048164</v>
      </c>
      <c r="AH19" s="120">
        <f t="shared" si="32"/>
        <v>0.34630970735637767</v>
      </c>
      <c r="AI19" s="120">
        <f t="shared" si="33"/>
        <v>0.34002966799339973</v>
      </c>
      <c r="AJ19" s="120">
        <f t="shared" si="34"/>
        <v>0.33798564877535142</v>
      </c>
      <c r="AK19" s="120">
        <f t="shared" si="35"/>
        <v>0.35595579043905745</v>
      </c>
      <c r="AL19" s="120">
        <f t="shared" si="36"/>
        <v>0.32999425595645343</v>
      </c>
      <c r="AM19" s="120">
        <f t="shared" si="37"/>
        <v>0.28636744860313157</v>
      </c>
      <c r="AN19" s="120">
        <f t="shared" si="39"/>
        <v>0.2902841081707741</v>
      </c>
    </row>
    <row r="20" spans="1:40" x14ac:dyDescent="0.2">
      <c r="A20" s="136" t="s">
        <v>376</v>
      </c>
      <c r="B20" s="89" t="s">
        <v>254</v>
      </c>
      <c r="C20" s="90">
        <f>BS!K27+BS!K28</f>
        <v>12732.328225407822</v>
      </c>
      <c r="D20" s="90">
        <f>BS!L27+BS!L28</f>
        <v>11671.675191815857</v>
      </c>
      <c r="E20" s="90">
        <f>BS!M27+BS!M28</f>
        <v>14903.616941270639</v>
      </c>
      <c r="F20" s="90">
        <f>BS!N27+BS!N28</f>
        <v>14192.099365758477</v>
      </c>
      <c r="G20" s="90">
        <f>BS!O27+BS!O28</f>
        <v>10185.395468902556</v>
      </c>
      <c r="H20" s="90">
        <f>BS!P27+BS!P28</f>
        <v>21777.655698466078</v>
      </c>
      <c r="I20" s="90">
        <f>BS!Q27+BS!Q28</f>
        <v>23072.122534329279</v>
      </c>
      <c r="J20" s="90">
        <f>BS!R27+BS!R28</f>
        <v>8586.7930802968458</v>
      </c>
      <c r="K20" s="90">
        <f>BS!S27+BS!S28</f>
        <v>8746.9628775005804</v>
      </c>
      <c r="L20" s="90">
        <f>BS!T27+BS!T28</f>
        <v>11036.237938437707</v>
      </c>
      <c r="M20" s="90">
        <f>BS!U27+BS!U28</f>
        <v>11041.428428760313</v>
      </c>
      <c r="N20" s="244">
        <f>BS!V27+BS!V28</f>
        <v>16348.618749482477</v>
      </c>
      <c r="O20" s="244">
        <f>BS!W27+BS!W28</f>
        <v>15099.853548000883</v>
      </c>
      <c r="P20" s="244">
        <f>BS!X27+BS!X28</f>
        <v>16577.958852689251</v>
      </c>
      <c r="Q20" s="244">
        <f>BS!Y27+BS!Y28</f>
        <v>26441.976426725756</v>
      </c>
      <c r="R20" s="244">
        <f>BS!Z27+BS!Z28</f>
        <v>12586.198123885362</v>
      </c>
      <c r="S20" s="244">
        <f>BS!AA27+BS!AA28</f>
        <v>17810.486086013734</v>
      </c>
      <c r="T20" s="244">
        <f>BS!AB27+BS!AB28</f>
        <v>23553.468696918222</v>
      </c>
      <c r="U20" s="137">
        <f>BS!AC27+BS!AC28</f>
        <v>15700.909583433664</v>
      </c>
      <c r="V20" s="138">
        <f t="shared" si="20"/>
        <v>7.4016974406204541E-2</v>
      </c>
      <c r="W20" s="139">
        <f t="shared" si="21"/>
        <v>5.4938341271095266E-2</v>
      </c>
      <c r="X20" s="139">
        <f t="shared" si="22"/>
        <v>9.6413553961634507E-2</v>
      </c>
      <c r="Y20" s="139">
        <f t="shared" si="23"/>
        <v>8.2620348027995574E-2</v>
      </c>
      <c r="Z20" s="139">
        <f t="shared" si="24"/>
        <v>6.2444181784930282E-2</v>
      </c>
      <c r="AA20" s="139">
        <f t="shared" si="25"/>
        <v>0.10891327455505298</v>
      </c>
      <c r="AB20" s="139">
        <f t="shared" si="26"/>
        <v>9.7046352610947698E-2</v>
      </c>
      <c r="AC20" s="139">
        <f t="shared" si="27"/>
        <v>5.438483835189864E-2</v>
      </c>
      <c r="AD20" s="139">
        <f t="shared" si="28"/>
        <v>5.7293747875322168E-2</v>
      </c>
      <c r="AE20" s="139">
        <f t="shared" si="29"/>
        <v>8.2293501256942944E-2</v>
      </c>
      <c r="AF20" s="139">
        <f t="shared" si="30"/>
        <v>8.0563274027680973E-2</v>
      </c>
      <c r="AG20" s="139">
        <f t="shared" si="31"/>
        <v>8.9229789835627252E-2</v>
      </c>
      <c r="AH20" s="139">
        <f t="shared" si="32"/>
        <v>7.9183479007233687E-2</v>
      </c>
      <c r="AI20" s="139">
        <f t="shared" si="33"/>
        <v>0.1089272860463375</v>
      </c>
      <c r="AJ20" s="139">
        <f t="shared" si="34"/>
        <v>0.13607012048071074</v>
      </c>
      <c r="AK20" s="139">
        <f t="shared" si="35"/>
        <v>7.6573057601749248E-2</v>
      </c>
      <c r="AL20" s="139">
        <f t="shared" si="36"/>
        <v>8.817542607468272E-2</v>
      </c>
      <c r="AM20" s="139">
        <f t="shared" si="37"/>
        <v>0.12047317583750597</v>
      </c>
      <c r="AN20" s="139">
        <f t="shared" si="39"/>
        <v>8.781164679614914E-2</v>
      </c>
    </row>
    <row r="21" spans="1:40" x14ac:dyDescent="0.2">
      <c r="A21" s="131" t="s">
        <v>377</v>
      </c>
      <c r="B21" s="154" t="s">
        <v>254</v>
      </c>
      <c r="C21" s="85">
        <f>BS!K32+BS!K36+BS!K42</f>
        <v>47883.094414236279</v>
      </c>
      <c r="D21" s="85">
        <f>BS!L32+BS!L36+BS!L42</f>
        <v>45315.750213128733</v>
      </c>
      <c r="E21" s="85">
        <f>BS!M32+BS!M36+BS!M42</f>
        <v>41813.709772971357</v>
      </c>
      <c r="F21" s="85">
        <f>BS!N32+BS!N36+BS!N42</f>
        <v>40140.1063631574</v>
      </c>
      <c r="G21" s="85">
        <f>BS!O32+BS!O36+BS!O42</f>
        <v>33008.501513990959</v>
      </c>
      <c r="H21" s="85">
        <f>BS!P32+BS!P36+BS!P42</f>
        <v>47612.533103719827</v>
      </c>
      <c r="I21" s="85">
        <f>BS!Q32+BS!Q36+BS!Q42</f>
        <v>53671.980510680572</v>
      </c>
      <c r="J21" s="85">
        <f>BS!R32+BS!R36+BS!R42</f>
        <v>42943.569854397276</v>
      </c>
      <c r="K21" s="85">
        <f>BS!S32+BS!S36+BS!S42+BS!S35+BS!S41</f>
        <v>34928.703988511392</v>
      </c>
      <c r="L21" s="85">
        <f>BS!T32+BS!T36+BS!T42+BS!T35+BS!T41</f>
        <v>24435.107940289527</v>
      </c>
      <c r="M21" s="85">
        <f>BS!U32+BS!U36+BS!U42+BS!U35+BS!U41</f>
        <v>34482.154902295864</v>
      </c>
      <c r="N21" s="241">
        <f>BS!V32+BS!V36+BS!V42+BS!V35+BS!V41</f>
        <v>36537.41152410856</v>
      </c>
      <c r="O21" s="241">
        <f>BS!W32+BS!W36+BS!W42+BS!W35+BS!W41</f>
        <v>44194.916019484401</v>
      </c>
      <c r="P21" s="241">
        <f>BS!X32+BS!X36+BS!X42+BS!X35+BS!X41</f>
        <v>33032.573854890594</v>
      </c>
      <c r="Q21" s="241">
        <f>BS!Y32+BS!Y36+BS!Y42+BS!Y35+BS!Y41</f>
        <v>42071.331068810643</v>
      </c>
      <c r="R21" s="241">
        <f>BS!Z32+BS!Z36+BS!Z42+BS!Z35+BS!Z41</f>
        <v>33409.343440662618</v>
      </c>
      <c r="S21" s="241">
        <f>BS!AA32+BS!AA36+BS!AA42+BS!AA35+BS!AA41</f>
        <v>44363.671123960965</v>
      </c>
      <c r="T21" s="241">
        <f>BS!AB32+BS!AB36+BS!AB42+BS!AB35+BS!AB41</f>
        <v>37099.415554477055</v>
      </c>
      <c r="U21" s="118">
        <f>BS!AC32+BS!AC36+BS!AC42+BS!AC35+BS!AC41</f>
        <v>40541.367686010126</v>
      </c>
      <c r="V21" s="119">
        <f t="shared" si="20"/>
        <v>0.27835928441397695</v>
      </c>
      <c r="W21" s="120">
        <f t="shared" si="21"/>
        <v>0.21330032829479822</v>
      </c>
      <c r="X21" s="120">
        <f t="shared" si="22"/>
        <v>0.27049865676357032</v>
      </c>
      <c r="Y21" s="120">
        <f t="shared" si="23"/>
        <v>0.23367857510963699</v>
      </c>
      <c r="Z21" s="120">
        <f t="shared" si="24"/>
        <v>0.20236709269472131</v>
      </c>
      <c r="AA21" s="120">
        <f t="shared" si="25"/>
        <v>0.23811731446154877</v>
      </c>
      <c r="AB21" s="120">
        <f t="shared" si="26"/>
        <v>0.22575599354664394</v>
      </c>
      <c r="AC21" s="120">
        <f t="shared" si="27"/>
        <v>0.27198502199195018</v>
      </c>
      <c r="AD21" s="120">
        <f t="shared" si="28"/>
        <v>0.22878756751982096</v>
      </c>
      <c r="AE21" s="120">
        <f t="shared" si="29"/>
        <v>0.18220435235400598</v>
      </c>
      <c r="AF21" s="120">
        <f t="shared" si="30"/>
        <v>0.25159745520086724</v>
      </c>
      <c r="AG21" s="120">
        <f t="shared" si="31"/>
        <v>0.19941902134926451</v>
      </c>
      <c r="AH21" s="120">
        <f t="shared" si="32"/>
        <v>0.23175769180348171</v>
      </c>
      <c r="AI21" s="120">
        <f t="shared" si="33"/>
        <v>0.21704412787553465</v>
      </c>
      <c r="AJ21" s="120">
        <f t="shared" si="34"/>
        <v>0.21649860793048906</v>
      </c>
      <c r="AK21" s="120">
        <f t="shared" si="35"/>
        <v>0.20325880417086173</v>
      </c>
      <c r="AL21" s="120">
        <f t="shared" si="36"/>
        <v>0.21963384854859264</v>
      </c>
      <c r="AM21" s="120">
        <f t="shared" si="37"/>
        <v>0.18975907417611121</v>
      </c>
      <c r="AN21" s="120">
        <f t="shared" si="39"/>
        <v>0.22673872752142749</v>
      </c>
    </row>
    <row r="22" spans="1:40" x14ac:dyDescent="0.2">
      <c r="A22" s="132" t="s">
        <v>378</v>
      </c>
      <c r="B22" s="84" t="s">
        <v>254</v>
      </c>
      <c r="C22" s="87">
        <f>BS!K33+BS!K34+BS!K38+BS!K39+BS!K40</f>
        <v>72652.496292634722</v>
      </c>
      <c r="D22" s="87">
        <f>BS!L33+BS!L34+BS!L38+BS!L39+BS!L40</f>
        <v>117627.45098039215</v>
      </c>
      <c r="E22" s="87">
        <f>BS!M33+BS!M34+BS!M38+BS!M39+BS!M40</f>
        <v>64068.006326697665</v>
      </c>
      <c r="F22" s="87">
        <f>BS!N33+BS!N34+BS!N38+BS!N39+BS!N40</f>
        <v>65672.914169468117</v>
      </c>
      <c r="G22" s="87">
        <f>BS!O33+BS!O34+BS!O38+BS!O39+BS!O40</f>
        <v>79867.005217781363</v>
      </c>
      <c r="H22" s="87">
        <f>BS!P33+BS!P34+BS!P38+BS!P39+BS!P40</f>
        <v>86256.354903642408</v>
      </c>
      <c r="I22" s="87">
        <f>BS!Q33+BS!Q34+BS!Q38+BS!Q39+BS!Q40</f>
        <v>97370.448415401261</v>
      </c>
      <c r="J22" s="87">
        <f>BS!R33+BS!R34+BS!R38+BS!R39+BS!R40</f>
        <v>82397.102769942721</v>
      </c>
      <c r="K22" s="87">
        <f>BS!S33+BS!S34+BS!S38+BS!S39+BS!S40</f>
        <v>72055.796425449676</v>
      </c>
      <c r="L22" s="87">
        <f>BS!T33+BS!T34+BS!T38+BS!T39+BS!T40</f>
        <v>61452.090927936428</v>
      </c>
      <c r="M22" s="87">
        <f>BS!U33+BS!U34+BS!U38+BS!U39+BS!U40</f>
        <v>55993.422923187849</v>
      </c>
      <c r="N22" s="245">
        <f>BS!V33+BS!V34+BS!V38+BS!V39+BS!V40</f>
        <v>66064.574578398751</v>
      </c>
      <c r="O22" s="245">
        <f>BS!W33+BS!W34+BS!W38+BS!W39+BS!W40</f>
        <v>60418.381980535967</v>
      </c>
      <c r="P22" s="245">
        <f>BS!X33+BS!X34+BS!X38+BS!X39+BS!X40</f>
        <v>66117.477752073173</v>
      </c>
      <c r="Q22" s="245">
        <f>BS!Y33+BS!Y34+BS!Y38+BS!Y39+BS!Y40</f>
        <v>62361.556420184221</v>
      </c>
      <c r="R22" s="245">
        <f>BS!Z33+BS!Z34+BS!Z38+BS!Z39+BS!Z40</f>
        <v>71954.064098286035</v>
      </c>
      <c r="S22" s="245">
        <f>BS!AA33+BS!AA34+BS!AA38+BS!AA39+BS!AA40</f>
        <v>79868.8801349235</v>
      </c>
      <c r="T22" s="245">
        <f>BS!AB33+BS!AB34+BS!AB38+BS!AB39+BS!AB40</f>
        <v>73848.169133705407</v>
      </c>
      <c r="U22" s="133">
        <f>BS!AC33+BS!AC34+BS!AC38+BS!AC39+BS!AC40</f>
        <v>72264.589092222493</v>
      </c>
      <c r="V22" s="134">
        <f t="shared" si="20"/>
        <v>0.42235150268179411</v>
      </c>
      <c r="W22" s="135">
        <f t="shared" si="21"/>
        <v>0.55367005494987798</v>
      </c>
      <c r="X22" s="135">
        <f t="shared" si="22"/>
        <v>0.41446477117163288</v>
      </c>
      <c r="Y22" s="135">
        <f t="shared" si="23"/>
        <v>0.38231968962853696</v>
      </c>
      <c r="Z22" s="135">
        <f t="shared" si="24"/>
        <v>0.4896451794791698</v>
      </c>
      <c r="AA22" s="135">
        <f t="shared" si="25"/>
        <v>0.431380778253382</v>
      </c>
      <c r="AB22" s="135">
        <f t="shared" si="26"/>
        <v>0.40956122943379752</v>
      </c>
      <c r="AC22" s="135">
        <f t="shared" si="27"/>
        <v>0.52186573880422438</v>
      </c>
      <c r="AD22" s="135">
        <f t="shared" si="28"/>
        <v>0.47197486615318951</v>
      </c>
      <c r="AE22" s="135">
        <f t="shared" si="29"/>
        <v>0.45822750018887265</v>
      </c>
      <c r="AF22" s="135">
        <f t="shared" si="30"/>
        <v>0.40855343163376323</v>
      </c>
      <c r="AG22" s="135">
        <f t="shared" si="31"/>
        <v>0.36057652304096027</v>
      </c>
      <c r="AH22" s="135">
        <f t="shared" si="32"/>
        <v>0.31683338291980867</v>
      </c>
      <c r="AI22" s="135">
        <f t="shared" si="33"/>
        <v>0.43443209599920884</v>
      </c>
      <c r="AJ22" s="135">
        <f t="shared" si="34"/>
        <v>0.32091188489535505</v>
      </c>
      <c r="AK22" s="135">
        <f t="shared" si="35"/>
        <v>0.43776068361914167</v>
      </c>
      <c r="AL22" s="135">
        <f t="shared" si="36"/>
        <v>0.39541158517481306</v>
      </c>
      <c r="AM22" s="135">
        <f t="shared" si="37"/>
        <v>0.37772455428133334</v>
      </c>
      <c r="AN22" s="135">
        <f t="shared" si="39"/>
        <v>0.40415955136322396</v>
      </c>
    </row>
    <row r="23" spans="1:40" x14ac:dyDescent="0.2">
      <c r="A23" s="132" t="s">
        <v>379</v>
      </c>
      <c r="B23" s="84" t="s">
        <v>254</v>
      </c>
      <c r="C23" s="87">
        <f>BS!K45</f>
        <v>9377.533366287691</v>
      </c>
      <c r="D23" s="87">
        <f>BS!L45</f>
        <v>7934.1432225063936</v>
      </c>
      <c r="E23" s="87">
        <f>BS!M45</f>
        <v>7843.9639645172729</v>
      </c>
      <c r="F23" s="87">
        <f>BS!N45</f>
        <v>8820.1988809159939</v>
      </c>
      <c r="G23" s="87">
        <f>BS!O45</f>
        <v>8654.3327504961126</v>
      </c>
      <c r="H23" s="87">
        <f>BS!P45</f>
        <v>9673.2789938825827</v>
      </c>
      <c r="I23" s="87">
        <f>BS!Q45</f>
        <v>10981.06867698878</v>
      </c>
      <c r="J23" s="87">
        <f>BS!R45</f>
        <v>9449.5556428606906</v>
      </c>
      <c r="K23" s="87">
        <f>BS!S45</f>
        <v>9690.7384779976583</v>
      </c>
      <c r="L23" s="87">
        <f>BS!T45</f>
        <v>8924.1526629999771</v>
      </c>
      <c r="M23" s="87">
        <f>BS!U45</f>
        <v>9069.5085061752015</v>
      </c>
      <c r="N23" s="245">
        <f>BS!V45</f>
        <v>9230.8563545236557</v>
      </c>
      <c r="O23" s="245">
        <f>BS!W45</f>
        <v>9509.4814225841601</v>
      </c>
      <c r="P23" s="245">
        <f>BS!X45</f>
        <v>9317.7323139557811</v>
      </c>
      <c r="Q23" s="245">
        <f>BS!Y45</f>
        <v>9081.4652627153337</v>
      </c>
      <c r="R23" s="245">
        <f>BS!Z45</f>
        <v>10325.250440106629</v>
      </c>
      <c r="S23" s="245">
        <f>BS!AA45</f>
        <v>8860.4529574750031</v>
      </c>
      <c r="T23" s="245">
        <f>BS!AB45</f>
        <v>10435.827954380004</v>
      </c>
      <c r="U23" s="133">
        <f>BS!AC45</f>
        <v>9789.121719239105</v>
      </c>
      <c r="V23" s="134">
        <f t="shared" si="20"/>
        <v>5.45145110052025E-2</v>
      </c>
      <c r="W23" s="135">
        <f t="shared" si="21"/>
        <v>3.7345853177738149E-2</v>
      </c>
      <c r="X23" s="135">
        <f t="shared" si="22"/>
        <v>5.07436849689741E-2</v>
      </c>
      <c r="Y23" s="135">
        <f t="shared" si="23"/>
        <v>5.1347435107143548E-2</v>
      </c>
      <c r="Z23" s="135">
        <f t="shared" si="24"/>
        <v>5.3057608725082007E-2</v>
      </c>
      <c r="AA23" s="135">
        <f t="shared" si="25"/>
        <v>4.8377497812244673E-2</v>
      </c>
      <c r="AB23" s="135">
        <f t="shared" si="26"/>
        <v>4.6188757071936454E-2</v>
      </c>
      <c r="AC23" s="135">
        <f t="shared" si="27"/>
        <v>5.9849183662462765E-2</v>
      </c>
      <c r="AD23" s="135">
        <f t="shared" si="28"/>
        <v>6.347560117263619E-2</v>
      </c>
      <c r="AE23" s="135">
        <f t="shared" si="29"/>
        <v>6.6544394247964281E-2</v>
      </c>
      <c r="AF23" s="135">
        <f t="shared" si="30"/>
        <v>6.6175251127485957E-2</v>
      </c>
      <c r="AG23" s="135">
        <f t="shared" si="31"/>
        <v>5.038146556222578E-2</v>
      </c>
      <c r="AH23" s="135">
        <f t="shared" si="32"/>
        <v>4.986762422570401E-2</v>
      </c>
      <c r="AI23" s="135">
        <f t="shared" si="33"/>
        <v>6.1223176030553314E-2</v>
      </c>
      <c r="AJ23" s="135">
        <f t="shared" si="34"/>
        <v>4.673312056923578E-2</v>
      </c>
      <c r="AK23" s="135">
        <f t="shared" si="35"/>
        <v>6.281769831688476E-2</v>
      </c>
      <c r="AL23" s="135">
        <f t="shared" si="36"/>
        <v>4.386596811378226E-2</v>
      </c>
      <c r="AM23" s="135">
        <f t="shared" si="37"/>
        <v>5.3378012059959623E-2</v>
      </c>
      <c r="AN23" s="135">
        <f t="shared" si="39"/>
        <v>5.4748350360625989E-2</v>
      </c>
    </row>
    <row r="24" spans="1:40" x14ac:dyDescent="0.2">
      <c r="A24" s="136" t="s">
        <v>380</v>
      </c>
      <c r="B24" s="89" t="s">
        <v>254</v>
      </c>
      <c r="C24" s="90">
        <f>BS!K43-BS!K45</f>
        <v>42105.783489866502</v>
      </c>
      <c r="D24" s="90">
        <f>BS!L43-BS!L45</f>
        <v>41572.996589940325</v>
      </c>
      <c r="E24" s="90">
        <f>BS!M43-BS!M45</f>
        <v>40854.421268881641</v>
      </c>
      <c r="F24" s="90">
        <f>BS!N43-BS!N45</f>
        <v>57141.648454958995</v>
      </c>
      <c r="G24" s="90">
        <f>BS!O43-BS!O45</f>
        <v>41582.161952597467</v>
      </c>
      <c r="H24" s="90">
        <f>BS!P43-BS!P45</f>
        <v>56411.932142638143</v>
      </c>
      <c r="I24" s="90">
        <f>BS!Q43-BS!Q45</f>
        <v>74963.675460384198</v>
      </c>
      <c r="J24" s="90">
        <f>BS!R43-BS!R45</f>
        <v>22502.721912838071</v>
      </c>
      <c r="K24" s="90">
        <f>BS!S43-BS!S45</f>
        <v>35993.476314715976</v>
      </c>
      <c r="L24" s="90">
        <f>BS!T43-BS!T45</f>
        <v>39296.904526315426</v>
      </c>
      <c r="M24" s="90">
        <f>BS!U43-BS!U45</f>
        <v>37507.789957437235</v>
      </c>
      <c r="N24" s="244">
        <f>BS!V43-BS!V45</f>
        <v>71386.447643267762</v>
      </c>
      <c r="O24" s="244">
        <f>BS!W43-BS!W45</f>
        <v>76571.715657883833</v>
      </c>
      <c r="P24" s="244">
        <f>BS!X43-BS!X45</f>
        <v>43725.109654313899</v>
      </c>
      <c r="Q24" s="244">
        <f>BS!Y43-BS!Y45</f>
        <v>80811.751563558209</v>
      </c>
      <c r="R24" s="244">
        <f>BS!Z43-BS!Z45</f>
        <v>48679.835562697132</v>
      </c>
      <c r="S24" s="244">
        <f>BS!AA43-BS!AA45</f>
        <v>68896.221900975783</v>
      </c>
      <c r="T24" s="244">
        <f>BS!AB43-BS!AB45</f>
        <v>74124.579228342642</v>
      </c>
      <c r="U24" s="137">
        <f>BS!AC43-BS!AC45</f>
        <v>56207.052612569227</v>
      </c>
      <c r="V24" s="138">
        <f t="shared" si="20"/>
        <v>0.24477398349686469</v>
      </c>
      <c r="W24" s="139">
        <f t="shared" si="21"/>
        <v>0.19568326198125535</v>
      </c>
      <c r="X24" s="139">
        <f t="shared" si="22"/>
        <v>0.26429288709582521</v>
      </c>
      <c r="Y24" s="139">
        <f t="shared" si="23"/>
        <v>0.33265430015468167</v>
      </c>
      <c r="Z24" s="139">
        <f t="shared" si="24"/>
        <v>0.25493011910102881</v>
      </c>
      <c r="AA24" s="139">
        <f t="shared" si="25"/>
        <v>0.28212440947282141</v>
      </c>
      <c r="AB24" s="139">
        <f t="shared" si="26"/>
        <v>0.31531348149337396</v>
      </c>
      <c r="AC24" s="139">
        <f t="shared" si="27"/>
        <v>0.14252199654322156</v>
      </c>
      <c r="AD24" s="139">
        <f t="shared" si="28"/>
        <v>0.23576196515435369</v>
      </c>
      <c r="AE24" s="139">
        <f t="shared" si="29"/>
        <v>0.29302375320915691</v>
      </c>
      <c r="AF24" s="139">
        <f t="shared" si="30"/>
        <v>0.27367386203788369</v>
      </c>
      <c r="AG24" s="139">
        <f t="shared" si="31"/>
        <v>0.38962299004754941</v>
      </c>
      <c r="AH24" s="139">
        <f t="shared" si="32"/>
        <v>0.40154130105100516</v>
      </c>
      <c r="AI24" s="139">
        <f t="shared" si="33"/>
        <v>0.28730060009470348</v>
      </c>
      <c r="AJ24" s="139">
        <f t="shared" si="34"/>
        <v>0.41585638660491936</v>
      </c>
      <c r="AK24" s="139">
        <f t="shared" si="35"/>
        <v>0.29616281389311144</v>
      </c>
      <c r="AL24" s="139">
        <f t="shared" si="36"/>
        <v>0.34108859756640686</v>
      </c>
      <c r="AM24" s="139">
        <f t="shared" si="37"/>
        <v>0.37913835886200853</v>
      </c>
      <c r="AN24" s="139">
        <f t="shared" si="39"/>
        <v>0.31435337075472264</v>
      </c>
    </row>
    <row r="25" spans="1:40" x14ac:dyDescent="0.2">
      <c r="A25" s="112" t="s">
        <v>313</v>
      </c>
      <c r="B25" s="79" t="s">
        <v>254</v>
      </c>
      <c r="C25" s="92">
        <f>BS!K29</f>
        <v>172019.03114186903</v>
      </c>
      <c r="D25" s="92">
        <f>BS!L29</f>
        <v>212450.44757033247</v>
      </c>
      <c r="E25" s="92">
        <f>BS!M29</f>
        <v>154580.10133306755</v>
      </c>
      <c r="F25" s="92">
        <f>BS!N29</f>
        <v>171774.86786850065</v>
      </c>
      <c r="G25" s="92">
        <f>BS!O29</f>
        <v>163112.00143486558</v>
      </c>
      <c r="H25" s="92">
        <f>BS!P29</f>
        <v>199954.09914388359</v>
      </c>
      <c r="I25" s="92">
        <f>BS!Q29</f>
        <v>237743.32485038225</v>
      </c>
      <c r="J25" s="92">
        <f>BS!R29</f>
        <v>157889.46589738407</v>
      </c>
      <c r="K25" s="92">
        <f>BS!S29</f>
        <v>152668.71520667465</v>
      </c>
      <c r="L25" s="92">
        <f>BS!T29</f>
        <v>134108.25605754138</v>
      </c>
      <c r="M25" s="92">
        <f>BS!U29</f>
        <v>137052.87628909614</v>
      </c>
      <c r="N25" s="243">
        <f>BS!V29</f>
        <v>183219.29010029873</v>
      </c>
      <c r="O25" s="243">
        <f>BS!W29</f>
        <v>190694.49508048844</v>
      </c>
      <c r="P25" s="243">
        <f>BS!X29</f>
        <v>152192.89357523341</v>
      </c>
      <c r="Q25" s="243">
        <f>BS!Y29</f>
        <v>194326.10431526855</v>
      </c>
      <c r="R25" s="243">
        <f>BS!Z29</f>
        <v>164368.49354175248</v>
      </c>
      <c r="S25" s="243">
        <f>BS!AA29</f>
        <v>201989.22623780268</v>
      </c>
      <c r="T25" s="243">
        <f>BS!AB29</f>
        <v>195507.99199223489</v>
      </c>
      <c r="U25" s="127">
        <f>BS!AC29</f>
        <v>178802.13111004094</v>
      </c>
      <c r="V25" s="128">
        <f t="shared" si="20"/>
        <v>1</v>
      </c>
      <c r="W25" s="129">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9"/>
        <v>1</v>
      </c>
    </row>
    <row r="26" spans="1:40" x14ac:dyDescent="0.2">
      <c r="A26" s="195" t="s">
        <v>309</v>
      </c>
      <c r="B26" s="189"/>
      <c r="C26" s="194"/>
      <c r="D26" s="194"/>
      <c r="E26" s="194"/>
      <c r="F26" s="194"/>
      <c r="G26" s="194"/>
      <c r="H26" s="194"/>
      <c r="I26" s="194"/>
      <c r="J26" s="194"/>
      <c r="K26" s="194"/>
      <c r="L26" s="194"/>
      <c r="M26" s="194"/>
      <c r="N26" s="194"/>
      <c r="O26" s="194"/>
      <c r="P26" s="194"/>
      <c r="Q26" s="194"/>
      <c r="R26" s="194"/>
      <c r="S26" s="194"/>
      <c r="T26" s="194"/>
      <c r="U26" s="199"/>
      <c r="V26" s="141"/>
      <c r="W26" s="141"/>
      <c r="X26" s="141"/>
      <c r="Y26" s="141"/>
      <c r="Z26" s="141"/>
      <c r="AA26" s="141"/>
      <c r="AB26" s="100"/>
      <c r="AC26" s="100"/>
      <c r="AD26" s="100"/>
      <c r="AE26" s="100"/>
      <c r="AF26" s="100"/>
      <c r="AG26" s="100"/>
      <c r="AH26" s="100"/>
      <c r="AI26" s="100"/>
      <c r="AJ26" s="100"/>
      <c r="AK26" s="100"/>
      <c r="AL26" s="100"/>
      <c r="AM26" s="100"/>
      <c r="AN26" s="100"/>
    </row>
    <row r="27" spans="1:40" x14ac:dyDescent="0.2">
      <c r="A27" s="112" t="s">
        <v>343</v>
      </c>
      <c r="B27" s="79" t="s">
        <v>164</v>
      </c>
      <c r="C27" s="101">
        <f t="shared" ref="C27:U27" si="40">+C13/C25*100</f>
        <v>0.1523845922852225</v>
      </c>
      <c r="D27" s="101">
        <f>+D13/D25*100</f>
        <v>-1.4229284698553144</v>
      </c>
      <c r="E27" s="101">
        <f t="shared" si="40"/>
        <v>-0.57887420300027326</v>
      </c>
      <c r="F27" s="101">
        <f t="shared" si="40"/>
        <v>1.3938543184401551</v>
      </c>
      <c r="G27" s="101">
        <f t="shared" si="40"/>
        <v>-4.3623168631572902E-2</v>
      </c>
      <c r="H27" s="101">
        <f t="shared" si="40"/>
        <v>-0.51052602779799483</v>
      </c>
      <c r="I27" s="101">
        <f t="shared" si="40"/>
        <v>-1.4346832698534888</v>
      </c>
      <c r="J27" s="101">
        <f t="shared" si="40"/>
        <v>-1.1322123177417047</v>
      </c>
      <c r="K27" s="101">
        <f t="shared" si="40"/>
        <v>1.5639272365924808</v>
      </c>
      <c r="L27" s="101">
        <f>+L13/L25*100</f>
        <v>0.60778713572163723</v>
      </c>
      <c r="M27" s="101">
        <f>+M13/M25*100</f>
        <v>1.2117828099379355</v>
      </c>
      <c r="N27" s="246">
        <f>+N13/N25*100</f>
        <v>2.6491637180039938</v>
      </c>
      <c r="O27" s="246">
        <f>+O13/O25*100</f>
        <v>2.2468500584989339</v>
      </c>
      <c r="P27" s="246">
        <f>+P13/P25*100</f>
        <v>1.755722520307857</v>
      </c>
      <c r="Q27" s="246">
        <f t="shared" ref="Q27:R27" si="41">+Q13/Q25*100</f>
        <v>1.7633971877035712</v>
      </c>
      <c r="R27" s="246">
        <f t="shared" si="41"/>
        <v>1.3674253571781452</v>
      </c>
      <c r="S27" s="246">
        <f t="shared" ref="S27:T27" si="42">+S13/S25*100</f>
        <v>1.8236324222647755</v>
      </c>
      <c r="T27" s="246">
        <f t="shared" si="42"/>
        <v>50.228888850812417</v>
      </c>
      <c r="U27" s="142">
        <f t="shared" si="40"/>
        <v>1.504664605901862</v>
      </c>
      <c r="V27" s="143"/>
      <c r="W27" s="143"/>
      <c r="X27" s="143"/>
      <c r="Y27" s="143"/>
      <c r="Z27" s="143"/>
      <c r="AA27" s="143"/>
      <c r="AB27" s="101"/>
      <c r="AC27" s="101"/>
      <c r="AD27" s="101"/>
      <c r="AE27" s="101"/>
      <c r="AF27" s="101"/>
      <c r="AG27" s="101"/>
      <c r="AH27" s="101"/>
      <c r="AI27" s="101"/>
      <c r="AJ27" s="101"/>
      <c r="AK27" s="101"/>
      <c r="AL27" s="101"/>
      <c r="AM27" s="101"/>
      <c r="AN27" s="101"/>
    </row>
    <row r="28" spans="1:40" x14ac:dyDescent="0.2">
      <c r="A28" s="112" t="s">
        <v>315</v>
      </c>
      <c r="B28" s="79" t="s">
        <v>149</v>
      </c>
      <c r="C28" s="102">
        <f t="shared" ref="C28:U28" si="43">(C23+C24)/C25*100</f>
        <v>29.928849450206723</v>
      </c>
      <c r="D28" s="102">
        <f>(D23+D24)/D25*100</f>
        <v>23.30291151589935</v>
      </c>
      <c r="E28" s="102">
        <f t="shared" si="43"/>
        <v>31.503657206479929</v>
      </c>
      <c r="F28" s="102">
        <f t="shared" si="43"/>
        <v>38.400173526182527</v>
      </c>
      <c r="G28" s="102">
        <f t="shared" si="43"/>
        <v>30.798772782611085</v>
      </c>
      <c r="H28" s="102">
        <f t="shared" si="43"/>
        <v>33.050190728506607</v>
      </c>
      <c r="I28" s="102">
        <f t="shared" si="43"/>
        <v>36.150223856531042</v>
      </c>
      <c r="J28" s="102">
        <f t="shared" si="43"/>
        <v>20.237118020568431</v>
      </c>
      <c r="K28" s="102">
        <f t="shared" si="43"/>
        <v>29.923756632698989</v>
      </c>
      <c r="L28" s="102">
        <f>(L23+L24)/L25*100</f>
        <v>35.956814745712116</v>
      </c>
      <c r="M28" s="102">
        <f>(M23+M24)/M25*100</f>
        <v>33.984911316536966</v>
      </c>
      <c r="N28" s="247">
        <f>(N23+N24)/N25*100</f>
        <v>44.000445560977518</v>
      </c>
      <c r="O28" s="247">
        <f>(O23+O24)/O25*100</f>
        <v>45.140892527670914</v>
      </c>
      <c r="P28" s="247">
        <f>(P23+P24)/P25*100</f>
        <v>34.852377612525679</v>
      </c>
      <c r="Q28" s="247">
        <f t="shared" ref="Q28:R28" si="44">(Q23+Q24)/Q25*100</f>
        <v>46.258950717415516</v>
      </c>
      <c r="R28" s="247">
        <f t="shared" si="44"/>
        <v>35.898051220999619</v>
      </c>
      <c r="S28" s="247">
        <f t="shared" ref="S28:T28" si="45">(S23+S24)/S25*100</f>
        <v>38.495456568018909</v>
      </c>
      <c r="T28" s="247">
        <f t="shared" si="45"/>
        <v>43.251637092196816</v>
      </c>
      <c r="U28" s="144">
        <f t="shared" si="43"/>
        <v>36.910172111534862</v>
      </c>
      <c r="V28" s="145"/>
      <c r="W28" s="145"/>
      <c r="X28" s="145"/>
      <c r="Y28" s="145"/>
      <c r="Z28" s="145"/>
      <c r="AA28" s="145"/>
      <c r="AB28" s="102"/>
      <c r="AC28" s="102"/>
      <c r="AD28" s="102"/>
      <c r="AE28" s="102"/>
      <c r="AF28" s="102"/>
      <c r="AG28" s="102"/>
      <c r="AH28" s="102"/>
      <c r="AI28" s="102"/>
      <c r="AJ28" s="102"/>
      <c r="AK28" s="102"/>
      <c r="AL28" s="102"/>
      <c r="AM28" s="102"/>
      <c r="AN28" s="102"/>
    </row>
    <row r="29" spans="1:40" x14ac:dyDescent="0.2">
      <c r="A29" s="112" t="s">
        <v>316</v>
      </c>
      <c r="B29" s="79" t="s">
        <v>164</v>
      </c>
      <c r="C29" s="102">
        <f t="shared" ref="C29:U29" si="46">+C13/(C23+C24)*100</f>
        <v>0.50915619906721798</v>
      </c>
      <c r="D29" s="102">
        <f>+D13/(D23+D24)*100</f>
        <v>-6.1062261206479036</v>
      </c>
      <c r="E29" s="102">
        <f t="shared" si="46"/>
        <v>-1.8374825475221512</v>
      </c>
      <c r="F29" s="102">
        <f t="shared" si="46"/>
        <v>3.6298125514713591</v>
      </c>
      <c r="G29" s="102">
        <f t="shared" si="46"/>
        <v>-0.14163930796685004</v>
      </c>
      <c r="H29" s="102">
        <f t="shared" si="46"/>
        <v>-1.5446991879464511</v>
      </c>
      <c r="I29" s="102">
        <f t="shared" si="46"/>
        <v>-3.9686704999318931</v>
      </c>
      <c r="J29" s="102">
        <f t="shared" si="46"/>
        <v>-5.5947310115548881</v>
      </c>
      <c r="K29" s="102">
        <f t="shared" si="46"/>
        <v>5.2263733320284711</v>
      </c>
      <c r="L29" s="102">
        <f>+L13/(L23+L24)*100</f>
        <v>1.6903252972209288</v>
      </c>
      <c r="M29" s="102">
        <f>+M13/(M23+M24)*100</f>
        <v>3.5656494691168583</v>
      </c>
      <c r="N29" s="247">
        <f>+N13/(N23+N24)*100</f>
        <v>6.0207656632310238</v>
      </c>
      <c r="O29" s="247">
        <f>+O13/(O23+O24)*100</f>
        <v>4.9774161136083812</v>
      </c>
      <c r="P29" s="247">
        <f>+P13/(P23+P24)*100</f>
        <v>5.0375975488021325</v>
      </c>
      <c r="Q29" s="247">
        <f t="shared" ref="Q29:R29" si="47">+Q13/(Q23+Q24)*100</f>
        <v>3.812012940967314</v>
      </c>
      <c r="R29" s="247">
        <f t="shared" si="47"/>
        <v>3.8091910581993642</v>
      </c>
      <c r="S29" s="247">
        <f t="shared" ref="S29:T29" si="48">+S13/(S23+S24)*100</f>
        <v>4.7372666409152426</v>
      </c>
      <c r="T29" s="247">
        <f t="shared" si="48"/>
        <v>116.1317633913894</v>
      </c>
      <c r="U29" s="144">
        <f t="shared" si="46"/>
        <v>4.0765580863591708</v>
      </c>
      <c r="V29" s="145"/>
      <c r="W29" s="145"/>
      <c r="X29" s="145"/>
      <c r="Y29" s="145"/>
      <c r="Z29" s="145"/>
      <c r="AA29" s="145"/>
      <c r="AB29" s="102"/>
      <c r="AC29" s="102"/>
      <c r="AD29" s="102"/>
      <c r="AE29" s="102"/>
      <c r="AF29" s="102"/>
      <c r="AG29" s="102"/>
      <c r="AH29" s="102"/>
      <c r="AI29" s="102"/>
      <c r="AJ29" s="102"/>
      <c r="AK29" s="102"/>
      <c r="AL29" s="102"/>
      <c r="AM29" s="102"/>
      <c r="AN29" s="102"/>
    </row>
    <row r="30" spans="1:40" x14ac:dyDescent="0.2">
      <c r="A30" s="112" t="s">
        <v>349</v>
      </c>
      <c r="B30" s="79" t="s">
        <v>167</v>
      </c>
      <c r="C30" s="101">
        <f t="shared" ref="C30:U30" si="49">C22/C25*100</f>
        <v>42.23515026817941</v>
      </c>
      <c r="D30" s="101">
        <f>D22/D25*100</f>
        <v>55.367005494987801</v>
      </c>
      <c r="E30" s="101">
        <f t="shared" si="49"/>
        <v>41.44647711716329</v>
      </c>
      <c r="F30" s="101">
        <f t="shared" si="49"/>
        <v>38.231968962853699</v>
      </c>
      <c r="G30" s="101">
        <f t="shared" si="49"/>
        <v>48.964517947916981</v>
      </c>
      <c r="H30" s="101">
        <f t="shared" si="49"/>
        <v>43.1380778253382</v>
      </c>
      <c r="I30" s="101">
        <f t="shared" si="49"/>
        <v>40.956122943379754</v>
      </c>
      <c r="J30" s="101">
        <f t="shared" si="49"/>
        <v>52.186573880422436</v>
      </c>
      <c r="K30" s="101">
        <f t="shared" si="49"/>
        <v>47.197486615318951</v>
      </c>
      <c r="L30" s="101">
        <f>L22/L25*100</f>
        <v>45.822750018887263</v>
      </c>
      <c r="M30" s="101">
        <f>M22/M25*100</f>
        <v>40.855343163376325</v>
      </c>
      <c r="N30" s="246">
        <f>N22/N25*100</f>
        <v>36.057652304096024</v>
      </c>
      <c r="O30" s="246">
        <f>O22/O25*100</f>
        <v>31.683338291980867</v>
      </c>
      <c r="P30" s="246">
        <f>P22/P25*100</f>
        <v>43.443209599920884</v>
      </c>
      <c r="Q30" s="246">
        <f t="shared" ref="Q30:R30" si="50">Q22/Q25*100</f>
        <v>32.091188489535504</v>
      </c>
      <c r="R30" s="246">
        <f t="shared" si="50"/>
        <v>43.77606836191417</v>
      </c>
      <c r="S30" s="246">
        <f t="shared" ref="S30:T30" si="51">S22/S25*100</f>
        <v>39.541158517481307</v>
      </c>
      <c r="T30" s="246">
        <f t="shared" si="51"/>
        <v>37.772455428133334</v>
      </c>
      <c r="U30" s="142">
        <f t="shared" si="49"/>
        <v>40.415955136322395</v>
      </c>
      <c r="V30" s="143"/>
      <c r="W30" s="143"/>
      <c r="X30" s="143"/>
      <c r="Y30" s="143"/>
      <c r="Z30" s="143"/>
      <c r="AA30" s="143"/>
      <c r="AB30" s="101"/>
      <c r="AC30" s="101"/>
      <c r="AD30" s="101"/>
      <c r="AE30" s="101"/>
      <c r="AF30" s="101"/>
      <c r="AG30" s="101"/>
      <c r="AH30" s="101"/>
      <c r="AI30" s="101"/>
      <c r="AJ30" s="101"/>
      <c r="AK30" s="101"/>
      <c r="AL30" s="101"/>
      <c r="AM30" s="101"/>
      <c r="AN30" s="101"/>
    </row>
    <row r="31" spans="1:40" x14ac:dyDescent="0.2">
      <c r="A31" s="112" t="s">
        <v>350</v>
      </c>
      <c r="B31" s="79" t="s">
        <v>254</v>
      </c>
      <c r="C31" s="100">
        <f t="shared" ref="C31:U31" si="52">+C5/C14</f>
        <v>14256.585226376335</v>
      </c>
      <c r="D31" s="100">
        <f>+D5/D14</f>
        <v>16806.865369368803</v>
      </c>
      <c r="E31" s="100">
        <f t="shared" si="52"/>
        <v>15164.819136370706</v>
      </c>
      <c r="F31" s="100">
        <f t="shared" si="52"/>
        <v>12827.938953739524</v>
      </c>
      <c r="G31" s="100">
        <f t="shared" si="52"/>
        <v>14389.666068434486</v>
      </c>
      <c r="H31" s="100">
        <f t="shared" si="52"/>
        <v>14054.414580021878</v>
      </c>
      <c r="I31" s="100">
        <f t="shared" si="52"/>
        <v>13320.553227287051</v>
      </c>
      <c r="J31" s="100">
        <f t="shared" si="52"/>
        <v>13172.647683320149</v>
      </c>
      <c r="K31" s="100">
        <f t="shared" si="52"/>
        <v>13288.72783991112</v>
      </c>
      <c r="L31" s="100">
        <f>+L5/L14</f>
        <v>13374.492548878656</v>
      </c>
      <c r="M31" s="100">
        <f>+M5/M14</f>
        <v>13329.140450479716</v>
      </c>
      <c r="N31" s="248">
        <f>+N5/N14</f>
        <v>14754.441593716076</v>
      </c>
      <c r="O31" s="248">
        <f>+O5/O14</f>
        <v>14811.279378527339</v>
      </c>
      <c r="P31" s="248">
        <f>+P5/P14</f>
        <v>14262.411687854035</v>
      </c>
      <c r="Q31" s="248">
        <f t="shared" ref="Q31:R31" si="53">+Q5/Q14</f>
        <v>15365.253667925583</v>
      </c>
      <c r="R31" s="248">
        <f t="shared" si="53"/>
        <v>13687.176720852214</v>
      </c>
      <c r="S31" s="248">
        <f t="shared" ref="S31:T31" si="54">+S5/S14</f>
        <v>16094.202777112763</v>
      </c>
      <c r="T31" s="248">
        <f t="shared" si="54"/>
        <v>15162.155610681453</v>
      </c>
      <c r="U31" s="140">
        <f t="shared" si="52"/>
        <v>16654.892944701714</v>
      </c>
      <c r="V31" s="141"/>
      <c r="W31" s="141"/>
      <c r="X31" s="141"/>
      <c r="Y31" s="141"/>
      <c r="Z31" s="141"/>
      <c r="AA31" s="141"/>
      <c r="AB31" s="100"/>
      <c r="AC31" s="100"/>
      <c r="AD31" s="100"/>
      <c r="AE31" s="100"/>
      <c r="AF31" s="100"/>
      <c r="AG31" s="100"/>
      <c r="AH31" s="100"/>
      <c r="AI31" s="100"/>
      <c r="AJ31" s="100"/>
      <c r="AK31" s="100"/>
      <c r="AL31" s="100"/>
      <c r="AM31" s="100"/>
      <c r="AN31" s="100"/>
    </row>
    <row r="32" spans="1:40" x14ac:dyDescent="0.2">
      <c r="A32" s="112" t="s">
        <v>185</v>
      </c>
      <c r="B32" s="79" t="s">
        <v>254</v>
      </c>
      <c r="C32" s="100">
        <f>PL!K47</f>
        <v>80211.725160652306</v>
      </c>
      <c r="D32" s="100">
        <f>PL!L47</f>
        <v>98201.513213981249</v>
      </c>
      <c r="E32" s="100">
        <f>PL!M47</f>
        <v>83971.303673487389</v>
      </c>
      <c r="F32" s="100">
        <f>PL!N47</f>
        <v>85362.729767710145</v>
      </c>
      <c r="G32" s="100">
        <f>PL!O47</f>
        <v>76259.072636423647</v>
      </c>
      <c r="H32" s="100">
        <f>PL!P47</f>
        <v>88500.241430049398</v>
      </c>
      <c r="I32" s="100">
        <f>PL!Q47</f>
        <v>87932.049582930806</v>
      </c>
      <c r="J32" s="100">
        <f>PL!R47</f>
        <v>66941.244476116583</v>
      </c>
      <c r="K32" s="100">
        <f>PL!S47</f>
        <v>71458.905409387327</v>
      </c>
      <c r="L32" s="100">
        <f>PL!T47</f>
        <v>77021.811781065553</v>
      </c>
      <c r="M32" s="100">
        <f>PL!U47</f>
        <v>69510.304427645198</v>
      </c>
      <c r="N32" s="248">
        <f>PL!V47</f>
        <v>77270.38332064182</v>
      </c>
      <c r="O32" s="248">
        <f>PL!W47</f>
        <v>79365.106414770606</v>
      </c>
      <c r="P32" s="248">
        <f>PL!X47</f>
        <v>91170.264708581686</v>
      </c>
      <c r="Q32" s="248">
        <f>PL!Y47</f>
        <v>89794.266168461036</v>
      </c>
      <c r="R32" s="248">
        <f>PL!Z47</f>
        <v>86085.09306395911</v>
      </c>
      <c r="S32" s="248">
        <f>PL!AA47</f>
        <v>109442.12046741358</v>
      </c>
      <c r="T32" s="248">
        <f>PL!AB47</f>
        <v>96421.310118903202</v>
      </c>
      <c r="U32" s="140">
        <f>PL!AC47</f>
        <v>110811.72261016131</v>
      </c>
      <c r="V32" s="141"/>
      <c r="W32" s="141"/>
      <c r="X32" s="141"/>
      <c r="Y32" s="141"/>
      <c r="Z32" s="141"/>
      <c r="AA32" s="141"/>
      <c r="AB32" s="100"/>
      <c r="AC32" s="100"/>
      <c r="AD32" s="100"/>
      <c r="AE32" s="100"/>
      <c r="AF32" s="100"/>
      <c r="AG32" s="100"/>
      <c r="AH32" s="100"/>
      <c r="AI32" s="100"/>
      <c r="AJ32" s="100"/>
      <c r="AK32" s="100"/>
      <c r="AL32" s="100"/>
      <c r="AM32" s="100"/>
      <c r="AN32" s="100"/>
    </row>
    <row r="33" spans="1:40" x14ac:dyDescent="0.2">
      <c r="A33" s="112" t="s">
        <v>381</v>
      </c>
      <c r="B33" s="79" t="s">
        <v>117</v>
      </c>
      <c r="C33" s="101">
        <f t="shared" ref="C33:U33" si="55">+C32/C5*100</f>
        <v>44.88874691476569</v>
      </c>
      <c r="D33" s="101">
        <f t="shared" si="55"/>
        <v>43.04016156354956</v>
      </c>
      <c r="E33" s="101">
        <f t="shared" si="55"/>
        <v>45.260509144085958</v>
      </c>
      <c r="F33" s="101">
        <f t="shared" si="55"/>
        <v>50.993721051598499</v>
      </c>
      <c r="G33" s="101">
        <f t="shared" si="55"/>
        <v>44.007235881907917</v>
      </c>
      <c r="H33" s="101">
        <f t="shared" si="55"/>
        <v>49.75226087880197</v>
      </c>
      <c r="I33" s="101">
        <f t="shared" si="55"/>
        <v>51.207962099953377</v>
      </c>
      <c r="J33" s="101">
        <f t="shared" si="55"/>
        <v>44.696252510751322</v>
      </c>
      <c r="K33" s="101">
        <f t="shared" si="55"/>
        <v>45.482910731072415</v>
      </c>
      <c r="L33" s="101">
        <f>+L32/L5*100</f>
        <v>51.341568078575669</v>
      </c>
      <c r="M33" s="101">
        <f>+M32/M5*100</f>
        <v>46.315560742963271</v>
      </c>
      <c r="N33" s="246">
        <f>+N32/N5*100</f>
        <v>46.676241819765849</v>
      </c>
      <c r="O33" s="246">
        <f>+O32/O5*100</f>
        <v>45.0600135653794</v>
      </c>
      <c r="P33" s="246">
        <f>+P32/P5*100</f>
        <v>53.982960876507526</v>
      </c>
      <c r="Q33" s="246">
        <f t="shared" ref="Q33:R33" si="56">+Q32/Q5*100</f>
        <v>48.063998723186259</v>
      </c>
      <c r="R33" s="246">
        <f t="shared" si="56"/>
        <v>52.347534319430224</v>
      </c>
      <c r="S33" s="246">
        <f t="shared" ref="S33:T33" si="57">+S32/S5*100</f>
        <v>51.97657051545945</v>
      </c>
      <c r="T33" s="246">
        <f t="shared" si="57"/>
        <v>50.988554242830794</v>
      </c>
      <c r="U33" s="142">
        <f t="shared" si="55"/>
        <v>53.764222741364939</v>
      </c>
      <c r="V33" s="143"/>
      <c r="W33" s="143"/>
      <c r="X33" s="143"/>
      <c r="Y33" s="143"/>
      <c r="Z33" s="143"/>
      <c r="AA33" s="143"/>
      <c r="AB33" s="101"/>
      <c r="AC33" s="101"/>
      <c r="AD33" s="101"/>
      <c r="AE33" s="101"/>
      <c r="AF33" s="101"/>
      <c r="AG33" s="101"/>
      <c r="AH33" s="101"/>
      <c r="AI33" s="101"/>
      <c r="AJ33" s="101"/>
      <c r="AK33" s="101"/>
      <c r="AL33" s="101"/>
      <c r="AM33" s="101"/>
      <c r="AN33" s="101"/>
    </row>
    <row r="34" spans="1:40" x14ac:dyDescent="0.2">
      <c r="A34" s="112" t="s">
        <v>351</v>
      </c>
      <c r="B34" s="79" t="s">
        <v>175</v>
      </c>
      <c r="C34" s="103">
        <f t="shared" ref="C34:U34" si="58">+C8/C32*100</f>
        <v>51.467446017805706</v>
      </c>
      <c r="D34" s="103">
        <f>+D8/D32*100</f>
        <v>59.045406354480569</v>
      </c>
      <c r="E34" s="103">
        <f t="shared" si="58"/>
        <v>58.729174570705766</v>
      </c>
      <c r="F34" s="103">
        <f t="shared" si="58"/>
        <v>55.134190588931197</v>
      </c>
      <c r="G34" s="103">
        <f t="shared" si="58"/>
        <v>58.747906308767881</v>
      </c>
      <c r="H34" s="103">
        <f t="shared" si="58"/>
        <v>49.830599602188904</v>
      </c>
      <c r="I34" s="103">
        <f t="shared" si="58"/>
        <v>55.700088201089038</v>
      </c>
      <c r="J34" s="103">
        <f t="shared" si="58"/>
        <v>60.093995710700142</v>
      </c>
      <c r="K34" s="103">
        <f t="shared" si="58"/>
        <v>54.375586501627296</v>
      </c>
      <c r="L34" s="103">
        <f>+L8/L32*100</f>
        <v>58.756249298949626</v>
      </c>
      <c r="M34" s="103">
        <f>+M8/M32*100</f>
        <v>51.818549933239531</v>
      </c>
      <c r="N34" s="249">
        <f>+N8/N32*100</f>
        <v>52.94947481719268</v>
      </c>
      <c r="O34" s="249">
        <f>+O8/O32*100</f>
        <v>50.486834114086534</v>
      </c>
      <c r="P34" s="249">
        <f>+P8/P32*100</f>
        <v>51.392540818382628</v>
      </c>
      <c r="Q34" s="249">
        <f t="shared" ref="Q34:R34" si="59">+Q8/Q32*100</f>
        <v>49.234146706537452</v>
      </c>
      <c r="R34" s="249">
        <f t="shared" si="59"/>
        <v>53.214609853638869</v>
      </c>
      <c r="S34" s="249">
        <f t="shared" ref="S34:T34" si="60">+S8/S32*100</f>
        <v>44.829755907566657</v>
      </c>
      <c r="T34" s="249">
        <f t="shared" si="60"/>
        <v>48.747411298588958</v>
      </c>
      <c r="U34" s="146">
        <f t="shared" si="58"/>
        <v>44.269897026144342</v>
      </c>
      <c r="V34" s="147"/>
      <c r="W34" s="147"/>
      <c r="X34" s="147"/>
      <c r="Y34" s="147"/>
      <c r="Z34" s="147"/>
      <c r="AA34" s="147"/>
      <c r="AB34" s="103"/>
      <c r="AC34" s="103"/>
      <c r="AD34" s="103"/>
      <c r="AE34" s="103"/>
      <c r="AF34" s="103"/>
      <c r="AG34" s="103"/>
      <c r="AH34" s="103"/>
      <c r="AI34" s="103"/>
      <c r="AJ34" s="103"/>
      <c r="AK34" s="103"/>
      <c r="AL34" s="103"/>
      <c r="AM34" s="103"/>
      <c r="AN34" s="103"/>
    </row>
    <row r="35" spans="1:40" ht="12.6" thickBot="1" x14ac:dyDescent="0.25">
      <c r="A35" s="148" t="s">
        <v>382</v>
      </c>
      <c r="B35" s="149" t="s">
        <v>254</v>
      </c>
      <c r="C35" s="150">
        <f t="shared" ref="C35:U35" si="61">+C32/C14</f>
        <v>6399.6024609559481</v>
      </c>
      <c r="D35" s="150">
        <f>+D32/D14</f>
        <v>7233.7020087445935</v>
      </c>
      <c r="E35" s="150">
        <f t="shared" si="61"/>
        <v>6863.6743519011607</v>
      </c>
      <c r="F35" s="150">
        <f t="shared" si="61"/>
        <v>6541.4434067392749</v>
      </c>
      <c r="G35" s="150">
        <f t="shared" si="61"/>
        <v>6332.4942893548296</v>
      </c>
      <c r="H35" s="150">
        <f t="shared" si="61"/>
        <v>6992.3890068408637</v>
      </c>
      <c r="I35" s="150">
        <f t="shared" si="61"/>
        <v>6821.1838481332688</v>
      </c>
      <c r="J35" s="150">
        <f t="shared" si="61"/>
        <v>5887.679870888408</v>
      </c>
      <c r="K35" s="150">
        <f t="shared" si="61"/>
        <v>6044.1002207219426</v>
      </c>
      <c r="L35" s="150">
        <f>+L32/L14</f>
        <v>6866.6741971465653</v>
      </c>
      <c r="M35" s="150">
        <f>+M32/M14</f>
        <v>6173.4661418568203</v>
      </c>
      <c r="N35" s="250">
        <f>+N32/N14</f>
        <v>6886.8188374390302</v>
      </c>
      <c r="O35" s="250">
        <f>+O32/O14</f>
        <v>6673.9644971706612</v>
      </c>
      <c r="P35" s="250">
        <f>+P32/P14</f>
        <v>7699.2721215006804</v>
      </c>
      <c r="Q35" s="250">
        <f t="shared" ref="Q35:R35" si="62">+Q32/Q14</f>
        <v>7385.155326766082</v>
      </c>
      <c r="R35" s="250">
        <f t="shared" si="62"/>
        <v>7164.8995313091764</v>
      </c>
      <c r="S35" s="250">
        <f t="shared" ref="S35:T35" si="63">+S32/S14</f>
        <v>8365.2146553470484</v>
      </c>
      <c r="T35" s="250">
        <f t="shared" si="63"/>
        <v>7730.9639379347254</v>
      </c>
      <c r="U35" s="151">
        <f t="shared" si="61"/>
        <v>8954.3737401253038</v>
      </c>
      <c r="V35" s="152"/>
      <c r="W35" s="152"/>
      <c r="X35" s="152"/>
      <c r="Y35" s="152"/>
      <c r="Z35" s="152"/>
      <c r="AA35" s="152"/>
      <c r="AB35" s="92"/>
      <c r="AC35" s="92"/>
      <c r="AD35" s="92"/>
      <c r="AE35" s="92"/>
      <c r="AF35" s="92"/>
      <c r="AG35" s="92"/>
      <c r="AH35" s="92"/>
      <c r="AI35" s="92"/>
      <c r="AJ35" s="92"/>
      <c r="AK35" s="92"/>
      <c r="AL35" s="92"/>
      <c r="AM35" s="92"/>
      <c r="AN35" s="92"/>
    </row>
    <row r="36" spans="1:40"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0"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0"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0"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0"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0"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0"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0"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0"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0"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0"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0"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0"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582</v>
      </c>
    </row>
  </sheetData>
  <sheetProtection algorithmName="SHA-512" hashValue="hxpJaBtUwuYw6URTGoFcTTAy+ikVRFxeF0zbzWEXgn+gt9+YN0KNglt+0oNtphbj7XTjMXaoAcjI6/HfnNN10w==" saltValue="xDJXuKkimSGIlmfwcZJOHg=="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T82"/>
  <sheetViews>
    <sheetView zoomScaleNormal="100" workbookViewId="0">
      <pane xSplit="3" ySplit="4" topLeftCell="D5" activePane="bottomRight" state="frozen"/>
      <selection pane="topRight" activeCell="D1" sqref="D1"/>
      <selection pane="bottomLeft" activeCell="A5" sqref="A5"/>
      <selection pane="bottomRight"/>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s>
  <sheetData>
    <row r="1" spans="1:98"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row>
    <row r="2" spans="1:98" ht="19.5" customHeight="1" x14ac:dyDescent="0.2">
      <c r="B2" s="104" t="str">
        <f>BS!A2</f>
        <v>１３　家具・装備品製造業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row>
    <row r="3" spans="1:98"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row>
    <row r="4" spans="1:98"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579</v>
      </c>
      <c r="CL4" s="319"/>
      <c r="CM4" s="319"/>
      <c r="CN4" s="319"/>
      <c r="CO4" s="319"/>
      <c r="CP4" s="319" t="s">
        <v>583</v>
      </c>
      <c r="CQ4" s="319"/>
      <c r="CR4" s="319"/>
      <c r="CS4" s="319"/>
      <c r="CT4" s="319"/>
    </row>
    <row r="5" spans="1:98"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row>
    <row r="6" spans="1:98" ht="18" customHeight="1" x14ac:dyDescent="0.2">
      <c r="A6" s="9"/>
      <c r="B6" s="320" t="s">
        <v>109</v>
      </c>
      <c r="C6" s="322" t="s">
        <v>110</v>
      </c>
      <c r="D6" s="304"/>
      <c r="E6" s="10">
        <f>+PL!K38</f>
        <v>262.13049925852704</v>
      </c>
      <c r="F6" s="306" t="s">
        <v>111</v>
      </c>
      <c r="G6" s="308">
        <v>100</v>
      </c>
      <c r="H6" s="310">
        <f>IF(E7=0,"-",(E6/E7)*G6)</f>
        <v>0.1523845922852225</v>
      </c>
      <c r="I6" s="304"/>
      <c r="J6" s="10">
        <f>+PL!L38</f>
        <v>-3023.0179028132989</v>
      </c>
      <c r="K6" s="306" t="s">
        <v>111</v>
      </c>
      <c r="L6" s="308">
        <v>100</v>
      </c>
      <c r="M6" s="310">
        <f>IF(J7=0,"-",(J6/J7)*L6)</f>
        <v>-1.4229284698553144</v>
      </c>
      <c r="N6" s="304"/>
      <c r="O6" s="10">
        <f>+PL!M38</f>
        <v>-894.82432958880952</v>
      </c>
      <c r="P6" s="306" t="s">
        <v>111</v>
      </c>
      <c r="Q6" s="308">
        <v>100</v>
      </c>
      <c r="R6" s="310">
        <f>IF(O7=0,"-",(O6/O7)*Q6)</f>
        <v>-0.57887420300027326</v>
      </c>
      <c r="S6" s="304"/>
      <c r="T6" s="10">
        <f>+PL!N38</f>
        <v>2394.2914137799667</v>
      </c>
      <c r="U6" s="306" t="s">
        <v>111</v>
      </c>
      <c r="V6" s="308">
        <v>100</v>
      </c>
      <c r="W6" s="310">
        <f>IF(T7=0,"-",(T6/T7)*V6)</f>
        <v>1.3938543184401551</v>
      </c>
      <c r="X6" s="304"/>
      <c r="Y6" s="10">
        <f>+PL!O38</f>
        <v>-71.154623444265027</v>
      </c>
      <c r="Z6" s="306" t="s">
        <v>111</v>
      </c>
      <c r="AA6" s="308">
        <v>100</v>
      </c>
      <c r="AB6" s="310">
        <f>IF(Y7=0,"-",(Y6/Y7)*AA6)</f>
        <v>-4.3623168631572902E-2</v>
      </c>
      <c r="AC6" s="304"/>
      <c r="AD6" s="10">
        <f>+PL!P38</f>
        <v>-1020.8177197785333</v>
      </c>
      <c r="AE6" s="306" t="s">
        <v>111</v>
      </c>
      <c r="AF6" s="308">
        <v>100</v>
      </c>
      <c r="AG6" s="310">
        <f>IF(AD7=0,"-",(AD6/AD7)*AF6)</f>
        <v>-0.51052602779799483</v>
      </c>
      <c r="AH6" s="304"/>
      <c r="AI6" s="10">
        <f>+PL!Q38</f>
        <v>-3410.8637068218663</v>
      </c>
      <c r="AJ6" s="306" t="s">
        <v>111</v>
      </c>
      <c r="AK6" s="308">
        <v>100</v>
      </c>
      <c r="AL6" s="310">
        <f>IF(AI7=0,"-",(AI6/AI7)*AK6)</f>
        <v>-1.4346832698534888</v>
      </c>
      <c r="AM6" s="304"/>
      <c r="AN6" s="10">
        <f>+PL!R38</f>
        <v>-1787.6439813067707</v>
      </c>
      <c r="AO6" s="306" t="s">
        <v>112</v>
      </c>
      <c r="AP6" s="308">
        <v>100</v>
      </c>
      <c r="AQ6" s="310">
        <f>IF(AN7=0,"-",(AN6/AN7)*AP6)</f>
        <v>-1.1322123177417047</v>
      </c>
      <c r="AR6" s="304"/>
      <c r="AS6" s="10">
        <f>+PL!S38</f>
        <v>2387.6276188729912</v>
      </c>
      <c r="AT6" s="306" t="s">
        <v>111</v>
      </c>
      <c r="AU6" s="308">
        <v>100</v>
      </c>
      <c r="AV6" s="310">
        <f>IF(AS7=0,"-",(AS6/AS7)*AU6)</f>
        <v>1.5639272365924808</v>
      </c>
      <c r="AW6" s="304"/>
      <c r="AX6" s="10">
        <f>+PL!T38</f>
        <v>815.09272825836979</v>
      </c>
      <c r="AY6" s="306" t="s">
        <v>111</v>
      </c>
      <c r="AZ6" s="308">
        <v>100</v>
      </c>
      <c r="BA6" s="310">
        <f>IF(AX7=0,"-",(AX6/AX7)*AZ6)</f>
        <v>0.60778713572163723</v>
      </c>
      <c r="BB6" s="304"/>
      <c r="BC6" s="10">
        <f>+PL!U38</f>
        <v>1660.7831953967716</v>
      </c>
      <c r="BD6" s="306" t="s">
        <v>111</v>
      </c>
      <c r="BE6" s="308">
        <v>100</v>
      </c>
      <c r="BF6" s="310">
        <f>IF(BC7=0,"-",(BC6/BC7)*BE6)</f>
        <v>1.2117828099379355</v>
      </c>
      <c r="BG6" s="304"/>
      <c r="BH6" s="10">
        <f>+PL!V38</f>
        <v>4853.7789577215972</v>
      </c>
      <c r="BI6" s="306" t="s">
        <v>111</v>
      </c>
      <c r="BJ6" s="308">
        <v>100</v>
      </c>
      <c r="BK6" s="310">
        <f>IF(BH7=0,"-",(BH6/BH7)*BJ6)</f>
        <v>2.6491637180039942</v>
      </c>
      <c r="BL6" s="304"/>
      <c r="BM6" s="10">
        <f>+PL!W38</f>
        <v>4284.6193742702008</v>
      </c>
      <c r="BN6" s="306" t="s">
        <v>111</v>
      </c>
      <c r="BO6" s="308">
        <v>100</v>
      </c>
      <c r="BP6" s="310">
        <f>IF(BM7=0,"-",(BM6/BM7)*BO6)</f>
        <v>2.2468500584989339</v>
      </c>
      <c r="BQ6" s="304"/>
      <c r="BR6" s="10">
        <f>+PL!X38</f>
        <v>2672.0849068085427</v>
      </c>
      <c r="BS6" s="306" t="s">
        <v>111</v>
      </c>
      <c r="BT6" s="308">
        <v>100</v>
      </c>
      <c r="BU6" s="310">
        <f>IF(BR7=0,"-",(BR6/BR7)*BT6)</f>
        <v>1.755722520307857</v>
      </c>
      <c r="BV6" s="304"/>
      <c r="BW6" s="10">
        <f>+PL!Y38</f>
        <v>3426.7410584693539</v>
      </c>
      <c r="BX6" s="306" t="s">
        <v>111</v>
      </c>
      <c r="BY6" s="308">
        <v>100</v>
      </c>
      <c r="BZ6" s="310">
        <f>IF(BW7=0,"-",(BW6/BW7)*BY6)</f>
        <v>1.7633971877035712</v>
      </c>
      <c r="CA6" s="304"/>
      <c r="CB6" s="10">
        <f>+PL!Z38</f>
        <v>2247.6164599016452</v>
      </c>
      <c r="CC6" s="306" t="s">
        <v>111</v>
      </c>
      <c r="CD6" s="308">
        <v>100</v>
      </c>
      <c r="CE6" s="310">
        <f>IF(CB7=0,"-",(CB6/CB7)*CD6)</f>
        <v>1.3674253571781452</v>
      </c>
      <c r="CF6" s="304"/>
      <c r="CG6" s="10">
        <f>+PL!AA38</f>
        <v>3683.5410191543187</v>
      </c>
      <c r="CH6" s="306" t="s">
        <v>111</v>
      </c>
      <c r="CI6" s="308">
        <v>100</v>
      </c>
      <c r="CJ6" s="310">
        <f>IF(CG7=0,"-",(CG6/CG7)*CI6)</f>
        <v>1.8236324222647755</v>
      </c>
      <c r="CK6" s="304"/>
      <c r="CL6" s="10">
        <f>+PL!AB38</f>
        <v>98201.491992234907</v>
      </c>
      <c r="CM6" s="306" t="s">
        <v>111</v>
      </c>
      <c r="CN6" s="308">
        <v>100</v>
      </c>
      <c r="CO6" s="310">
        <f>IF(CL7=0,"-",(CL6/CL7)*CN6)</f>
        <v>50.228888850812417</v>
      </c>
      <c r="CP6" s="304"/>
      <c r="CQ6" s="10">
        <f>+PL!AC38</f>
        <v>2690.3723814110281</v>
      </c>
      <c r="CR6" s="306" t="s">
        <v>111</v>
      </c>
      <c r="CS6" s="308">
        <v>100</v>
      </c>
      <c r="CT6" s="310">
        <f>IF(CQ7=0,"-",(CQ6/CQ7)*CS6)</f>
        <v>1.504664605901862</v>
      </c>
    </row>
    <row r="7" spans="1:98" ht="18" customHeight="1" x14ac:dyDescent="0.2">
      <c r="A7" s="11"/>
      <c r="B7" s="321"/>
      <c r="C7" s="323"/>
      <c r="D7" s="305"/>
      <c r="E7" s="12">
        <f>+BS!K8</f>
        <v>172019.03114186903</v>
      </c>
      <c r="F7" s="307"/>
      <c r="G7" s="309"/>
      <c r="H7" s="311"/>
      <c r="I7" s="305"/>
      <c r="J7" s="12">
        <f>+BS!L8</f>
        <v>212450.44757033247</v>
      </c>
      <c r="K7" s="307"/>
      <c r="L7" s="309"/>
      <c r="M7" s="311"/>
      <c r="N7" s="305"/>
      <c r="O7" s="12">
        <f>+BS!M8</f>
        <v>154580.10133306755</v>
      </c>
      <c r="P7" s="307"/>
      <c r="Q7" s="309"/>
      <c r="R7" s="311"/>
      <c r="S7" s="305"/>
      <c r="T7" s="12">
        <f>+BS!N8</f>
        <v>171774.86786850065</v>
      </c>
      <c r="U7" s="307"/>
      <c r="V7" s="309"/>
      <c r="W7" s="311"/>
      <c r="X7" s="305"/>
      <c r="Y7" s="12">
        <f>+BS!O8</f>
        <v>163112.00143486558</v>
      </c>
      <c r="Z7" s="307"/>
      <c r="AA7" s="309"/>
      <c r="AB7" s="311"/>
      <c r="AC7" s="305"/>
      <c r="AD7" s="12">
        <f>+BS!P8</f>
        <v>199954.09914388359</v>
      </c>
      <c r="AE7" s="307"/>
      <c r="AF7" s="309"/>
      <c r="AG7" s="311"/>
      <c r="AH7" s="305"/>
      <c r="AI7" s="12">
        <f>+BS!Q8</f>
        <v>237743.32485038225</v>
      </c>
      <c r="AJ7" s="307"/>
      <c r="AK7" s="309"/>
      <c r="AL7" s="311"/>
      <c r="AM7" s="305"/>
      <c r="AN7" s="12">
        <f>+BS!R8</f>
        <v>157889.46589738407</v>
      </c>
      <c r="AO7" s="307"/>
      <c r="AP7" s="309"/>
      <c r="AQ7" s="311"/>
      <c r="AR7" s="305"/>
      <c r="AS7" s="12">
        <f>+BS!S8</f>
        <v>152668.71520667465</v>
      </c>
      <c r="AT7" s="307"/>
      <c r="AU7" s="309"/>
      <c r="AV7" s="311"/>
      <c r="AW7" s="305"/>
      <c r="AX7" s="12">
        <f>+BS!T8</f>
        <v>134108.25605754138</v>
      </c>
      <c r="AY7" s="307"/>
      <c r="AZ7" s="309"/>
      <c r="BA7" s="311"/>
      <c r="BB7" s="305"/>
      <c r="BC7" s="12">
        <f>+BS!U8</f>
        <v>137052.87628909614</v>
      </c>
      <c r="BD7" s="307"/>
      <c r="BE7" s="309"/>
      <c r="BF7" s="311"/>
      <c r="BG7" s="305"/>
      <c r="BH7" s="12">
        <f>+BS!V8</f>
        <v>183219.29010029871</v>
      </c>
      <c r="BI7" s="307"/>
      <c r="BJ7" s="309"/>
      <c r="BK7" s="311"/>
      <c r="BL7" s="305"/>
      <c r="BM7" s="12">
        <f>+BS!W8</f>
        <v>190694.49508048844</v>
      </c>
      <c r="BN7" s="307"/>
      <c r="BO7" s="309"/>
      <c r="BP7" s="311"/>
      <c r="BQ7" s="305"/>
      <c r="BR7" s="12">
        <f>+BS!X8</f>
        <v>152192.89357523341</v>
      </c>
      <c r="BS7" s="307"/>
      <c r="BT7" s="309"/>
      <c r="BU7" s="311"/>
      <c r="BV7" s="305"/>
      <c r="BW7" s="12">
        <f>+BS!Y8</f>
        <v>194326.10431526855</v>
      </c>
      <c r="BX7" s="307"/>
      <c r="BY7" s="309"/>
      <c r="BZ7" s="311"/>
      <c r="CA7" s="305"/>
      <c r="CB7" s="12">
        <f>+BS!Z8</f>
        <v>164368.49354175248</v>
      </c>
      <c r="CC7" s="307"/>
      <c r="CD7" s="309"/>
      <c r="CE7" s="311"/>
      <c r="CF7" s="305"/>
      <c r="CG7" s="12">
        <f>+BS!AA8</f>
        <v>201989.22623780268</v>
      </c>
      <c r="CH7" s="307"/>
      <c r="CI7" s="309"/>
      <c r="CJ7" s="311"/>
      <c r="CK7" s="305"/>
      <c r="CL7" s="12">
        <f>+BS!AB8</f>
        <v>195507.99199223489</v>
      </c>
      <c r="CM7" s="307"/>
      <c r="CN7" s="309"/>
      <c r="CO7" s="311"/>
      <c r="CP7" s="305"/>
      <c r="CQ7" s="12">
        <f>+BS!AC8</f>
        <v>178802.13111004094</v>
      </c>
      <c r="CR7" s="307"/>
      <c r="CS7" s="309"/>
      <c r="CT7" s="311"/>
    </row>
    <row r="8" spans="1:98" ht="18" customHeight="1" x14ac:dyDescent="0.2">
      <c r="A8" s="11"/>
      <c r="B8" s="320" t="s">
        <v>113</v>
      </c>
      <c r="C8" s="322" t="s">
        <v>110</v>
      </c>
      <c r="D8" s="304"/>
      <c r="E8" s="10">
        <f>+E6</f>
        <v>262.13049925852704</v>
      </c>
      <c r="F8" s="306" t="s">
        <v>114</v>
      </c>
      <c r="G8" s="308">
        <v>100</v>
      </c>
      <c r="H8" s="310">
        <f>IF(E9=0,"-",(E8/E9)*G8)</f>
        <v>0.50915619906721798</v>
      </c>
      <c r="I8" s="304"/>
      <c r="J8" s="10">
        <f>+J6</f>
        <v>-3023.0179028132989</v>
      </c>
      <c r="K8" s="306" t="s">
        <v>111</v>
      </c>
      <c r="L8" s="308">
        <v>100</v>
      </c>
      <c r="M8" s="310">
        <f>IF(J9=0,"-",(J8/J9)*L8)</f>
        <v>-6.1062261206479036</v>
      </c>
      <c r="N8" s="304"/>
      <c r="O8" s="10">
        <f>+O6</f>
        <v>-894.82432958880952</v>
      </c>
      <c r="P8" s="306" t="s">
        <v>111</v>
      </c>
      <c r="Q8" s="308">
        <v>100</v>
      </c>
      <c r="R8" s="310">
        <f>IF(O9=0,"-",(O8/O9)*Q8)</f>
        <v>-1.8374825475221512</v>
      </c>
      <c r="S8" s="304"/>
      <c r="T8" s="10">
        <f>+T6</f>
        <v>2394.2914137799667</v>
      </c>
      <c r="U8" s="306" t="s">
        <v>111</v>
      </c>
      <c r="V8" s="308">
        <v>100</v>
      </c>
      <c r="W8" s="310">
        <f>IF(T9=0,"-",(T8/T9)*V8)</f>
        <v>3.6298125514713591</v>
      </c>
      <c r="X8" s="304"/>
      <c r="Y8" s="10">
        <f>+Y6</f>
        <v>-71.154623444265027</v>
      </c>
      <c r="Z8" s="306" t="s">
        <v>111</v>
      </c>
      <c r="AA8" s="308">
        <v>100</v>
      </c>
      <c r="AB8" s="310">
        <f>IF(Y9=0,"-",(Y8/Y9)*AA8)</f>
        <v>-0.14163930796685004</v>
      </c>
      <c r="AC8" s="304"/>
      <c r="AD8" s="10">
        <f>+AD6</f>
        <v>-1020.8177197785333</v>
      </c>
      <c r="AE8" s="306" t="s">
        <v>111</v>
      </c>
      <c r="AF8" s="308">
        <v>100</v>
      </c>
      <c r="AG8" s="310">
        <f>IF(AD9=0,"-",(AD8/AD9)*AF8)</f>
        <v>-1.5446991879464511</v>
      </c>
      <c r="AH8" s="304"/>
      <c r="AI8" s="10">
        <f>+AI6</f>
        <v>-3410.8637068218663</v>
      </c>
      <c r="AJ8" s="306" t="s">
        <v>114</v>
      </c>
      <c r="AK8" s="308">
        <v>100</v>
      </c>
      <c r="AL8" s="310">
        <f>IF(AI9=0,"-",(AI8/AI9)*AK8)</f>
        <v>-3.9686704999318931</v>
      </c>
      <c r="AM8" s="304"/>
      <c r="AN8" s="10">
        <f>+AN6</f>
        <v>-1787.6439813067707</v>
      </c>
      <c r="AO8" s="306" t="s">
        <v>114</v>
      </c>
      <c r="AP8" s="308">
        <v>100</v>
      </c>
      <c r="AQ8" s="310">
        <f>IF(AN9=0,"-",(AN8/AN9)*AP8)</f>
        <v>-5.5947310115548881</v>
      </c>
      <c r="AR8" s="304"/>
      <c r="AS8" s="10">
        <f>+AS6</f>
        <v>2387.6276188729912</v>
      </c>
      <c r="AT8" s="306" t="s">
        <v>111</v>
      </c>
      <c r="AU8" s="308">
        <v>100</v>
      </c>
      <c r="AV8" s="310">
        <f>IF(AS9=0,"-",(AS8/AS9)*AU8)</f>
        <v>5.2263733320284711</v>
      </c>
      <c r="AW8" s="304"/>
      <c r="AX8" s="10">
        <f>+AX6</f>
        <v>815.09272825836979</v>
      </c>
      <c r="AY8" s="306" t="s">
        <v>111</v>
      </c>
      <c r="AZ8" s="308">
        <v>100</v>
      </c>
      <c r="BA8" s="310">
        <f>IF(AX9=0,"-",(AX8/AX9)*AZ8)</f>
        <v>1.6903252972209288</v>
      </c>
      <c r="BB8" s="304"/>
      <c r="BC8" s="10">
        <f>+BC6</f>
        <v>1660.7831953967716</v>
      </c>
      <c r="BD8" s="306" t="s">
        <v>111</v>
      </c>
      <c r="BE8" s="308">
        <v>100</v>
      </c>
      <c r="BF8" s="310">
        <f>IF(BC9=0,"-",(BC8/BC9)*BE8)</f>
        <v>3.5656494691168583</v>
      </c>
      <c r="BG8" s="304"/>
      <c r="BH8" s="10">
        <f>+BH6</f>
        <v>4853.7789577215972</v>
      </c>
      <c r="BI8" s="306" t="s">
        <v>111</v>
      </c>
      <c r="BJ8" s="308">
        <v>100</v>
      </c>
      <c r="BK8" s="310">
        <f>IF(BH9=0,"-",(BH8/BH9)*BJ8)</f>
        <v>6.0207656632310238</v>
      </c>
      <c r="BL8" s="304"/>
      <c r="BM8" s="10">
        <f>+BM6</f>
        <v>4284.6193742702008</v>
      </c>
      <c r="BN8" s="306" t="s">
        <v>111</v>
      </c>
      <c r="BO8" s="308">
        <v>100</v>
      </c>
      <c r="BP8" s="310">
        <f>IF(BM9=0,"-",(BM8/BM9)*BO8)</f>
        <v>4.9774161136083812</v>
      </c>
      <c r="BQ8" s="304"/>
      <c r="BR8" s="10">
        <f>+BR6</f>
        <v>2672.0849068085427</v>
      </c>
      <c r="BS8" s="306" t="s">
        <v>111</v>
      </c>
      <c r="BT8" s="308">
        <v>100</v>
      </c>
      <c r="BU8" s="310">
        <f>IF(BR9=0,"-",(BR8/BR9)*BT8)</f>
        <v>5.0375975488021325</v>
      </c>
      <c r="BV8" s="304"/>
      <c r="BW8" s="10">
        <f>+BW6</f>
        <v>3426.7410584693539</v>
      </c>
      <c r="BX8" s="306" t="s">
        <v>111</v>
      </c>
      <c r="BY8" s="308">
        <v>100</v>
      </c>
      <c r="BZ8" s="310">
        <f>IF(BW9=0,"-",(BW8/BW9)*BY8)</f>
        <v>3.8120129409673131</v>
      </c>
      <c r="CA8" s="304"/>
      <c r="CB8" s="10">
        <f>+CB6</f>
        <v>2247.6164599016452</v>
      </c>
      <c r="CC8" s="306" t="s">
        <v>111</v>
      </c>
      <c r="CD8" s="308">
        <v>100</v>
      </c>
      <c r="CE8" s="310">
        <f>IF(CB9=0,"-",(CB8/CB9)*CD8)</f>
        <v>3.8091910581993642</v>
      </c>
      <c r="CF8" s="304"/>
      <c r="CG8" s="10">
        <f>+CG6</f>
        <v>3683.5410191543187</v>
      </c>
      <c r="CH8" s="306" t="s">
        <v>114</v>
      </c>
      <c r="CI8" s="308">
        <v>100</v>
      </c>
      <c r="CJ8" s="310">
        <f>IF(CG9=0,"-",(CG8/CG9)*CI8)</f>
        <v>4.7372666409152426</v>
      </c>
      <c r="CK8" s="304"/>
      <c r="CL8" s="10">
        <f>+CL6</f>
        <v>98201.491992234907</v>
      </c>
      <c r="CM8" s="306" t="s">
        <v>111</v>
      </c>
      <c r="CN8" s="308">
        <v>100</v>
      </c>
      <c r="CO8" s="310">
        <f>IF(CL9=0,"-",(CL8/CL9)*CN8)</f>
        <v>116.1317633913894</v>
      </c>
      <c r="CP8" s="304"/>
      <c r="CQ8" s="10">
        <f>+CQ6</f>
        <v>2690.3723814110281</v>
      </c>
      <c r="CR8" s="306" t="s">
        <v>111</v>
      </c>
      <c r="CS8" s="308">
        <v>100</v>
      </c>
      <c r="CT8" s="310">
        <f>IF(CQ9=0,"-",(CQ8/CQ9)*CS8)</f>
        <v>4.0765580863591708</v>
      </c>
    </row>
    <row r="9" spans="1:98" ht="18" customHeight="1" x14ac:dyDescent="0.2">
      <c r="A9" s="11"/>
      <c r="B9" s="321"/>
      <c r="C9" s="323"/>
      <c r="D9" s="305"/>
      <c r="E9" s="12">
        <f>+BS!K43</f>
        <v>51483.316856154197</v>
      </c>
      <c r="F9" s="307"/>
      <c r="G9" s="309"/>
      <c r="H9" s="311"/>
      <c r="I9" s="305"/>
      <c r="J9" s="12">
        <f>+BS!L43</f>
        <v>49507.139812446716</v>
      </c>
      <c r="K9" s="307"/>
      <c r="L9" s="309"/>
      <c r="M9" s="311"/>
      <c r="N9" s="305"/>
      <c r="O9" s="12">
        <f>+BS!M43</f>
        <v>48698.385233398913</v>
      </c>
      <c r="P9" s="307"/>
      <c r="Q9" s="309"/>
      <c r="R9" s="311"/>
      <c r="S9" s="305"/>
      <c r="T9" s="12">
        <f>+BS!N43</f>
        <v>65961.847335874991</v>
      </c>
      <c r="U9" s="307"/>
      <c r="V9" s="309"/>
      <c r="W9" s="311"/>
      <c r="X9" s="305"/>
      <c r="Y9" s="12">
        <f>+BS!O43</f>
        <v>50236.49470309358</v>
      </c>
      <c r="Z9" s="307"/>
      <c r="AA9" s="309"/>
      <c r="AB9" s="311"/>
      <c r="AC9" s="305"/>
      <c r="AD9" s="12">
        <f>+BS!P43</f>
        <v>66085.211136520724</v>
      </c>
      <c r="AE9" s="307"/>
      <c r="AF9" s="309"/>
      <c r="AG9" s="311"/>
      <c r="AH9" s="305"/>
      <c r="AI9" s="12">
        <f>+BS!Q43</f>
        <v>85944.744137372982</v>
      </c>
      <c r="AJ9" s="307"/>
      <c r="AK9" s="309"/>
      <c r="AL9" s="311"/>
      <c r="AM9" s="305"/>
      <c r="AN9" s="12">
        <f>+BS!R43</f>
        <v>31952.277555698762</v>
      </c>
      <c r="AO9" s="307"/>
      <c r="AP9" s="309"/>
      <c r="AQ9" s="311"/>
      <c r="AR9" s="305"/>
      <c r="AS9" s="12">
        <f>+BS!S43</f>
        <v>45684.214792713632</v>
      </c>
      <c r="AT9" s="307"/>
      <c r="AU9" s="309"/>
      <c r="AV9" s="311"/>
      <c r="AW9" s="305"/>
      <c r="AX9" s="12">
        <f>+BS!T43</f>
        <v>48221.057189315405</v>
      </c>
      <c r="AY9" s="307"/>
      <c r="AZ9" s="309"/>
      <c r="BA9" s="311"/>
      <c r="BB9" s="305"/>
      <c r="BC9" s="12">
        <f>+BS!U43</f>
        <v>46577.298463612438</v>
      </c>
      <c r="BD9" s="307"/>
      <c r="BE9" s="309"/>
      <c r="BF9" s="311"/>
      <c r="BG9" s="305"/>
      <c r="BH9" s="12">
        <f>+BS!V43</f>
        <v>80617.303997791416</v>
      </c>
      <c r="BI9" s="307"/>
      <c r="BJ9" s="309"/>
      <c r="BK9" s="311"/>
      <c r="BL9" s="305"/>
      <c r="BM9" s="12">
        <f>+BS!W43</f>
        <v>86081.197080467988</v>
      </c>
      <c r="BN9" s="307"/>
      <c r="BO9" s="309"/>
      <c r="BP9" s="311"/>
      <c r="BQ9" s="305"/>
      <c r="BR9" s="12">
        <f>+BS!X43</f>
        <v>53042.841968269684</v>
      </c>
      <c r="BS9" s="307"/>
      <c r="BT9" s="309"/>
      <c r="BU9" s="311"/>
      <c r="BV9" s="305"/>
      <c r="BW9" s="12">
        <f>+BS!Y43</f>
        <v>89893.21682627355</v>
      </c>
      <c r="BX9" s="307"/>
      <c r="BY9" s="309"/>
      <c r="BZ9" s="311"/>
      <c r="CA9" s="305"/>
      <c r="CB9" s="12">
        <f>+BS!Z43</f>
        <v>59005.086002803757</v>
      </c>
      <c r="CC9" s="307"/>
      <c r="CD9" s="309"/>
      <c r="CE9" s="311"/>
      <c r="CF9" s="305"/>
      <c r="CG9" s="12">
        <f>+BS!AA43</f>
        <v>77756.674858450788</v>
      </c>
      <c r="CH9" s="307"/>
      <c r="CI9" s="309"/>
      <c r="CJ9" s="311"/>
      <c r="CK9" s="305"/>
      <c r="CL9" s="12">
        <f>+BS!AB43</f>
        <v>84560.407182722643</v>
      </c>
      <c r="CM9" s="307"/>
      <c r="CN9" s="309"/>
      <c r="CO9" s="311"/>
      <c r="CP9" s="305"/>
      <c r="CQ9" s="12">
        <f>+BS!AC43</f>
        <v>65996.174331808332</v>
      </c>
      <c r="CR9" s="307"/>
      <c r="CS9" s="309"/>
      <c r="CT9" s="311"/>
    </row>
    <row r="10" spans="1:98"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row>
    <row r="11" spans="1:98" ht="18" customHeight="1" x14ac:dyDescent="0.2">
      <c r="A11" s="16"/>
      <c r="B11" s="320" t="s">
        <v>116</v>
      </c>
      <c r="C11" s="322" t="s">
        <v>117</v>
      </c>
      <c r="D11" s="304"/>
      <c r="E11" s="10">
        <f>+PL!K41</f>
        <v>45349.337617400015</v>
      </c>
      <c r="F11" s="306" t="s">
        <v>118</v>
      </c>
      <c r="G11" s="308">
        <v>100</v>
      </c>
      <c r="H11" s="310">
        <f>IF(E12=0,"-",(E11/E12)*G11)</f>
        <v>25.378770185812293</v>
      </c>
      <c r="I11" s="304"/>
      <c r="J11" s="10">
        <f>+PL!L41</f>
        <v>54686.487638533697</v>
      </c>
      <c r="K11" s="306" t="s">
        <v>111</v>
      </c>
      <c r="L11" s="308">
        <v>100</v>
      </c>
      <c r="M11" s="310">
        <f>IF(J12=0,"-",(J11/J12)*L11)</f>
        <v>23.968217864187054</v>
      </c>
      <c r="N11" s="304"/>
      <c r="O11" s="10">
        <f>+PL!M41</f>
        <v>46371.079622192599</v>
      </c>
      <c r="P11" s="306" t="s">
        <v>111</v>
      </c>
      <c r="Q11" s="308">
        <v>100</v>
      </c>
      <c r="R11" s="310">
        <f>IF(O12=0,"-",(O11/O12)*Q11)</f>
        <v>24.993998919228908</v>
      </c>
      <c r="S11" s="304"/>
      <c r="T11" s="10">
        <f>+PL!N41</f>
        <v>43737.255042618519</v>
      </c>
      <c r="U11" s="306" t="s">
        <v>111</v>
      </c>
      <c r="V11" s="308">
        <v>100</v>
      </c>
      <c r="W11" s="310">
        <f>IF(T12=0,"-",(T11/T12)*V11)</f>
        <v>26.127624892913925</v>
      </c>
      <c r="X11" s="304"/>
      <c r="Y11" s="10">
        <f>+PL!O41</f>
        <v>43192.829662849894</v>
      </c>
      <c r="Z11" s="306" t="s">
        <v>111</v>
      </c>
      <c r="AA11" s="308">
        <v>100</v>
      </c>
      <c r="AB11" s="310">
        <f>IF(Y12=0,"-",(Y11/Y12)*AA11)</f>
        <v>24.925520041955327</v>
      </c>
      <c r="AC11" s="304"/>
      <c r="AD11" s="10">
        <f>+PL!P41</f>
        <v>46610.374636280758</v>
      </c>
      <c r="AE11" s="306" t="s">
        <v>111</v>
      </c>
      <c r="AF11" s="308">
        <v>100</v>
      </c>
      <c r="AG11" s="310">
        <f>IF(AD12=0,"-",(AD11/AD12)*AF11)</f>
        <v>26.202996523979543</v>
      </c>
      <c r="AH11" s="304"/>
      <c r="AI11" s="10">
        <f>+PL!Q41</f>
        <v>41229.608900527513</v>
      </c>
      <c r="AJ11" s="306" t="s">
        <v>118</v>
      </c>
      <c r="AK11" s="308">
        <v>100</v>
      </c>
      <c r="AL11" s="310">
        <f>IF(AI12=0,"-",(AI11/AI12)*AK11)</f>
        <v>24.010406444386479</v>
      </c>
      <c r="AM11" s="304"/>
      <c r="AN11" s="10">
        <f>+PL!R41</f>
        <v>38747.007472646888</v>
      </c>
      <c r="AO11" s="306" t="s">
        <v>119</v>
      </c>
      <c r="AP11" s="308">
        <v>100</v>
      </c>
      <c r="AQ11" s="310">
        <f>IF(AN12=0,"-",(AN11/AN12)*AP11)</f>
        <v>25.871135853342032</v>
      </c>
      <c r="AR11" s="304"/>
      <c r="AS11" s="10">
        <f>+PL!S41</f>
        <v>39018.641079312518</v>
      </c>
      <c r="AT11" s="306" t="s">
        <v>111</v>
      </c>
      <c r="AU11" s="308">
        <v>100</v>
      </c>
      <c r="AV11" s="310">
        <f>IF(AS12=0,"-",(AS11/AS12)*AU11)</f>
        <v>24.834992348273392</v>
      </c>
      <c r="AW11" s="304"/>
      <c r="AX11" s="10">
        <f>+PL!T41</f>
        <v>37430.523186268183</v>
      </c>
      <c r="AY11" s="306" t="s">
        <v>111</v>
      </c>
      <c r="AZ11" s="308">
        <v>100</v>
      </c>
      <c r="BA11" s="310">
        <f>IF(AX12=0,"-",(AX11/AX12)*AZ11)</f>
        <v>24.950617363391071</v>
      </c>
      <c r="BB11" s="304"/>
      <c r="BC11" s="10">
        <f>+PL!U41</f>
        <v>40249.089844946604</v>
      </c>
      <c r="BD11" s="306" t="s">
        <v>111</v>
      </c>
      <c r="BE11" s="308">
        <v>100</v>
      </c>
      <c r="BF11" s="310">
        <f>IF(BC12=0,"-",(BC11/BC12)*BE11)</f>
        <v>26.818457794312422</v>
      </c>
      <c r="BG11" s="304"/>
      <c r="BH11" s="10">
        <f>+PL!V41</f>
        <v>48230.886396763024</v>
      </c>
      <c r="BI11" s="306" t="s">
        <v>111</v>
      </c>
      <c r="BJ11" s="308">
        <v>100</v>
      </c>
      <c r="BK11" s="310">
        <f>IF(BH12=0,"-",(BH11/BH12)*BJ11)</f>
        <v>29.134532791111141</v>
      </c>
      <c r="BL11" s="304"/>
      <c r="BM11" s="10">
        <f>+PL!W41</f>
        <v>45634.307762283053</v>
      </c>
      <c r="BN11" s="306" t="s">
        <v>111</v>
      </c>
      <c r="BO11" s="308">
        <v>100</v>
      </c>
      <c r="BP11" s="310">
        <f>IF(BM12=0,"-",(BM11/BM12)*BO11)</f>
        <v>25.909151007356041</v>
      </c>
      <c r="BQ11" s="304"/>
      <c r="BR11" s="10">
        <f>+PL!X41</f>
        <v>46508.449807793448</v>
      </c>
      <c r="BS11" s="306" t="s">
        <v>111</v>
      </c>
      <c r="BT11" s="308">
        <v>100</v>
      </c>
      <c r="BU11" s="310">
        <f>IF(BR12=0,"-",(BR11/BR12)*BT11)</f>
        <v>27.538187307300898</v>
      </c>
      <c r="BV11" s="304"/>
      <c r="BW11" s="10">
        <f>+PL!Y41</f>
        <v>41525.985562811198</v>
      </c>
      <c r="BX11" s="306" t="s">
        <v>111</v>
      </c>
      <c r="BY11" s="308">
        <v>100</v>
      </c>
      <c r="BZ11" s="310">
        <f>IF(BW12=0,"-",(BW11/BW12)*BY11)</f>
        <v>22.227531915295522</v>
      </c>
      <c r="CA11" s="304"/>
      <c r="CB11" s="10">
        <f>+PL!Z41</f>
        <v>43774.295161850408</v>
      </c>
      <c r="CC11" s="306" t="s">
        <v>111</v>
      </c>
      <c r="CD11" s="308">
        <v>100</v>
      </c>
      <c r="CE11" s="310">
        <f>IF(CB12=0,"-",(CB11/CB12)*CD11)</f>
        <v>26.618736609732441</v>
      </c>
      <c r="CF11" s="304"/>
      <c r="CG11" s="10">
        <f>+PL!AA41</f>
        <v>54260.502469581981</v>
      </c>
      <c r="CH11" s="306" t="s">
        <v>119</v>
      </c>
      <c r="CI11" s="308">
        <v>100</v>
      </c>
      <c r="CJ11" s="310">
        <f>IF(CG12=0,"-",(CG11/CG12)*CI11)</f>
        <v>25.769555823383623</v>
      </c>
      <c r="CK11" s="304"/>
      <c r="CL11" s="10">
        <f>+PL!AB41</f>
        <v>48882.974035428299</v>
      </c>
      <c r="CM11" s="306" t="s">
        <v>111</v>
      </c>
      <c r="CN11" s="308">
        <v>100</v>
      </c>
      <c r="CO11" s="310">
        <f>IF(CL12=0,"-",(CL11/CL12)*CN11)</f>
        <v>25.849806127739818</v>
      </c>
      <c r="CP11" s="304"/>
      <c r="CQ11" s="10">
        <f>+PL!AC41</f>
        <v>43189.259932578861</v>
      </c>
      <c r="CR11" s="306" t="s">
        <v>111</v>
      </c>
      <c r="CS11" s="308">
        <v>100</v>
      </c>
      <c r="CT11" s="310">
        <f>IF(CQ12=0,"-",(CQ11/CQ12)*CS11)</f>
        <v>20.954795542876525</v>
      </c>
    </row>
    <row r="12" spans="1:98" ht="18" customHeight="1" x14ac:dyDescent="0.2">
      <c r="A12" s="16"/>
      <c r="B12" s="321"/>
      <c r="C12" s="323"/>
      <c r="D12" s="305"/>
      <c r="E12" s="12">
        <f>+PL!K6</f>
        <v>178690.05190311401</v>
      </c>
      <c r="F12" s="307"/>
      <c r="G12" s="309"/>
      <c r="H12" s="311"/>
      <c r="I12" s="305"/>
      <c r="J12" s="12">
        <f>+PL!L6</f>
        <v>228162.5106564365</v>
      </c>
      <c r="K12" s="307"/>
      <c r="L12" s="309"/>
      <c r="M12" s="311"/>
      <c r="N12" s="305"/>
      <c r="O12" s="12">
        <f>+PL!M6</f>
        <v>185528.85343416347</v>
      </c>
      <c r="P12" s="307"/>
      <c r="Q12" s="309"/>
      <c r="R12" s="311"/>
      <c r="S12" s="305"/>
      <c r="T12" s="12">
        <f>+PL!N6</f>
        <v>167398.51104675228</v>
      </c>
      <c r="U12" s="307"/>
      <c r="V12" s="309"/>
      <c r="W12" s="311"/>
      <c r="X12" s="305"/>
      <c r="Y12" s="12">
        <f>+PL!O6</f>
        <v>173287.57670911792</v>
      </c>
      <c r="Z12" s="307"/>
      <c r="AA12" s="309"/>
      <c r="AB12" s="311"/>
      <c r="AC12" s="305"/>
      <c r="AD12" s="12">
        <f>+PL!P6</f>
        <v>177881.84871766673</v>
      </c>
      <c r="AE12" s="307"/>
      <c r="AF12" s="309"/>
      <c r="AG12" s="311"/>
      <c r="AH12" s="305"/>
      <c r="AI12" s="12">
        <f>+PL!Q6</f>
        <v>171715.58089207942</v>
      </c>
      <c r="AJ12" s="307"/>
      <c r="AK12" s="309"/>
      <c r="AL12" s="311"/>
      <c r="AM12" s="305"/>
      <c r="AN12" s="12">
        <f>+PL!R6</f>
        <v>149769.25517416568</v>
      </c>
      <c r="AO12" s="307"/>
      <c r="AP12" s="309"/>
      <c r="AQ12" s="311"/>
      <c r="AR12" s="305"/>
      <c r="AS12" s="12">
        <f>+PL!S6</f>
        <v>157111.54862516082</v>
      </c>
      <c r="AT12" s="307"/>
      <c r="AU12" s="309"/>
      <c r="AV12" s="311"/>
      <c r="AW12" s="305"/>
      <c r="AX12" s="12">
        <f>+PL!T6</f>
        <v>150018.4249596498</v>
      </c>
      <c r="AY12" s="307"/>
      <c r="AZ12" s="309"/>
      <c r="BA12" s="311"/>
      <c r="BB12" s="305"/>
      <c r="BC12" s="12">
        <f>+PL!U6</f>
        <v>150079.80754763054</v>
      </c>
      <c r="BD12" s="307"/>
      <c r="BE12" s="309"/>
      <c r="BF12" s="311"/>
      <c r="BG12" s="305"/>
      <c r="BH12" s="12">
        <f>+PL!V6</f>
        <v>165545.42591284707</v>
      </c>
      <c r="BI12" s="307"/>
      <c r="BJ12" s="309"/>
      <c r="BK12" s="311"/>
      <c r="BL12" s="305"/>
      <c r="BM12" s="12">
        <f>+PL!W6</f>
        <v>176132.00737193864</v>
      </c>
      <c r="BN12" s="307"/>
      <c r="BO12" s="309"/>
      <c r="BP12" s="311"/>
      <c r="BQ12" s="305"/>
      <c r="BR12" s="12">
        <f>+PL!X6</f>
        <v>168887.11406020238</v>
      </c>
      <c r="BS12" s="307"/>
      <c r="BT12" s="309"/>
      <c r="BU12" s="311"/>
      <c r="BV12" s="305"/>
      <c r="BW12" s="12">
        <f>+PL!Y6</f>
        <v>186822.29642525339</v>
      </c>
      <c r="BX12" s="307"/>
      <c r="BY12" s="309"/>
      <c r="BZ12" s="311"/>
      <c r="CA12" s="305"/>
      <c r="CB12" s="12">
        <f>+PL!Z6</f>
        <v>164449.18406024383</v>
      </c>
      <c r="CC12" s="307"/>
      <c r="CD12" s="309"/>
      <c r="CE12" s="311"/>
      <c r="CF12" s="305"/>
      <c r="CG12" s="12">
        <f>+PL!AA6</f>
        <v>210560.48789302495</v>
      </c>
      <c r="CH12" s="307"/>
      <c r="CI12" s="309"/>
      <c r="CJ12" s="311"/>
      <c r="CK12" s="305"/>
      <c r="CL12" s="12">
        <f>+PL!AB6</f>
        <v>189103.8323222519</v>
      </c>
      <c r="CM12" s="307"/>
      <c r="CN12" s="309"/>
      <c r="CO12" s="311"/>
      <c r="CP12" s="305"/>
      <c r="CQ12" s="12">
        <f>+PL!AC6</f>
        <v>206106.80664579821</v>
      </c>
      <c r="CR12" s="307"/>
      <c r="CS12" s="309"/>
      <c r="CT12" s="311"/>
    </row>
    <row r="13" spans="1:98" ht="18" customHeight="1" x14ac:dyDescent="0.2">
      <c r="A13" s="17"/>
      <c r="B13" s="320" t="s">
        <v>120</v>
      </c>
      <c r="C13" s="322" t="s">
        <v>117</v>
      </c>
      <c r="D13" s="304"/>
      <c r="E13" s="10">
        <f>+PL!K42</f>
        <v>1225.6018289670174</v>
      </c>
      <c r="F13" s="306" t="s">
        <v>121</v>
      </c>
      <c r="G13" s="308">
        <v>100</v>
      </c>
      <c r="H13" s="310">
        <f>IF(E14=0,"-",(E13/E14)*G13)</f>
        <v>0.6858813996156542</v>
      </c>
      <c r="I13" s="304"/>
      <c r="J13" s="10">
        <f>+PL!L42</f>
        <v>-519.3947144075064</v>
      </c>
      <c r="K13" s="306" t="s">
        <v>111</v>
      </c>
      <c r="L13" s="308">
        <v>100</v>
      </c>
      <c r="M13" s="310">
        <f>IF(J14=0,"-",(J13/J14)*L13)</f>
        <v>-0.22764244349923146</v>
      </c>
      <c r="N13" s="304"/>
      <c r="O13" s="10">
        <f>+PL!M42</f>
        <v>1477.6743135889119</v>
      </c>
      <c r="P13" s="306" t="s">
        <v>111</v>
      </c>
      <c r="Q13" s="308">
        <v>100</v>
      </c>
      <c r="R13" s="310">
        <f>IF(O14=0,"-",(O13/O14)*Q13)</f>
        <v>0.7964660408540053</v>
      </c>
      <c r="S13" s="304"/>
      <c r="T13" s="10">
        <f>+PL!N42</f>
        <v>2861.3830746563908</v>
      </c>
      <c r="U13" s="306" t="s">
        <v>111</v>
      </c>
      <c r="V13" s="308">
        <v>100</v>
      </c>
      <c r="W13" s="310">
        <f>IF(T14=0,"-",(T13/T14)*V13)</f>
        <v>1.7093240894223025</v>
      </c>
      <c r="X13" s="304"/>
      <c r="Y13" s="10">
        <f>+PL!O42</f>
        <v>641.82621089174063</v>
      </c>
      <c r="Z13" s="306" t="s">
        <v>111</v>
      </c>
      <c r="AA13" s="308">
        <v>100</v>
      </c>
      <c r="AB13" s="310">
        <f>IF(Y14=0,"-",(Y13/Y14)*AA13)</f>
        <v>0.37038212610539062</v>
      </c>
      <c r="AC13" s="304"/>
      <c r="AD13" s="10">
        <f>+PL!P42</f>
        <v>512.13282931258436</v>
      </c>
      <c r="AE13" s="306" t="s">
        <v>111</v>
      </c>
      <c r="AF13" s="308">
        <v>100</v>
      </c>
      <c r="AG13" s="310">
        <f>IF(AD14=0,"-",(AD13/AD14)*AF13)</f>
        <v>0.28790617648990102</v>
      </c>
      <c r="AH13" s="304"/>
      <c r="AI13" s="10">
        <f>+PL!Q42</f>
        <v>-3811.3191528423281</v>
      </c>
      <c r="AJ13" s="306" t="s">
        <v>121</v>
      </c>
      <c r="AK13" s="308">
        <v>100</v>
      </c>
      <c r="AL13" s="310">
        <f>IF(AI14=0,"-",(AI13/AI14)*AK13)</f>
        <v>-2.2195534808443989</v>
      </c>
      <c r="AM13" s="304"/>
      <c r="AN13" s="10">
        <f>+PL!R42</f>
        <v>-968.71286772274459</v>
      </c>
      <c r="AO13" s="306" t="s">
        <v>118</v>
      </c>
      <c r="AP13" s="308">
        <v>100</v>
      </c>
      <c r="AQ13" s="310">
        <f>IF(AN14=0,"-",(AN13/AN14)*AP13)</f>
        <v>-0.64680355564046499</v>
      </c>
      <c r="AR13" s="304"/>
      <c r="AS13" s="10">
        <f>+PL!S42</f>
        <v>1907.7341621702251</v>
      </c>
      <c r="AT13" s="306" t="s">
        <v>111</v>
      </c>
      <c r="AU13" s="308">
        <v>100</v>
      </c>
      <c r="AV13" s="310">
        <f>IF(AS14=0,"-",(AS13/AS14)*AU13)</f>
        <v>1.2142545719040214</v>
      </c>
      <c r="AW13" s="304"/>
      <c r="AX13" s="10">
        <f>+PL!T42</f>
        <v>1308.1518318185015</v>
      </c>
      <c r="AY13" s="306" t="s">
        <v>111</v>
      </c>
      <c r="AZ13" s="308">
        <v>100</v>
      </c>
      <c r="BA13" s="310">
        <f>IF(AX14=0,"-",(AX13/AX14)*AZ13)</f>
        <v>0.87199411150353889</v>
      </c>
      <c r="BB13" s="304"/>
      <c r="BC13" s="10">
        <f>+PL!U42</f>
        <v>2825.3804518408192</v>
      </c>
      <c r="BD13" s="306" t="s">
        <v>111</v>
      </c>
      <c r="BE13" s="308">
        <v>100</v>
      </c>
      <c r="BF13" s="310">
        <f>IF(BC14=0,"-",(BC13/BC14)*BE13)</f>
        <v>1.88258533776713</v>
      </c>
      <c r="BG13" s="304"/>
      <c r="BH13" s="10">
        <f>+PL!V42</f>
        <v>3966.7713859323007</v>
      </c>
      <c r="BI13" s="306" t="s">
        <v>111</v>
      </c>
      <c r="BJ13" s="308">
        <v>100</v>
      </c>
      <c r="BK13" s="310">
        <f>IF(BH14=0,"-",(BH13/BH14)*BJ13)</f>
        <v>2.3961830198924639</v>
      </c>
      <c r="BL13" s="304"/>
      <c r="BM13" s="10">
        <f>+PL!W42</f>
        <v>4561.438974601514</v>
      </c>
      <c r="BN13" s="306" t="s">
        <v>111</v>
      </c>
      <c r="BO13" s="308">
        <v>100</v>
      </c>
      <c r="BP13" s="310">
        <f>IF(BM14=0,"-",(BM13/BM14)*BO13)</f>
        <v>2.5897842434561626</v>
      </c>
      <c r="BQ13" s="304"/>
      <c r="BR13" s="10">
        <f>+PL!X42</f>
        <v>3615.2987489150823</v>
      </c>
      <c r="BS13" s="306" t="s">
        <v>111</v>
      </c>
      <c r="BT13" s="308">
        <v>100</v>
      </c>
      <c r="BU13" s="310">
        <f>IF(BR14=0,"-",(BR13/BR14)*BT13)</f>
        <v>2.1406599130034007</v>
      </c>
      <c r="BV13" s="304"/>
      <c r="BW13" s="10">
        <f>+PL!Y42</f>
        <v>4987.2692974063229</v>
      </c>
      <c r="BX13" s="306" t="s">
        <v>111</v>
      </c>
      <c r="BY13" s="308">
        <v>100</v>
      </c>
      <c r="BZ13" s="310">
        <f>IF(BW14=0,"-",(BW13/BW14)*BY13)</f>
        <v>2.6695257433588515</v>
      </c>
      <c r="CA13" s="304"/>
      <c r="CB13" s="10">
        <f>+PL!Z42</f>
        <v>3288.7702858659486</v>
      </c>
      <c r="CC13" s="306" t="s">
        <v>111</v>
      </c>
      <c r="CD13" s="308">
        <v>100</v>
      </c>
      <c r="CE13" s="310">
        <f>IF(CB14=0,"-",(CB13/CB14)*CD13)</f>
        <v>1.9998702363042131</v>
      </c>
      <c r="CF13" s="304"/>
      <c r="CG13" s="10">
        <f>+PL!AA42</f>
        <v>4285.8043609203705</v>
      </c>
      <c r="CH13" s="306" t="s">
        <v>118</v>
      </c>
      <c r="CI13" s="308">
        <v>100</v>
      </c>
      <c r="CJ13" s="310">
        <f>IF(CG14=0,"-",(CG13/CG14)*CI13)</f>
        <v>2.0354266860826087</v>
      </c>
      <c r="CK13" s="304"/>
      <c r="CL13" s="10">
        <f>+PL!AB42</f>
        <v>550.54100946372239</v>
      </c>
      <c r="CM13" s="306" t="s">
        <v>111</v>
      </c>
      <c r="CN13" s="308">
        <v>100</v>
      </c>
      <c r="CO13" s="310">
        <f>IF(CL14=0,"-",(CL13/CL14)*CN13)</f>
        <v>0.29113159828804808</v>
      </c>
      <c r="CP13" s="304"/>
      <c r="CQ13" s="10">
        <f>+PL!AC42</f>
        <v>1405.1128100168553</v>
      </c>
      <c r="CR13" s="306" t="s">
        <v>111</v>
      </c>
      <c r="CS13" s="308">
        <v>100</v>
      </c>
      <c r="CT13" s="310">
        <f>IF(CQ14=0,"-",(CQ13/CQ14)*CS13)</f>
        <v>0.68174012924841976</v>
      </c>
    </row>
    <row r="14" spans="1:98" ht="18" customHeight="1" x14ac:dyDescent="0.2">
      <c r="A14" s="17"/>
      <c r="B14" s="321"/>
      <c r="C14" s="323"/>
      <c r="D14" s="305"/>
      <c r="E14" s="12">
        <f>+E12</f>
        <v>178690.05190311401</v>
      </c>
      <c r="F14" s="307"/>
      <c r="G14" s="309"/>
      <c r="H14" s="311"/>
      <c r="I14" s="305"/>
      <c r="J14" s="12">
        <f>+J12</f>
        <v>228162.5106564365</v>
      </c>
      <c r="K14" s="307"/>
      <c r="L14" s="309"/>
      <c r="M14" s="311"/>
      <c r="N14" s="305"/>
      <c r="O14" s="12">
        <f>+O12</f>
        <v>185528.85343416347</v>
      </c>
      <c r="P14" s="307"/>
      <c r="Q14" s="309"/>
      <c r="R14" s="311"/>
      <c r="S14" s="305"/>
      <c r="T14" s="12">
        <f>+T12</f>
        <v>167398.51104675228</v>
      </c>
      <c r="U14" s="307"/>
      <c r="V14" s="309"/>
      <c r="W14" s="311"/>
      <c r="X14" s="305"/>
      <c r="Y14" s="12">
        <f>+Y12</f>
        <v>173287.57670911792</v>
      </c>
      <c r="Z14" s="307"/>
      <c r="AA14" s="309"/>
      <c r="AB14" s="311"/>
      <c r="AC14" s="305"/>
      <c r="AD14" s="12">
        <f>+AD12</f>
        <v>177881.84871766673</v>
      </c>
      <c r="AE14" s="307"/>
      <c r="AF14" s="309"/>
      <c r="AG14" s="311"/>
      <c r="AH14" s="305"/>
      <c r="AI14" s="12">
        <f>+AI12</f>
        <v>171715.58089207942</v>
      </c>
      <c r="AJ14" s="307"/>
      <c r="AK14" s="309"/>
      <c r="AL14" s="311"/>
      <c r="AM14" s="305"/>
      <c r="AN14" s="12">
        <f>+AN12</f>
        <v>149769.25517416568</v>
      </c>
      <c r="AO14" s="307"/>
      <c r="AP14" s="309"/>
      <c r="AQ14" s="311"/>
      <c r="AR14" s="305"/>
      <c r="AS14" s="12">
        <f>+AS12</f>
        <v>157111.54862516082</v>
      </c>
      <c r="AT14" s="307"/>
      <c r="AU14" s="309"/>
      <c r="AV14" s="311"/>
      <c r="AW14" s="305"/>
      <c r="AX14" s="12">
        <f>+AX12</f>
        <v>150018.4249596498</v>
      </c>
      <c r="AY14" s="307"/>
      <c r="AZ14" s="309"/>
      <c r="BA14" s="311"/>
      <c r="BB14" s="305"/>
      <c r="BC14" s="12">
        <f>+BC12</f>
        <v>150079.80754763054</v>
      </c>
      <c r="BD14" s="307"/>
      <c r="BE14" s="309"/>
      <c r="BF14" s="311"/>
      <c r="BG14" s="305"/>
      <c r="BH14" s="12">
        <f>+BH12</f>
        <v>165545.42591284707</v>
      </c>
      <c r="BI14" s="307"/>
      <c r="BJ14" s="309"/>
      <c r="BK14" s="311"/>
      <c r="BL14" s="305"/>
      <c r="BM14" s="12">
        <f>+BM12</f>
        <v>176132.00737193864</v>
      </c>
      <c r="BN14" s="307"/>
      <c r="BO14" s="309"/>
      <c r="BP14" s="311"/>
      <c r="BQ14" s="305"/>
      <c r="BR14" s="12">
        <f>+BR12</f>
        <v>168887.11406020238</v>
      </c>
      <c r="BS14" s="307"/>
      <c r="BT14" s="309"/>
      <c r="BU14" s="311"/>
      <c r="BV14" s="305"/>
      <c r="BW14" s="12">
        <f>+BW12</f>
        <v>186822.29642525339</v>
      </c>
      <c r="BX14" s="307"/>
      <c r="BY14" s="309"/>
      <c r="BZ14" s="311"/>
      <c r="CA14" s="305"/>
      <c r="CB14" s="12">
        <f>+CB12</f>
        <v>164449.18406024383</v>
      </c>
      <c r="CC14" s="307"/>
      <c r="CD14" s="309"/>
      <c r="CE14" s="311"/>
      <c r="CF14" s="305"/>
      <c r="CG14" s="12">
        <f>+CG12</f>
        <v>210560.48789302495</v>
      </c>
      <c r="CH14" s="307"/>
      <c r="CI14" s="309"/>
      <c r="CJ14" s="311"/>
      <c r="CK14" s="305"/>
      <c r="CL14" s="12">
        <f>+CL12</f>
        <v>189103.8323222519</v>
      </c>
      <c r="CM14" s="307"/>
      <c r="CN14" s="309"/>
      <c r="CO14" s="311"/>
      <c r="CP14" s="305"/>
      <c r="CQ14" s="12">
        <f>+CQ12</f>
        <v>206106.80664579821</v>
      </c>
      <c r="CR14" s="307"/>
      <c r="CS14" s="309"/>
      <c r="CT14" s="311"/>
    </row>
    <row r="15" spans="1:98" ht="18" customHeight="1" x14ac:dyDescent="0.2">
      <c r="A15" s="17"/>
      <c r="B15" s="320" t="s">
        <v>122</v>
      </c>
      <c r="C15" s="322" t="s">
        <v>117</v>
      </c>
      <c r="D15" s="304"/>
      <c r="E15" s="10">
        <f>+PL!K34</f>
        <v>1068.32056351952</v>
      </c>
      <c r="F15" s="306" t="s">
        <v>123</v>
      </c>
      <c r="G15" s="308">
        <v>100</v>
      </c>
      <c r="H15" s="310">
        <f>IF(E16=0,"-",(E15/E16)*G15)</f>
        <v>0.5978623611899585</v>
      </c>
      <c r="I15" s="304"/>
      <c r="J15" s="10">
        <f>+PL!L34</f>
        <v>-1777.4936061381075</v>
      </c>
      <c r="K15" s="306" t="s">
        <v>111</v>
      </c>
      <c r="L15" s="308">
        <v>100</v>
      </c>
      <c r="M15" s="310">
        <f>IF(J16=0,"-",(J15/J16)*L15)</f>
        <v>-0.77904718046104837</v>
      </c>
      <c r="N15" s="304"/>
      <c r="O15" s="10">
        <f>+PL!M34</f>
        <v>1494.2503164568413</v>
      </c>
      <c r="P15" s="306" t="s">
        <v>111</v>
      </c>
      <c r="Q15" s="308">
        <v>100</v>
      </c>
      <c r="R15" s="310">
        <f>IF(O16=0,"-",(O15/O16)*Q15)</f>
        <v>0.80540050175380906</v>
      </c>
      <c r="S15" s="304"/>
      <c r="T15" s="10">
        <f>+PL!N34</f>
        <v>4432.0498402299372</v>
      </c>
      <c r="U15" s="306" t="s">
        <v>111</v>
      </c>
      <c r="V15" s="308">
        <v>100</v>
      </c>
      <c r="W15" s="310">
        <f>IF(T16=0,"-",(T15/T16)*V15)</f>
        <v>2.6476040990544547</v>
      </c>
      <c r="X15" s="304"/>
      <c r="Y15" s="10">
        <f>+PL!O34</f>
        <v>1860.0379218558428</v>
      </c>
      <c r="Z15" s="306" t="s">
        <v>111</v>
      </c>
      <c r="AA15" s="308">
        <v>100</v>
      </c>
      <c r="AB15" s="310">
        <f>IF(Y16=0,"-",(Y15/Y16)*AA15)</f>
        <v>1.0733821530542371</v>
      </c>
      <c r="AC15" s="304"/>
      <c r="AD15" s="10">
        <f>+PL!P34</f>
        <v>894.23853736377112</v>
      </c>
      <c r="AE15" s="306" t="s">
        <v>111</v>
      </c>
      <c r="AF15" s="308">
        <v>100</v>
      </c>
      <c r="AG15" s="310">
        <f>IF(AD16=0,"-",(AD15/AD16)*AF15)</f>
        <v>0.50271488845559642</v>
      </c>
      <c r="AH15" s="304"/>
      <c r="AI15" s="10">
        <f>+PL!Q34</f>
        <v>-3154.2424382950499</v>
      </c>
      <c r="AJ15" s="306" t="s">
        <v>123</v>
      </c>
      <c r="AK15" s="308">
        <v>100</v>
      </c>
      <c r="AL15" s="310">
        <f>IF(AI16=0,"-",(AI15/AI16)*AK15)</f>
        <v>-1.8368993785586891</v>
      </c>
      <c r="AM15" s="304"/>
      <c r="AN15" s="10">
        <f>+PL!R34</f>
        <v>-67.547033838425293</v>
      </c>
      <c r="AO15" s="306" t="s">
        <v>123</v>
      </c>
      <c r="AP15" s="308">
        <v>100</v>
      </c>
      <c r="AQ15" s="310">
        <f>IF(AN16=0,"-",(AN15/AN16)*AP15)</f>
        <v>-4.510073429948977E-2</v>
      </c>
      <c r="AR15" s="304"/>
      <c r="AS15" s="10">
        <f>+PL!S34</f>
        <v>2541.1832224739037</v>
      </c>
      <c r="AT15" s="306" t="s">
        <v>111</v>
      </c>
      <c r="AU15" s="308">
        <v>100</v>
      </c>
      <c r="AV15" s="310">
        <f>IF(AS16=0,"-",(AS15/AS16)*AU15)</f>
        <v>1.6174388482012216</v>
      </c>
      <c r="AW15" s="304"/>
      <c r="AX15" s="10">
        <f>+PL!T34</f>
        <v>1985.8973658749958</v>
      </c>
      <c r="AY15" s="306" t="s">
        <v>111</v>
      </c>
      <c r="AZ15" s="308">
        <v>100</v>
      </c>
      <c r="BA15" s="310">
        <f>IF(AX16=0,"-",(AX15/AX16)*AZ15)</f>
        <v>1.3237689746503734</v>
      </c>
      <c r="BB15" s="304"/>
      <c r="BC15" s="10">
        <f>+PL!U34</f>
        <v>2916.5360283739246</v>
      </c>
      <c r="BD15" s="306" t="s">
        <v>111</v>
      </c>
      <c r="BE15" s="308">
        <v>100</v>
      </c>
      <c r="BF15" s="310">
        <f>IF(BC16=0,"-",(BC15/BC16)*BE15)</f>
        <v>1.9433234064138236</v>
      </c>
      <c r="BG15" s="304"/>
      <c r="BH15" s="10">
        <f>+PL!V34</f>
        <v>6499.580013040736</v>
      </c>
      <c r="BI15" s="306" t="s">
        <v>111</v>
      </c>
      <c r="BJ15" s="308">
        <v>100</v>
      </c>
      <c r="BK15" s="310">
        <f>IF(BH16=0,"-",(BH15/BH16)*BJ15)</f>
        <v>3.9261610383983072</v>
      </c>
      <c r="BL15" s="304"/>
      <c r="BM15" s="10">
        <f>+PL!W34</f>
        <v>6610.8576718471513</v>
      </c>
      <c r="BN15" s="306" t="s">
        <v>111</v>
      </c>
      <c r="BO15" s="308">
        <v>100</v>
      </c>
      <c r="BP15" s="310">
        <f>IF(BM16=0,"-",(BM15/BM16)*BO15)</f>
        <v>3.7533539590490093</v>
      </c>
      <c r="BQ15" s="304"/>
      <c r="BR15" s="10">
        <f>+PL!X34</f>
        <v>4609.7749969860743</v>
      </c>
      <c r="BS15" s="306" t="s">
        <v>111</v>
      </c>
      <c r="BT15" s="308">
        <v>100</v>
      </c>
      <c r="BU15" s="310">
        <f>IF(BR16=0,"-",(BR15/BR16)*BT15)</f>
        <v>2.7295007216138765</v>
      </c>
      <c r="BV15" s="304"/>
      <c r="BW15" s="10">
        <f>+PL!Y34</f>
        <v>5959.5944767777009</v>
      </c>
      <c r="BX15" s="306" t="s">
        <v>111</v>
      </c>
      <c r="BY15" s="308">
        <v>100</v>
      </c>
      <c r="BZ15" s="310">
        <f>IF(BW16=0,"-",(BW15/BW16)*BY15)</f>
        <v>3.1899803132770623</v>
      </c>
      <c r="CA15" s="304"/>
      <c r="CB15" s="10">
        <f>+PL!Z34</f>
        <v>4499.3556578553234</v>
      </c>
      <c r="CC15" s="306" t="s">
        <v>111</v>
      </c>
      <c r="CD15" s="308">
        <v>100</v>
      </c>
      <c r="CE15" s="310">
        <f>IF(CB16=0,"-",(CB15/CB16)*CD15)</f>
        <v>2.7360157993894592</v>
      </c>
      <c r="CF15" s="304"/>
      <c r="CG15" s="10">
        <f>+PL!AA34</f>
        <v>6407.3807974942774</v>
      </c>
      <c r="CH15" s="306" t="s">
        <v>121</v>
      </c>
      <c r="CI15" s="308">
        <v>100</v>
      </c>
      <c r="CJ15" s="310">
        <f>IF(CG16=0,"-",(CG15/CG16)*CI15)</f>
        <v>3.0430119447431849</v>
      </c>
      <c r="CK15" s="304"/>
      <c r="CL15" s="10">
        <f>+PL!AB34</f>
        <v>4005.7256733802474</v>
      </c>
      <c r="CM15" s="306" t="s">
        <v>111</v>
      </c>
      <c r="CN15" s="308">
        <v>100</v>
      </c>
      <c r="CO15" s="310">
        <f>IF(CL16=0,"-",(CL15/CL16)*CN15)</f>
        <v>2.1182678448071264</v>
      </c>
      <c r="CP15" s="304"/>
      <c r="CQ15" s="10">
        <f>+PL!AC34</f>
        <v>4479.7866602456052</v>
      </c>
      <c r="CR15" s="306" t="s">
        <v>111</v>
      </c>
      <c r="CS15" s="308">
        <v>100</v>
      </c>
      <c r="CT15" s="310">
        <f>IF(CQ16=0,"-",(CQ15/CQ16)*CS15)</f>
        <v>2.173526790866386</v>
      </c>
    </row>
    <row r="16" spans="1:98" ht="18" customHeight="1" x14ac:dyDescent="0.2">
      <c r="A16" s="17"/>
      <c r="B16" s="321"/>
      <c r="C16" s="323"/>
      <c r="D16" s="305"/>
      <c r="E16" s="12">
        <f>+E12</f>
        <v>178690.05190311401</v>
      </c>
      <c r="F16" s="307"/>
      <c r="G16" s="309"/>
      <c r="H16" s="311"/>
      <c r="I16" s="305"/>
      <c r="J16" s="12">
        <f>+J12</f>
        <v>228162.5106564365</v>
      </c>
      <c r="K16" s="307"/>
      <c r="L16" s="309"/>
      <c r="M16" s="311"/>
      <c r="N16" s="305"/>
      <c r="O16" s="12">
        <f>+O12</f>
        <v>185528.85343416347</v>
      </c>
      <c r="P16" s="307"/>
      <c r="Q16" s="309"/>
      <c r="R16" s="311"/>
      <c r="S16" s="305"/>
      <c r="T16" s="12">
        <f>+T12</f>
        <v>167398.51104675228</v>
      </c>
      <c r="U16" s="307"/>
      <c r="V16" s="309"/>
      <c r="W16" s="311"/>
      <c r="X16" s="305"/>
      <c r="Y16" s="12">
        <f>+Y12</f>
        <v>173287.57670911792</v>
      </c>
      <c r="Z16" s="307"/>
      <c r="AA16" s="309"/>
      <c r="AB16" s="311"/>
      <c r="AC16" s="305"/>
      <c r="AD16" s="12">
        <f>+AD12</f>
        <v>177881.84871766673</v>
      </c>
      <c r="AE16" s="307"/>
      <c r="AF16" s="309"/>
      <c r="AG16" s="311"/>
      <c r="AH16" s="305"/>
      <c r="AI16" s="12">
        <f>+AI12</f>
        <v>171715.58089207942</v>
      </c>
      <c r="AJ16" s="307"/>
      <c r="AK16" s="309"/>
      <c r="AL16" s="311"/>
      <c r="AM16" s="305"/>
      <c r="AN16" s="12">
        <f>+AN12</f>
        <v>149769.25517416568</v>
      </c>
      <c r="AO16" s="307"/>
      <c r="AP16" s="309"/>
      <c r="AQ16" s="311"/>
      <c r="AR16" s="305"/>
      <c r="AS16" s="12">
        <f>+AS12</f>
        <v>157111.54862516082</v>
      </c>
      <c r="AT16" s="307"/>
      <c r="AU16" s="309"/>
      <c r="AV16" s="311"/>
      <c r="AW16" s="305"/>
      <c r="AX16" s="12">
        <f>+AX12</f>
        <v>150018.4249596498</v>
      </c>
      <c r="AY16" s="307"/>
      <c r="AZ16" s="309"/>
      <c r="BA16" s="311"/>
      <c r="BB16" s="305"/>
      <c r="BC16" s="12">
        <f>+BC12</f>
        <v>150079.80754763054</v>
      </c>
      <c r="BD16" s="307"/>
      <c r="BE16" s="309"/>
      <c r="BF16" s="311"/>
      <c r="BG16" s="305"/>
      <c r="BH16" s="12">
        <f>+BH12</f>
        <v>165545.42591284707</v>
      </c>
      <c r="BI16" s="307"/>
      <c r="BJ16" s="309"/>
      <c r="BK16" s="311"/>
      <c r="BL16" s="305"/>
      <c r="BM16" s="12">
        <f>+BM12</f>
        <v>176132.00737193864</v>
      </c>
      <c r="BN16" s="307"/>
      <c r="BO16" s="309"/>
      <c r="BP16" s="311"/>
      <c r="BQ16" s="305"/>
      <c r="BR16" s="12">
        <f>+BR12</f>
        <v>168887.11406020238</v>
      </c>
      <c r="BS16" s="307"/>
      <c r="BT16" s="309"/>
      <c r="BU16" s="311"/>
      <c r="BV16" s="305"/>
      <c r="BW16" s="12">
        <f>+BW12</f>
        <v>186822.29642525339</v>
      </c>
      <c r="BX16" s="307"/>
      <c r="BY16" s="309"/>
      <c r="BZ16" s="311"/>
      <c r="CA16" s="305"/>
      <c r="CB16" s="12">
        <f>+CB12</f>
        <v>164449.18406024383</v>
      </c>
      <c r="CC16" s="307"/>
      <c r="CD16" s="309"/>
      <c r="CE16" s="311"/>
      <c r="CF16" s="305"/>
      <c r="CG16" s="12">
        <f>+CG12</f>
        <v>210560.48789302495</v>
      </c>
      <c r="CH16" s="307"/>
      <c r="CI16" s="309"/>
      <c r="CJ16" s="311"/>
      <c r="CK16" s="305"/>
      <c r="CL16" s="12">
        <f>+CL12</f>
        <v>189103.8323222519</v>
      </c>
      <c r="CM16" s="307"/>
      <c r="CN16" s="309"/>
      <c r="CO16" s="311"/>
      <c r="CP16" s="305"/>
      <c r="CQ16" s="12">
        <f>+CQ12</f>
        <v>206106.80664579821</v>
      </c>
      <c r="CR16" s="307"/>
      <c r="CS16" s="309"/>
      <c r="CT16" s="311"/>
    </row>
    <row r="17" spans="1:98" ht="18" customHeight="1" x14ac:dyDescent="0.2">
      <c r="A17" s="17"/>
      <c r="B17" s="320" t="s">
        <v>124</v>
      </c>
      <c r="C17" s="322" t="s">
        <v>117</v>
      </c>
      <c r="D17" s="304"/>
      <c r="E17" s="10">
        <f>+E6</f>
        <v>262.13049925852704</v>
      </c>
      <c r="F17" s="306" t="s">
        <v>123</v>
      </c>
      <c r="G17" s="308">
        <v>100</v>
      </c>
      <c r="H17" s="310">
        <f>IF(E18=0,"-",(E17/E18)*G17)</f>
        <v>0.14669563104758318</v>
      </c>
      <c r="I17" s="304"/>
      <c r="J17" s="10">
        <f>+J6</f>
        <v>-3023.0179028132989</v>
      </c>
      <c r="K17" s="306" t="s">
        <v>111</v>
      </c>
      <c r="L17" s="308">
        <v>100</v>
      </c>
      <c r="M17" s="310">
        <f>IF(J18=0,"-",(J17/J18)*L17)</f>
        <v>-1.3249406723812358</v>
      </c>
      <c r="N17" s="304"/>
      <c r="O17" s="10">
        <f>+O6</f>
        <v>-894.82432958880952</v>
      </c>
      <c r="P17" s="306" t="s">
        <v>111</v>
      </c>
      <c r="Q17" s="308">
        <v>100</v>
      </c>
      <c r="R17" s="310">
        <f>IF(O18=0,"-",(O17/O18)*Q17)</f>
        <v>-0.48231006284224454</v>
      </c>
      <c r="S17" s="304"/>
      <c r="T17" s="10">
        <f>+T6</f>
        <v>2394.2914137799667</v>
      </c>
      <c r="U17" s="306" t="s">
        <v>111</v>
      </c>
      <c r="V17" s="308">
        <v>100</v>
      </c>
      <c r="W17" s="310">
        <f>IF(T18=0,"-",(T17/T18)*V17)</f>
        <v>1.4302943310596541</v>
      </c>
      <c r="X17" s="304"/>
      <c r="Y17" s="10">
        <f>+Y6</f>
        <v>-71.154623444265027</v>
      </c>
      <c r="Z17" s="306" t="s">
        <v>111</v>
      </c>
      <c r="AA17" s="308">
        <v>100</v>
      </c>
      <c r="AB17" s="310">
        <f>IF(Y18=0,"-",(Y17/Y18)*AA17)</f>
        <v>-4.1061583753176846E-2</v>
      </c>
      <c r="AC17" s="304"/>
      <c r="AD17" s="10">
        <f>+AD6</f>
        <v>-1020.8177197785333</v>
      </c>
      <c r="AE17" s="306" t="s">
        <v>111</v>
      </c>
      <c r="AF17" s="308">
        <v>100</v>
      </c>
      <c r="AG17" s="310">
        <f>IF(AD18=0,"-",(AD17/AD18)*AF17)</f>
        <v>-0.57387402207561422</v>
      </c>
      <c r="AH17" s="304"/>
      <c r="AI17" s="10">
        <f>+AI6</f>
        <v>-3410.8637068218663</v>
      </c>
      <c r="AJ17" s="306" t="s">
        <v>123</v>
      </c>
      <c r="AK17" s="308">
        <v>100</v>
      </c>
      <c r="AL17" s="310">
        <f>IF(AI18=0,"-",(AI17/AI18)*AK17)</f>
        <v>-1.9863449135495406</v>
      </c>
      <c r="AM17" s="304"/>
      <c r="AN17" s="10">
        <f>+AN6</f>
        <v>-1787.6439813067707</v>
      </c>
      <c r="AO17" s="306" t="s">
        <v>125</v>
      </c>
      <c r="AP17" s="308">
        <v>100</v>
      </c>
      <c r="AQ17" s="310">
        <f>IF(AN18=0,"-",(AN17/AN18)*AP17)</f>
        <v>-1.1935987658000511</v>
      </c>
      <c r="AR17" s="304"/>
      <c r="AS17" s="10">
        <f>+AS6</f>
        <v>2387.6276188729912</v>
      </c>
      <c r="AT17" s="306" t="s">
        <v>111</v>
      </c>
      <c r="AU17" s="308">
        <v>100</v>
      </c>
      <c r="AV17" s="310">
        <f>IF(AS18=0,"-",(AS17/AS18)*AU17)</f>
        <v>1.5197021732434388</v>
      </c>
      <c r="AW17" s="304"/>
      <c r="AX17" s="10">
        <f>+AX6</f>
        <v>815.09272825836979</v>
      </c>
      <c r="AY17" s="306" t="s">
        <v>111</v>
      </c>
      <c r="AZ17" s="308">
        <v>100</v>
      </c>
      <c r="BA17" s="310">
        <f>IF(AX18=0,"-",(AX17/AX18)*AZ17)</f>
        <v>0.54332841347828043</v>
      </c>
      <c r="BB17" s="304"/>
      <c r="BC17" s="10">
        <f>+BC6</f>
        <v>1660.7831953967716</v>
      </c>
      <c r="BD17" s="306" t="s">
        <v>111</v>
      </c>
      <c r="BE17" s="308">
        <v>100</v>
      </c>
      <c r="BF17" s="310">
        <f>IF(BC18=0,"-",(BC17/BC18)*BE17)</f>
        <v>1.1066000300338152</v>
      </c>
      <c r="BG17" s="304"/>
      <c r="BH17" s="10">
        <f>+BH6</f>
        <v>4853.7789577215972</v>
      </c>
      <c r="BI17" s="306" t="s">
        <v>111</v>
      </c>
      <c r="BJ17" s="308">
        <v>100</v>
      </c>
      <c r="BK17" s="310">
        <f>IF(BH18=0,"-",(BH17/BH18)*BJ17)</f>
        <v>2.9319921894289691</v>
      </c>
      <c r="BL17" s="304"/>
      <c r="BM17" s="10">
        <f>+BM6</f>
        <v>4284.6193742702008</v>
      </c>
      <c r="BN17" s="306" t="s">
        <v>111</v>
      </c>
      <c r="BO17" s="308">
        <v>100</v>
      </c>
      <c r="BP17" s="310">
        <f>IF(BM18=0,"-",(BM17/BM18)*BO17)</f>
        <v>2.4326182607016755</v>
      </c>
      <c r="BQ17" s="304"/>
      <c r="BR17" s="10">
        <f>+BR6</f>
        <v>2672.0849068085427</v>
      </c>
      <c r="BS17" s="306" t="s">
        <v>111</v>
      </c>
      <c r="BT17" s="308">
        <v>100</v>
      </c>
      <c r="BU17" s="310">
        <f>IF(BR18=0,"-",(BR17/BR18)*BT17)</f>
        <v>1.582172163742485</v>
      </c>
      <c r="BV17" s="304"/>
      <c r="BW17" s="10">
        <f>+BW6</f>
        <v>3426.7410584693539</v>
      </c>
      <c r="BX17" s="306" t="s">
        <v>111</v>
      </c>
      <c r="BY17" s="308">
        <v>100</v>
      </c>
      <c r="BZ17" s="310">
        <f>IF(BW18=0,"-",(BW17/BW18)*BY17)</f>
        <v>1.8342248885910548</v>
      </c>
      <c r="CA17" s="304"/>
      <c r="CB17" s="10">
        <f>+CB6</f>
        <v>2247.6164599016452</v>
      </c>
      <c r="CC17" s="306" t="s">
        <v>111</v>
      </c>
      <c r="CD17" s="308">
        <v>100</v>
      </c>
      <c r="CE17" s="310">
        <f>IF(CB18=0,"-",(CB17/CB18)*CD17)</f>
        <v>1.3667544006045418</v>
      </c>
      <c r="CF17" s="304"/>
      <c r="CG17" s="10">
        <f>+CG6</f>
        <v>3683.5410191543187</v>
      </c>
      <c r="CH17" s="306" t="s">
        <v>126</v>
      </c>
      <c r="CI17" s="308">
        <v>100</v>
      </c>
      <c r="CJ17" s="310">
        <f>IF(CG18=0,"-",(CG17/CG18)*CI17)</f>
        <v>1.749398026198409</v>
      </c>
      <c r="CK17" s="304"/>
      <c r="CL17" s="10">
        <f>+CL6</f>
        <v>98201.491992234907</v>
      </c>
      <c r="CM17" s="306" t="s">
        <v>111</v>
      </c>
      <c r="CN17" s="308">
        <v>100</v>
      </c>
      <c r="CO17" s="310">
        <f>IF(CL18=0,"-",(CL17/CL18)*CN17)</f>
        <v>51.929932242139706</v>
      </c>
      <c r="CP17" s="304"/>
      <c r="CQ17" s="10">
        <f>+CQ6</f>
        <v>2690.3723814110281</v>
      </c>
      <c r="CR17" s="306" t="s">
        <v>111</v>
      </c>
      <c r="CS17" s="308">
        <v>100</v>
      </c>
      <c r="CT17" s="310">
        <f>IF(CQ18=0,"-",(CQ17/CQ18)*CS17)</f>
        <v>1.3053292247812698</v>
      </c>
    </row>
    <row r="18" spans="1:98" ht="18" customHeight="1" x14ac:dyDescent="0.2">
      <c r="A18" s="17"/>
      <c r="B18" s="321"/>
      <c r="C18" s="323"/>
      <c r="D18" s="305"/>
      <c r="E18" s="12">
        <f>+E12</f>
        <v>178690.05190311401</v>
      </c>
      <c r="F18" s="307"/>
      <c r="G18" s="309"/>
      <c r="H18" s="311"/>
      <c r="I18" s="305"/>
      <c r="J18" s="12">
        <f>+J12</f>
        <v>228162.5106564365</v>
      </c>
      <c r="K18" s="307"/>
      <c r="L18" s="309"/>
      <c r="M18" s="311"/>
      <c r="N18" s="305"/>
      <c r="O18" s="12">
        <f>+O12</f>
        <v>185528.85343416347</v>
      </c>
      <c r="P18" s="307"/>
      <c r="Q18" s="309"/>
      <c r="R18" s="311"/>
      <c r="S18" s="305"/>
      <c r="T18" s="12">
        <f>+T12</f>
        <v>167398.51104675228</v>
      </c>
      <c r="U18" s="307"/>
      <c r="V18" s="309"/>
      <c r="W18" s="311"/>
      <c r="X18" s="305"/>
      <c r="Y18" s="12">
        <f>+Y12</f>
        <v>173287.57670911792</v>
      </c>
      <c r="Z18" s="307"/>
      <c r="AA18" s="309"/>
      <c r="AB18" s="311"/>
      <c r="AC18" s="305"/>
      <c r="AD18" s="12">
        <f>+AD12</f>
        <v>177881.84871766673</v>
      </c>
      <c r="AE18" s="307"/>
      <c r="AF18" s="309"/>
      <c r="AG18" s="311"/>
      <c r="AH18" s="305"/>
      <c r="AI18" s="12">
        <f>+AI12</f>
        <v>171715.58089207942</v>
      </c>
      <c r="AJ18" s="307"/>
      <c r="AK18" s="309"/>
      <c r="AL18" s="311"/>
      <c r="AM18" s="305"/>
      <c r="AN18" s="12">
        <f>+AN12</f>
        <v>149769.25517416568</v>
      </c>
      <c r="AO18" s="307"/>
      <c r="AP18" s="309"/>
      <c r="AQ18" s="311"/>
      <c r="AR18" s="305"/>
      <c r="AS18" s="12">
        <f>+AS12</f>
        <v>157111.54862516082</v>
      </c>
      <c r="AT18" s="307"/>
      <c r="AU18" s="309"/>
      <c r="AV18" s="311"/>
      <c r="AW18" s="305"/>
      <c r="AX18" s="12">
        <f>+AX12</f>
        <v>150018.4249596498</v>
      </c>
      <c r="AY18" s="307"/>
      <c r="AZ18" s="309"/>
      <c r="BA18" s="311"/>
      <c r="BB18" s="305"/>
      <c r="BC18" s="12">
        <f>+BC12</f>
        <v>150079.80754763054</v>
      </c>
      <c r="BD18" s="307"/>
      <c r="BE18" s="309"/>
      <c r="BF18" s="311"/>
      <c r="BG18" s="305"/>
      <c r="BH18" s="12">
        <f>+BH12</f>
        <v>165545.42591284707</v>
      </c>
      <c r="BI18" s="307"/>
      <c r="BJ18" s="309"/>
      <c r="BK18" s="311"/>
      <c r="BL18" s="305"/>
      <c r="BM18" s="12">
        <f>+BM12</f>
        <v>176132.00737193864</v>
      </c>
      <c r="BN18" s="307"/>
      <c r="BO18" s="309"/>
      <c r="BP18" s="311"/>
      <c r="BQ18" s="305"/>
      <c r="BR18" s="12">
        <f>+BR12</f>
        <v>168887.11406020238</v>
      </c>
      <c r="BS18" s="307"/>
      <c r="BT18" s="309"/>
      <c r="BU18" s="311"/>
      <c r="BV18" s="305"/>
      <c r="BW18" s="12">
        <f>+BW12</f>
        <v>186822.29642525339</v>
      </c>
      <c r="BX18" s="307"/>
      <c r="BY18" s="309"/>
      <c r="BZ18" s="311"/>
      <c r="CA18" s="305"/>
      <c r="CB18" s="12">
        <f>+CB12</f>
        <v>164449.18406024383</v>
      </c>
      <c r="CC18" s="307"/>
      <c r="CD18" s="309"/>
      <c r="CE18" s="311"/>
      <c r="CF18" s="305"/>
      <c r="CG18" s="12">
        <f>+CG12</f>
        <v>210560.48789302495</v>
      </c>
      <c r="CH18" s="307"/>
      <c r="CI18" s="309"/>
      <c r="CJ18" s="311"/>
      <c r="CK18" s="305"/>
      <c r="CL18" s="12">
        <f>+CL12</f>
        <v>189103.8323222519</v>
      </c>
      <c r="CM18" s="307"/>
      <c r="CN18" s="309"/>
      <c r="CO18" s="311"/>
      <c r="CP18" s="305"/>
      <c r="CQ18" s="12">
        <f>+CQ12</f>
        <v>206106.80664579821</v>
      </c>
      <c r="CR18" s="307"/>
      <c r="CS18" s="309"/>
      <c r="CT18" s="311"/>
    </row>
    <row r="19" spans="1:98" ht="18" customHeight="1" x14ac:dyDescent="0.2">
      <c r="A19" s="17"/>
      <c r="B19" s="320" t="s">
        <v>127</v>
      </c>
      <c r="C19" s="322" t="s">
        <v>117</v>
      </c>
      <c r="D19" s="304"/>
      <c r="E19" s="10">
        <f>+PL!K16</f>
        <v>44123.735788432998</v>
      </c>
      <c r="F19" s="306" t="s">
        <v>123</v>
      </c>
      <c r="G19" s="308">
        <v>100</v>
      </c>
      <c r="H19" s="310">
        <f>IF(E20=0,"-",(E19/E20)*G19)</f>
        <v>24.69288878619664</v>
      </c>
      <c r="I19" s="304"/>
      <c r="J19" s="10">
        <f>+PL!L16</f>
        <v>55205.882352941175</v>
      </c>
      <c r="K19" s="306" t="s">
        <v>111</v>
      </c>
      <c r="L19" s="308">
        <v>100</v>
      </c>
      <c r="M19" s="310">
        <f>IF(J20=0,"-",(J19/J20)*L19)</f>
        <v>24.195860307686271</v>
      </c>
      <c r="N19" s="304"/>
      <c r="O19" s="10">
        <f>+PL!M16</f>
        <v>44893.405308604495</v>
      </c>
      <c r="P19" s="306" t="s">
        <v>111</v>
      </c>
      <c r="Q19" s="308">
        <v>100</v>
      </c>
      <c r="R19" s="310">
        <f>IF(O20=0,"-",(O19/O20)*Q19)</f>
        <v>24.197532878375334</v>
      </c>
      <c r="S19" s="304"/>
      <c r="T19" s="10">
        <f>+PL!N16</f>
        <v>40875.871967961975</v>
      </c>
      <c r="U19" s="306" t="s">
        <v>111</v>
      </c>
      <c r="V19" s="308">
        <v>100</v>
      </c>
      <c r="W19" s="310">
        <f>IF(T20=0,"-",(T19/T20)*V19)</f>
        <v>24.418300803491533</v>
      </c>
      <c r="X19" s="304"/>
      <c r="Y19" s="10">
        <f>+PL!O16</f>
        <v>42551.003451957884</v>
      </c>
      <c r="Z19" s="306" t="s">
        <v>111</v>
      </c>
      <c r="AA19" s="308">
        <v>100</v>
      </c>
      <c r="AB19" s="310">
        <f>IF(Y20=0,"-",(Y19/Y20)*AA19)</f>
        <v>24.555137915849777</v>
      </c>
      <c r="AC19" s="304"/>
      <c r="AD19" s="10">
        <f>+PL!P16</f>
        <v>46098.241806967548</v>
      </c>
      <c r="AE19" s="306" t="s">
        <v>111</v>
      </c>
      <c r="AF19" s="308">
        <v>100</v>
      </c>
      <c r="AG19" s="310">
        <f>IF(AD20=0,"-",(AD19/AD20)*AF19)</f>
        <v>25.91509034748929</v>
      </c>
      <c r="AH19" s="304"/>
      <c r="AI19" s="10">
        <f>+PL!Q16</f>
        <v>45040.928053370058</v>
      </c>
      <c r="AJ19" s="306" t="s">
        <v>123</v>
      </c>
      <c r="AK19" s="308">
        <v>100</v>
      </c>
      <c r="AL19" s="310">
        <f>IF(AI20=0,"-",(AI19/AI20)*AK19)</f>
        <v>26.229959925231007</v>
      </c>
      <c r="AM19" s="304"/>
      <c r="AN19" s="10">
        <f>+PL!R16</f>
        <v>39715.720340369626</v>
      </c>
      <c r="AO19" s="306" t="s">
        <v>123</v>
      </c>
      <c r="AP19" s="308">
        <v>100</v>
      </c>
      <c r="AQ19" s="310">
        <f>IF(AN20=0,"-",(AN19/AN20)*AP19)</f>
        <v>26.517939408982489</v>
      </c>
      <c r="AR19" s="304"/>
      <c r="AS19" s="10">
        <f>+PL!S16</f>
        <v>37110.906917142296</v>
      </c>
      <c r="AT19" s="306" t="s">
        <v>111</v>
      </c>
      <c r="AU19" s="308">
        <v>100</v>
      </c>
      <c r="AV19" s="310">
        <f>IF(AS20=0,"-",(AS19/AS20)*AU19)</f>
        <v>23.620737776369371</v>
      </c>
      <c r="AW19" s="304"/>
      <c r="AX19" s="10">
        <f>+PL!T16</f>
        <v>36122.371354449679</v>
      </c>
      <c r="AY19" s="306" t="s">
        <v>111</v>
      </c>
      <c r="AZ19" s="308">
        <v>100</v>
      </c>
      <c r="BA19" s="310">
        <f>IF(AX20=0,"-",(AX19/AX20)*AZ19)</f>
        <v>24.078623251887528</v>
      </c>
      <c r="BB19" s="304"/>
      <c r="BC19" s="10">
        <f>+PL!U16</f>
        <v>37423.70939310579</v>
      </c>
      <c r="BD19" s="306" t="s">
        <v>111</v>
      </c>
      <c r="BE19" s="308">
        <v>100</v>
      </c>
      <c r="BF19" s="310">
        <f>IF(BC20=0,"-",(BC19/BC20)*BE19)</f>
        <v>24.935872456545294</v>
      </c>
      <c r="BG19" s="304"/>
      <c r="BH19" s="10">
        <f>+PL!V16</f>
        <v>44264.115010830719</v>
      </c>
      <c r="BI19" s="306" t="s">
        <v>111</v>
      </c>
      <c r="BJ19" s="308">
        <v>100</v>
      </c>
      <c r="BK19" s="310">
        <f>IF(BH20=0,"-",(BH19/BH20)*BJ19)</f>
        <v>26.738349771218672</v>
      </c>
      <c r="BL19" s="304"/>
      <c r="BM19" s="10">
        <f>+PL!W16</f>
        <v>41072.868787681538</v>
      </c>
      <c r="BN19" s="306" t="s">
        <v>111</v>
      </c>
      <c r="BO19" s="308">
        <v>100</v>
      </c>
      <c r="BP19" s="310">
        <f>IF(BM20=0,"-",(BM19/BM20)*BO19)</f>
        <v>23.319366763899875</v>
      </c>
      <c r="BQ19" s="304"/>
      <c r="BR19" s="10">
        <f>+PL!X16</f>
        <v>42893.151058878364</v>
      </c>
      <c r="BS19" s="306" t="s">
        <v>111</v>
      </c>
      <c r="BT19" s="308">
        <v>100</v>
      </c>
      <c r="BU19" s="310">
        <f>IF(BR20=0,"-",(BR19/BR20)*BT19)</f>
        <v>25.397527394297498</v>
      </c>
      <c r="BV19" s="304"/>
      <c r="BW19" s="10">
        <f>+PL!Y16</f>
        <v>36538.716265404881</v>
      </c>
      <c r="BX19" s="306" t="s">
        <v>111</v>
      </c>
      <c r="BY19" s="308">
        <v>100</v>
      </c>
      <c r="BZ19" s="310">
        <f>IF(BW20=0,"-",(BW19/BW20)*BY19)</f>
        <v>19.558006171936672</v>
      </c>
      <c r="CA19" s="304"/>
      <c r="CB19" s="10">
        <f>+PL!Z16</f>
        <v>40485.52487598444</v>
      </c>
      <c r="CC19" s="306" t="s">
        <v>111</v>
      </c>
      <c r="CD19" s="308">
        <v>100</v>
      </c>
      <c r="CE19" s="310">
        <f>IF(CB20=0,"-",(CB19/CB20)*CD19)</f>
        <v>24.618866373428215</v>
      </c>
      <c r="CF19" s="304"/>
      <c r="CG19" s="10">
        <f>+PL!AA16</f>
        <v>49974.697988194195</v>
      </c>
      <c r="CH19" s="306" t="s">
        <v>123</v>
      </c>
      <c r="CI19" s="308">
        <v>100</v>
      </c>
      <c r="CJ19" s="310">
        <f>IF(CG20=0,"-",(CG19/CG20)*CI19)</f>
        <v>23.73412908008828</v>
      </c>
      <c r="CK19" s="304"/>
      <c r="CL19" s="10">
        <f>+PL!AB16</f>
        <v>48332.433025964572</v>
      </c>
      <c r="CM19" s="306" t="s">
        <v>111</v>
      </c>
      <c r="CN19" s="308">
        <v>100</v>
      </c>
      <c r="CO19" s="310">
        <f>IF(CL20=0,"-",(CL19/CL20)*CN19)</f>
        <v>25.558674529451768</v>
      </c>
      <c r="CP19" s="304"/>
      <c r="CQ19" s="10">
        <f>+PL!AC16</f>
        <v>41784.147122562004</v>
      </c>
      <c r="CR19" s="306" t="s">
        <v>111</v>
      </c>
      <c r="CS19" s="308">
        <v>100</v>
      </c>
      <c r="CT19" s="310">
        <f>IF(CQ20=0,"-",(CQ19/CQ20)*CS19)</f>
        <v>20.273055413628104</v>
      </c>
    </row>
    <row r="20" spans="1:98" ht="18" customHeight="1" x14ac:dyDescent="0.2">
      <c r="A20" s="17"/>
      <c r="B20" s="321"/>
      <c r="C20" s="323"/>
      <c r="D20" s="305"/>
      <c r="E20" s="12">
        <f>+E12</f>
        <v>178690.05190311401</v>
      </c>
      <c r="F20" s="307"/>
      <c r="G20" s="309"/>
      <c r="H20" s="311"/>
      <c r="I20" s="305"/>
      <c r="J20" s="12">
        <f>+J12</f>
        <v>228162.5106564365</v>
      </c>
      <c r="K20" s="307"/>
      <c r="L20" s="309"/>
      <c r="M20" s="311"/>
      <c r="N20" s="305"/>
      <c r="O20" s="12">
        <f>+O12</f>
        <v>185528.85343416347</v>
      </c>
      <c r="P20" s="307"/>
      <c r="Q20" s="309"/>
      <c r="R20" s="311"/>
      <c r="S20" s="305"/>
      <c r="T20" s="12">
        <f>+T12</f>
        <v>167398.51104675228</v>
      </c>
      <c r="U20" s="307"/>
      <c r="V20" s="309"/>
      <c r="W20" s="311"/>
      <c r="X20" s="305"/>
      <c r="Y20" s="12">
        <f>+Y12</f>
        <v>173287.57670911792</v>
      </c>
      <c r="Z20" s="307"/>
      <c r="AA20" s="309"/>
      <c r="AB20" s="311"/>
      <c r="AC20" s="305"/>
      <c r="AD20" s="12">
        <f>+AD12</f>
        <v>177881.84871766673</v>
      </c>
      <c r="AE20" s="307"/>
      <c r="AF20" s="309"/>
      <c r="AG20" s="311"/>
      <c r="AH20" s="305"/>
      <c r="AI20" s="12">
        <f>+AI12</f>
        <v>171715.58089207942</v>
      </c>
      <c r="AJ20" s="307"/>
      <c r="AK20" s="309"/>
      <c r="AL20" s="311"/>
      <c r="AM20" s="305"/>
      <c r="AN20" s="12">
        <f>+AN12</f>
        <v>149769.25517416568</v>
      </c>
      <c r="AO20" s="307"/>
      <c r="AP20" s="309"/>
      <c r="AQ20" s="311"/>
      <c r="AR20" s="305"/>
      <c r="AS20" s="12">
        <f>+AS12</f>
        <v>157111.54862516082</v>
      </c>
      <c r="AT20" s="307"/>
      <c r="AU20" s="309"/>
      <c r="AV20" s="311"/>
      <c r="AW20" s="305"/>
      <c r="AX20" s="12">
        <f>+AX12</f>
        <v>150018.4249596498</v>
      </c>
      <c r="AY20" s="307"/>
      <c r="AZ20" s="309"/>
      <c r="BA20" s="311"/>
      <c r="BB20" s="305"/>
      <c r="BC20" s="12">
        <f>+BC12</f>
        <v>150079.80754763054</v>
      </c>
      <c r="BD20" s="307"/>
      <c r="BE20" s="309"/>
      <c r="BF20" s="311"/>
      <c r="BG20" s="305"/>
      <c r="BH20" s="12">
        <f>+BH12</f>
        <v>165545.42591284707</v>
      </c>
      <c r="BI20" s="307"/>
      <c r="BJ20" s="309"/>
      <c r="BK20" s="311"/>
      <c r="BL20" s="305"/>
      <c r="BM20" s="12">
        <f>+BM12</f>
        <v>176132.00737193864</v>
      </c>
      <c r="BN20" s="307"/>
      <c r="BO20" s="309"/>
      <c r="BP20" s="311"/>
      <c r="BQ20" s="305"/>
      <c r="BR20" s="12">
        <f>+BR12</f>
        <v>168887.11406020238</v>
      </c>
      <c r="BS20" s="307"/>
      <c r="BT20" s="309"/>
      <c r="BU20" s="311"/>
      <c r="BV20" s="305"/>
      <c r="BW20" s="12">
        <f>+BW12</f>
        <v>186822.29642525339</v>
      </c>
      <c r="BX20" s="307"/>
      <c r="BY20" s="309"/>
      <c r="BZ20" s="311"/>
      <c r="CA20" s="305"/>
      <c r="CB20" s="12">
        <f>+CB12</f>
        <v>164449.18406024383</v>
      </c>
      <c r="CC20" s="307"/>
      <c r="CD20" s="309"/>
      <c r="CE20" s="311"/>
      <c r="CF20" s="305"/>
      <c r="CG20" s="12">
        <f>+CG12</f>
        <v>210560.48789302495</v>
      </c>
      <c r="CH20" s="307"/>
      <c r="CI20" s="309"/>
      <c r="CJ20" s="311"/>
      <c r="CK20" s="305"/>
      <c r="CL20" s="12">
        <f>+CL12</f>
        <v>189103.8323222519</v>
      </c>
      <c r="CM20" s="307"/>
      <c r="CN20" s="309"/>
      <c r="CO20" s="311"/>
      <c r="CP20" s="305"/>
      <c r="CQ20" s="12">
        <f>+CQ12</f>
        <v>206106.80664579821</v>
      </c>
      <c r="CR20" s="307"/>
      <c r="CS20" s="309"/>
      <c r="CT20" s="311"/>
    </row>
    <row r="21" spans="1:98"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row>
    <row r="22" spans="1:98" ht="18" customHeight="1" x14ac:dyDescent="0.2">
      <c r="A22" s="11"/>
      <c r="B22" s="320" t="s">
        <v>129</v>
      </c>
      <c r="C22" s="322" t="s">
        <v>130</v>
      </c>
      <c r="D22" s="304"/>
      <c r="E22" s="10">
        <f>+PL!K45</f>
        <v>78986.123331685565</v>
      </c>
      <c r="F22" s="306"/>
      <c r="G22" s="308"/>
      <c r="H22" s="314">
        <f>IF(E23=0,"-",(E22/E23))</f>
        <v>175959.74216358419</v>
      </c>
      <c r="I22" s="304"/>
      <c r="J22" s="10">
        <f>+PL!L45</f>
        <v>98720.90792838874</v>
      </c>
      <c r="K22" s="306"/>
      <c r="L22" s="308"/>
      <c r="M22" s="314">
        <f>IF(J23=0,"-",(J22/J23))</f>
        <v>229369.27823243779</v>
      </c>
      <c r="N22" s="304"/>
      <c r="O22" s="10">
        <f>+PL!M45</f>
        <v>82493.629359898798</v>
      </c>
      <c r="P22" s="306"/>
      <c r="Q22" s="308"/>
      <c r="R22" s="314">
        <f>IF(O23=0,"-",(O22/O23))</f>
        <v>182264.03308297289</v>
      </c>
      <c r="S22" s="304"/>
      <c r="T22" s="10">
        <f>+PL!N45</f>
        <v>82501.346693053638</v>
      </c>
      <c r="U22" s="306"/>
      <c r="V22" s="308"/>
      <c r="W22" s="314">
        <f>IF(T23=0,"-",(T22/T23))</f>
        <v>161787.26516069268</v>
      </c>
      <c r="X22" s="304"/>
      <c r="Y22" s="10">
        <f>+PL!O45</f>
        <v>75617.246425532241</v>
      </c>
      <c r="Z22" s="306"/>
      <c r="AA22" s="308"/>
      <c r="AB22" s="314">
        <f>IF(Y23=0,"-",(Y22/Y23))</f>
        <v>171829.12062109238</v>
      </c>
      <c r="AC22" s="304"/>
      <c r="AD22" s="10">
        <f>+PL!P45</f>
        <v>87988.10860073677</v>
      </c>
      <c r="AE22" s="306"/>
      <c r="AF22" s="308"/>
      <c r="AG22" s="314">
        <f>IF(AD23=0,"-",(AD22/AD23))</f>
        <v>176852.4827747597</v>
      </c>
      <c r="AH22" s="304"/>
      <c r="AI22" s="10">
        <f>+PL!Q45</f>
        <v>91743.36873577346</v>
      </c>
      <c r="AJ22" s="306"/>
      <c r="AK22" s="308"/>
      <c r="AL22" s="314">
        <f>IF(AI23=0,"-",(AI22/AI23))</f>
        <v>179158.40618046586</v>
      </c>
      <c r="AM22" s="304"/>
      <c r="AN22" s="10">
        <f>+PL!R45</f>
        <v>67909.957343839313</v>
      </c>
      <c r="AO22" s="306"/>
      <c r="AP22" s="308"/>
      <c r="AQ22" s="314">
        <f>IF(AN23=0,"-",(AN22/AN23))</f>
        <v>151936.57975577287</v>
      </c>
      <c r="AR22" s="304"/>
      <c r="AS22" s="10">
        <f>+PL!S45</f>
        <v>69551.171247217047</v>
      </c>
      <c r="AT22" s="306"/>
      <c r="AU22" s="308"/>
      <c r="AV22" s="314">
        <f>IF(AS23=0,"-",(AS22/AS23))</f>
        <v>152917.15092390066</v>
      </c>
      <c r="AW22" s="304"/>
      <c r="AX22" s="10">
        <f>+PL!T45</f>
        <v>75713.6599492471</v>
      </c>
      <c r="AY22" s="306"/>
      <c r="AZ22" s="308"/>
      <c r="BA22" s="314">
        <f>IF(AX23=0,"-",(AX22/AX23))</f>
        <v>147470.48596835058</v>
      </c>
      <c r="BB22" s="304"/>
      <c r="BC22" s="10">
        <f>+PL!U45</f>
        <v>66684.923975804355</v>
      </c>
      <c r="BD22" s="306"/>
      <c r="BE22" s="308"/>
      <c r="BF22" s="314">
        <f>IF(BC23=0,"-",(BC22/BC23))</f>
        <v>143979.52417306273</v>
      </c>
      <c r="BG22" s="304"/>
      <c r="BH22" s="10">
        <f>+PL!V45</f>
        <v>73303.611934709508</v>
      </c>
      <c r="BI22" s="306"/>
      <c r="BJ22" s="308"/>
      <c r="BK22" s="314">
        <f>IF(BH23=0,"-",(BH22/BH23))</f>
        <v>157046.94524842367</v>
      </c>
      <c r="BL22" s="304"/>
      <c r="BM22" s="10">
        <f>+PL!W45</f>
        <v>74803.667440169069</v>
      </c>
      <c r="BN22" s="306"/>
      <c r="BO22" s="308"/>
      <c r="BP22" s="314">
        <f>IF(BM23=0,"-",(BM22/BM23))</f>
        <v>166008.97674305711</v>
      </c>
      <c r="BQ22" s="304"/>
      <c r="BR22" s="10">
        <f>+PL!X45</f>
        <v>87554.965959666661</v>
      </c>
      <c r="BS22" s="306"/>
      <c r="BT22" s="308"/>
      <c r="BU22" s="314">
        <f>IF(BR23=0,"-",(BR22/BR23))</f>
        <v>162190.00317518547</v>
      </c>
      <c r="BV22" s="304"/>
      <c r="BW22" s="10">
        <f>+PL!Y45</f>
        <v>84806.996871054755</v>
      </c>
      <c r="BX22" s="306"/>
      <c r="BY22" s="308"/>
      <c r="BZ22" s="314">
        <f>IF(BW23=0,"-",(BW22/BW23))</f>
        <v>176445.98685906574</v>
      </c>
      <c r="CA22" s="304"/>
      <c r="CB22" s="10">
        <f>+PL!Z45</f>
        <v>82796.322778093236</v>
      </c>
      <c r="CC22" s="306"/>
      <c r="CD22" s="308"/>
      <c r="CE22" s="314">
        <f>IF(CB23=0,"-",(CB22/CB23))</f>
        <v>158166.61444426639</v>
      </c>
      <c r="CF22" s="304"/>
      <c r="CG22" s="10">
        <f>+PL!AA45</f>
        <v>105156.31610649318</v>
      </c>
      <c r="CH22" s="306"/>
      <c r="CI22" s="308"/>
      <c r="CJ22" s="314">
        <f>IF(CG23=0,"-",(CG22/CG23))</f>
        <v>202314.84121334326</v>
      </c>
      <c r="CK22" s="304"/>
      <c r="CL22" s="10">
        <f>+PL!AB45</f>
        <v>95870.768988109689</v>
      </c>
      <c r="CM22" s="306"/>
      <c r="CN22" s="308"/>
      <c r="CO22" s="314">
        <f>IF(CL23=0,"-",(CL22/CL23))</f>
        <v>188024.09758772384</v>
      </c>
      <c r="CP22" s="304"/>
      <c r="CQ22" s="10">
        <f>+PL!AC45</f>
        <v>109406.60980014446</v>
      </c>
      <c r="CR22" s="306"/>
      <c r="CS22" s="308"/>
      <c r="CT22" s="314">
        <f>IF(CQ23=0,"-",(CQ22/CQ23))</f>
        <v>203493.33482685979</v>
      </c>
    </row>
    <row r="23" spans="1:98" ht="18" customHeight="1" x14ac:dyDescent="0.2">
      <c r="A23" s="11"/>
      <c r="B23" s="321"/>
      <c r="C23" s="323"/>
      <c r="D23" s="305"/>
      <c r="E23" s="19">
        <f>PL!K44/PL!K6</f>
        <v>0.44888746914765693</v>
      </c>
      <c r="F23" s="307"/>
      <c r="G23" s="309"/>
      <c r="H23" s="315"/>
      <c r="I23" s="305"/>
      <c r="J23" s="19">
        <f>PL!L44/PL!L6</f>
        <v>0.43040161563549562</v>
      </c>
      <c r="K23" s="307"/>
      <c r="L23" s="309"/>
      <c r="M23" s="315"/>
      <c r="N23" s="305"/>
      <c r="O23" s="19">
        <f>PL!M44/PL!M6</f>
        <v>0.45260509144085959</v>
      </c>
      <c r="P23" s="307"/>
      <c r="Q23" s="309"/>
      <c r="R23" s="315"/>
      <c r="S23" s="305"/>
      <c r="T23" s="19">
        <f>PL!N44/PL!N6</f>
        <v>0.50993721051598506</v>
      </c>
      <c r="U23" s="307"/>
      <c r="V23" s="309"/>
      <c r="W23" s="315"/>
      <c r="X23" s="305"/>
      <c r="Y23" s="19">
        <f>PL!O44/PL!O6</f>
        <v>0.44007235881907936</v>
      </c>
      <c r="Z23" s="307"/>
      <c r="AA23" s="309"/>
      <c r="AB23" s="315"/>
      <c r="AC23" s="305"/>
      <c r="AD23" s="19">
        <f>PL!P44/PL!P6</f>
        <v>0.49752260878801974</v>
      </c>
      <c r="AE23" s="307"/>
      <c r="AF23" s="309"/>
      <c r="AG23" s="315"/>
      <c r="AH23" s="305"/>
      <c r="AI23" s="19">
        <f>PL!Q44/PL!Q6</f>
        <v>0.51207962099953364</v>
      </c>
      <c r="AJ23" s="307"/>
      <c r="AK23" s="309"/>
      <c r="AL23" s="315"/>
      <c r="AM23" s="305"/>
      <c r="AN23" s="19">
        <f>PL!R44/PL!R6</f>
        <v>0.44696252510751322</v>
      </c>
      <c r="AO23" s="307"/>
      <c r="AP23" s="309"/>
      <c r="AQ23" s="315"/>
      <c r="AR23" s="305"/>
      <c r="AS23" s="19">
        <f>PL!S44/PL!S6</f>
        <v>0.45482910731072435</v>
      </c>
      <c r="AT23" s="307"/>
      <c r="AU23" s="309"/>
      <c r="AV23" s="315"/>
      <c r="AW23" s="305"/>
      <c r="AX23" s="19">
        <f>PL!T44/PL!T6</f>
        <v>0.51341568078575672</v>
      </c>
      <c r="AY23" s="307"/>
      <c r="AZ23" s="309"/>
      <c r="BA23" s="315"/>
      <c r="BB23" s="305"/>
      <c r="BC23" s="19">
        <f>PL!U44/PL!U6</f>
        <v>0.46315560742963269</v>
      </c>
      <c r="BD23" s="307"/>
      <c r="BE23" s="309"/>
      <c r="BF23" s="315"/>
      <c r="BG23" s="305"/>
      <c r="BH23" s="19">
        <f>PL!V44/PL!V6</f>
        <v>0.46676241819765851</v>
      </c>
      <c r="BI23" s="307"/>
      <c r="BJ23" s="309"/>
      <c r="BK23" s="315"/>
      <c r="BL23" s="305"/>
      <c r="BM23" s="19">
        <f>PL!W44/PL!W6</f>
        <v>0.45060013565379403</v>
      </c>
      <c r="BN23" s="307"/>
      <c r="BO23" s="309"/>
      <c r="BP23" s="315"/>
      <c r="BQ23" s="305"/>
      <c r="BR23" s="19">
        <f>PL!X44/PL!X6</f>
        <v>0.53982960876507513</v>
      </c>
      <c r="BS23" s="307"/>
      <c r="BT23" s="309"/>
      <c r="BU23" s="315"/>
      <c r="BV23" s="305"/>
      <c r="BW23" s="19">
        <f>PL!Y44/PL!Y6</f>
        <v>0.48063998723186258</v>
      </c>
      <c r="BX23" s="307"/>
      <c r="BY23" s="309"/>
      <c r="BZ23" s="315"/>
      <c r="CA23" s="305"/>
      <c r="CB23" s="19">
        <f>PL!Z44/PL!Z6</f>
        <v>0.52347534319430222</v>
      </c>
      <c r="CC23" s="307"/>
      <c r="CD23" s="309"/>
      <c r="CE23" s="315"/>
      <c r="CF23" s="305"/>
      <c r="CG23" s="19">
        <f>PL!AA44/PL!AA6</f>
        <v>0.51976570515459453</v>
      </c>
      <c r="CH23" s="307"/>
      <c r="CI23" s="309"/>
      <c r="CJ23" s="315"/>
      <c r="CK23" s="305"/>
      <c r="CL23" s="19">
        <f>PL!AB44/PL!AB6</f>
        <v>0.50988554242830797</v>
      </c>
      <c r="CM23" s="307"/>
      <c r="CN23" s="309"/>
      <c r="CO23" s="315"/>
      <c r="CP23" s="305"/>
      <c r="CQ23" s="19">
        <f>PL!AC44/PL!AC6</f>
        <v>0.53764222741364942</v>
      </c>
      <c r="CR23" s="307"/>
      <c r="CS23" s="309"/>
      <c r="CT23" s="315"/>
    </row>
    <row r="24" spans="1:98" ht="18" customHeight="1" x14ac:dyDescent="0.2">
      <c r="A24" s="20"/>
      <c r="B24" s="320" t="s">
        <v>131</v>
      </c>
      <c r="C24" s="322" t="s">
        <v>132</v>
      </c>
      <c r="D24" s="304"/>
      <c r="E24" s="10">
        <f>+H22</f>
        <v>175959.74216358419</v>
      </c>
      <c r="F24" s="306" t="s">
        <v>133</v>
      </c>
      <c r="G24" s="308">
        <v>100</v>
      </c>
      <c r="H24" s="310">
        <f>IF(E25=0,"-",(E24/E25)*G24)</f>
        <v>98.472041554383665</v>
      </c>
      <c r="I24" s="304"/>
      <c r="J24" s="10">
        <f>+M22</f>
        <v>229369.27823243779</v>
      </c>
      <c r="K24" s="306" t="s">
        <v>111</v>
      </c>
      <c r="L24" s="308">
        <v>100</v>
      </c>
      <c r="M24" s="310">
        <f>IF(J25=0,"-",(J24/J25)*L24)</f>
        <v>100.52890703758885</v>
      </c>
      <c r="N24" s="304"/>
      <c r="O24" s="10">
        <f>+R22</f>
        <v>182264.03308297289</v>
      </c>
      <c r="P24" s="306" t="s">
        <v>111</v>
      </c>
      <c r="Q24" s="308">
        <v>100</v>
      </c>
      <c r="R24" s="310">
        <f>IF(O25=0,"-",(O24/O25)*Q24)</f>
        <v>98.240262745789494</v>
      </c>
      <c r="S24" s="304"/>
      <c r="T24" s="10">
        <f>+W22</f>
        <v>161787.26516069268</v>
      </c>
      <c r="U24" s="306" t="s">
        <v>111</v>
      </c>
      <c r="V24" s="308">
        <v>100</v>
      </c>
      <c r="W24" s="310">
        <f>IF(T25=0,"-",(T24/T25)*V24)</f>
        <v>96.647971447910635</v>
      </c>
      <c r="X24" s="304"/>
      <c r="Y24" s="10">
        <f>+AB22</f>
        <v>171829.12062109238</v>
      </c>
      <c r="Z24" s="306" t="s">
        <v>111</v>
      </c>
      <c r="AA24" s="308">
        <v>100</v>
      </c>
      <c r="AB24" s="310">
        <f>IF(Y25=0,"-",(Y24/Y25)*AA24)</f>
        <v>99.15836084979496</v>
      </c>
      <c r="AC24" s="304"/>
      <c r="AD24" s="10">
        <f>+AG22</f>
        <v>176852.4827747597</v>
      </c>
      <c r="AE24" s="306" t="s">
        <v>111</v>
      </c>
      <c r="AF24" s="308">
        <v>100</v>
      </c>
      <c r="AG24" s="310">
        <f>IF(AD25=0,"-",(AD24/AD25)*AF24)</f>
        <v>99.42132041558618</v>
      </c>
      <c r="AH24" s="304"/>
      <c r="AI24" s="10">
        <f>+AL22</f>
        <v>179158.40618046586</v>
      </c>
      <c r="AJ24" s="306" t="s">
        <v>133</v>
      </c>
      <c r="AK24" s="308">
        <v>100</v>
      </c>
      <c r="AL24" s="310">
        <f>IF(AI25=0,"-",(AI24/AI25)*AK24)</f>
        <v>104.33439135209525</v>
      </c>
      <c r="AM24" s="304"/>
      <c r="AN24" s="10">
        <f>+AQ22</f>
        <v>151936.57975577287</v>
      </c>
      <c r="AO24" s="306" t="s">
        <v>133</v>
      </c>
      <c r="AP24" s="308">
        <v>100</v>
      </c>
      <c r="AQ24" s="310">
        <f>IF(AN25=0,"-",(AN24/AN25)*AP24)</f>
        <v>101.44710914071571</v>
      </c>
      <c r="AR24" s="304"/>
      <c r="AS24" s="10">
        <f>+AV22</f>
        <v>152917.15092390066</v>
      </c>
      <c r="AT24" s="306" t="s">
        <v>111</v>
      </c>
      <c r="AU24" s="308">
        <v>100</v>
      </c>
      <c r="AV24" s="310">
        <f>IF(AS25=0,"-",(AS24/AS25)*AU24)</f>
        <v>97.330305927244581</v>
      </c>
      <c r="AW24" s="304"/>
      <c r="AX24" s="10">
        <f>+BA22</f>
        <v>147470.48596835058</v>
      </c>
      <c r="AY24" s="306" t="s">
        <v>111</v>
      </c>
      <c r="AZ24" s="308">
        <v>100</v>
      </c>
      <c r="BA24" s="310">
        <f>IF(AX25=0,"-",(AX24/AX25)*AZ24)</f>
        <v>98.301582627610884</v>
      </c>
      <c r="BB24" s="304"/>
      <c r="BC24" s="10">
        <f>+BF22</f>
        <v>143979.52417306273</v>
      </c>
      <c r="BD24" s="306" t="s">
        <v>111</v>
      </c>
      <c r="BE24" s="308">
        <v>100</v>
      </c>
      <c r="BF24" s="310">
        <f>IF(BC25=0,"-",(BC24/BC25)*BE24)</f>
        <v>95.935307038135846</v>
      </c>
      <c r="BG24" s="304"/>
      <c r="BH24" s="10">
        <f>+BK22</f>
        <v>157046.94524842367</v>
      </c>
      <c r="BI24" s="306" t="s">
        <v>111</v>
      </c>
      <c r="BJ24" s="308">
        <v>100</v>
      </c>
      <c r="BK24" s="310">
        <f>IF(BH25=0,"-",(BH24/BH25)*BJ24)</f>
        <v>94.866375426828469</v>
      </c>
      <c r="BL24" s="304"/>
      <c r="BM24" s="10">
        <f>+BP22</f>
        <v>166008.97674305711</v>
      </c>
      <c r="BN24" s="306" t="s">
        <v>111</v>
      </c>
      <c r="BO24" s="308">
        <v>100</v>
      </c>
      <c r="BP24" s="310">
        <f>IF(BM25=0,"-",(BM24/BM25)*BO24)</f>
        <v>94.252588850869856</v>
      </c>
      <c r="BQ24" s="304"/>
      <c r="BR24" s="10">
        <f>+BU22</f>
        <v>162190.00317518547</v>
      </c>
      <c r="BS24" s="306" t="s">
        <v>111</v>
      </c>
      <c r="BT24" s="308">
        <v>100</v>
      </c>
      <c r="BU24" s="310">
        <f>IF(BR25=0,"-",(BR24/BR25)*BT24)</f>
        <v>96.034563724838335</v>
      </c>
      <c r="BV24" s="304"/>
      <c r="BW24" s="10">
        <f>+BZ22</f>
        <v>176445.98685906574</v>
      </c>
      <c r="BX24" s="306" t="s">
        <v>111</v>
      </c>
      <c r="BY24" s="308">
        <v>100</v>
      </c>
      <c r="BZ24" s="310">
        <f>IF(BW25=0,"-",(BW24/BW25)*BY24)</f>
        <v>94.44589336244502</v>
      </c>
      <c r="CA24" s="304"/>
      <c r="CB24" s="10">
        <f>+CE22</f>
        <v>158166.61444426639</v>
      </c>
      <c r="CC24" s="306" t="s">
        <v>111</v>
      </c>
      <c r="CD24" s="308">
        <v>100</v>
      </c>
      <c r="CE24" s="310">
        <f>IF(CB25=0,"-",(CB24/CB25)*CD24)</f>
        <v>96.179628587469367</v>
      </c>
      <c r="CF24" s="304"/>
      <c r="CG24" s="10">
        <f>+CJ22</f>
        <v>202314.84121334326</v>
      </c>
      <c r="CH24" s="306" t="s">
        <v>126</v>
      </c>
      <c r="CI24" s="308">
        <v>100</v>
      </c>
      <c r="CJ24" s="310">
        <f>IF(CG25=0,"-",(CG24/CG25)*CI24)</f>
        <v>96.083953470001987</v>
      </c>
      <c r="CK24" s="304"/>
      <c r="CL24" s="10">
        <f>+CO22</f>
        <v>188024.09758772384</v>
      </c>
      <c r="CM24" s="306" t="s">
        <v>111</v>
      </c>
      <c r="CN24" s="308">
        <v>100</v>
      </c>
      <c r="CO24" s="310">
        <f>IF(CL25=0,"-",(CL24/CL25)*CN24)</f>
        <v>99.42902546116143</v>
      </c>
      <c r="CP24" s="304"/>
      <c r="CQ24" s="10">
        <f>+CT22</f>
        <v>203493.33482685979</v>
      </c>
      <c r="CR24" s="306" t="s">
        <v>111</v>
      </c>
      <c r="CS24" s="308">
        <v>100</v>
      </c>
      <c r="CT24" s="310">
        <f>IF(CQ25=0,"-",(CQ24/CQ25)*CS24)</f>
        <v>98.731981800373163</v>
      </c>
    </row>
    <row r="25" spans="1:98" ht="18" customHeight="1" x14ac:dyDescent="0.2">
      <c r="A25" s="20"/>
      <c r="B25" s="321"/>
      <c r="C25" s="323"/>
      <c r="D25" s="305"/>
      <c r="E25" s="12">
        <f>+E12</f>
        <v>178690.05190311401</v>
      </c>
      <c r="F25" s="307"/>
      <c r="G25" s="309"/>
      <c r="H25" s="311"/>
      <c r="I25" s="305"/>
      <c r="J25" s="12">
        <f>+J12</f>
        <v>228162.5106564365</v>
      </c>
      <c r="K25" s="307"/>
      <c r="L25" s="309"/>
      <c r="M25" s="311"/>
      <c r="N25" s="305"/>
      <c r="O25" s="12">
        <f>+O12</f>
        <v>185528.85343416347</v>
      </c>
      <c r="P25" s="307"/>
      <c r="Q25" s="309"/>
      <c r="R25" s="311"/>
      <c r="S25" s="305"/>
      <c r="T25" s="12">
        <f>+T12</f>
        <v>167398.51104675228</v>
      </c>
      <c r="U25" s="307"/>
      <c r="V25" s="309"/>
      <c r="W25" s="311"/>
      <c r="X25" s="305"/>
      <c r="Y25" s="12">
        <f>+Y12</f>
        <v>173287.57670911792</v>
      </c>
      <c r="Z25" s="307"/>
      <c r="AA25" s="309"/>
      <c r="AB25" s="311"/>
      <c r="AC25" s="305"/>
      <c r="AD25" s="12">
        <f>+AD12</f>
        <v>177881.84871766673</v>
      </c>
      <c r="AE25" s="307"/>
      <c r="AF25" s="309"/>
      <c r="AG25" s="311"/>
      <c r="AH25" s="305"/>
      <c r="AI25" s="12">
        <f>+AI12</f>
        <v>171715.58089207942</v>
      </c>
      <c r="AJ25" s="307"/>
      <c r="AK25" s="309"/>
      <c r="AL25" s="311"/>
      <c r="AM25" s="305"/>
      <c r="AN25" s="12">
        <f>+AN12</f>
        <v>149769.25517416568</v>
      </c>
      <c r="AO25" s="307"/>
      <c r="AP25" s="309"/>
      <c r="AQ25" s="311"/>
      <c r="AR25" s="305"/>
      <c r="AS25" s="12">
        <f>+AS12</f>
        <v>157111.54862516082</v>
      </c>
      <c r="AT25" s="307"/>
      <c r="AU25" s="309"/>
      <c r="AV25" s="311"/>
      <c r="AW25" s="305"/>
      <c r="AX25" s="12">
        <f>+AX12</f>
        <v>150018.4249596498</v>
      </c>
      <c r="AY25" s="307"/>
      <c r="AZ25" s="309"/>
      <c r="BA25" s="311"/>
      <c r="BB25" s="305"/>
      <c r="BC25" s="12">
        <f>+BC12</f>
        <v>150079.80754763054</v>
      </c>
      <c r="BD25" s="307"/>
      <c r="BE25" s="309"/>
      <c r="BF25" s="311"/>
      <c r="BG25" s="305"/>
      <c r="BH25" s="12">
        <f>+BH12</f>
        <v>165545.42591284707</v>
      </c>
      <c r="BI25" s="307"/>
      <c r="BJ25" s="309"/>
      <c r="BK25" s="311"/>
      <c r="BL25" s="305"/>
      <c r="BM25" s="12">
        <f>+BM12</f>
        <v>176132.00737193864</v>
      </c>
      <c r="BN25" s="307"/>
      <c r="BO25" s="309"/>
      <c r="BP25" s="311"/>
      <c r="BQ25" s="305"/>
      <c r="BR25" s="12">
        <f>+BR12</f>
        <v>168887.11406020238</v>
      </c>
      <c r="BS25" s="307"/>
      <c r="BT25" s="309"/>
      <c r="BU25" s="311"/>
      <c r="BV25" s="305"/>
      <c r="BW25" s="12">
        <f>+BW12</f>
        <v>186822.29642525339</v>
      </c>
      <c r="BX25" s="307"/>
      <c r="BY25" s="309"/>
      <c r="BZ25" s="311"/>
      <c r="CA25" s="305"/>
      <c r="CB25" s="12">
        <f>+CB12</f>
        <v>164449.18406024383</v>
      </c>
      <c r="CC25" s="307"/>
      <c r="CD25" s="309"/>
      <c r="CE25" s="311"/>
      <c r="CF25" s="305"/>
      <c r="CG25" s="12">
        <f>+CG12</f>
        <v>210560.48789302495</v>
      </c>
      <c r="CH25" s="307"/>
      <c r="CI25" s="309"/>
      <c r="CJ25" s="311"/>
      <c r="CK25" s="305"/>
      <c r="CL25" s="12">
        <f>+CL12</f>
        <v>189103.8323222519</v>
      </c>
      <c r="CM25" s="307"/>
      <c r="CN25" s="309"/>
      <c r="CO25" s="311"/>
      <c r="CP25" s="305"/>
      <c r="CQ25" s="12">
        <f>+CQ12</f>
        <v>206106.80664579821</v>
      </c>
      <c r="CR25" s="307"/>
      <c r="CS25" s="309"/>
      <c r="CT25" s="311"/>
    </row>
    <row r="26" spans="1:98"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row>
    <row r="27" spans="1:98" ht="18" customHeight="1" x14ac:dyDescent="0.2">
      <c r="A27" s="17"/>
      <c r="B27" s="320" t="s">
        <v>135</v>
      </c>
      <c r="C27" s="322" t="s">
        <v>136</v>
      </c>
      <c r="D27" s="304"/>
      <c r="E27" s="10">
        <f>+E12</f>
        <v>178690.05190311401</v>
      </c>
      <c r="F27" s="306"/>
      <c r="G27" s="308"/>
      <c r="H27" s="310">
        <f>IF(E28=0,"-",(E27/E28))</f>
        <v>1.0387807134882838</v>
      </c>
      <c r="I27" s="304"/>
      <c r="J27" s="10">
        <f>+J12</f>
        <v>228162.5106564365</v>
      </c>
      <c r="K27" s="306"/>
      <c r="L27" s="308"/>
      <c r="M27" s="310">
        <f>IF(J28=0,"-",(J27/J28))</f>
        <v>1.0739563661352254</v>
      </c>
      <c r="N27" s="304"/>
      <c r="O27" s="10">
        <f>+O12</f>
        <v>185528.85343416347</v>
      </c>
      <c r="P27" s="306"/>
      <c r="Q27" s="308"/>
      <c r="R27" s="310">
        <f>IF(O28=0,"-",(O27/O28))</f>
        <v>1.2002117467526554</v>
      </c>
      <c r="S27" s="304"/>
      <c r="T27" s="10">
        <f>+T12</f>
        <v>167398.51104675228</v>
      </c>
      <c r="U27" s="306"/>
      <c r="V27" s="308"/>
      <c r="W27" s="310">
        <f>IF(T28=0,"-",(T27/T28))</f>
        <v>0.97452271757764575</v>
      </c>
      <c r="X27" s="304"/>
      <c r="Y27" s="10">
        <f>+Y12</f>
        <v>173287.57670911792</v>
      </c>
      <c r="Z27" s="306"/>
      <c r="AA27" s="308"/>
      <c r="AB27" s="310">
        <f>IF(Y28=0,"-",(Y27/Y28))</f>
        <v>1.062383976560521</v>
      </c>
      <c r="AC27" s="304"/>
      <c r="AD27" s="10">
        <f>+AD12</f>
        <v>177881.84871766673</v>
      </c>
      <c r="AE27" s="306"/>
      <c r="AF27" s="308"/>
      <c r="AG27" s="310">
        <f>IF(AD28=0,"-",(AD27/AD28))</f>
        <v>0.88961341367483515</v>
      </c>
      <c r="AH27" s="304"/>
      <c r="AI27" s="10">
        <f>+AI12</f>
        <v>171715.58089207942</v>
      </c>
      <c r="AJ27" s="306"/>
      <c r="AK27" s="308"/>
      <c r="AL27" s="310">
        <f>IF(AI28=0,"-",(AI27/AI28))</f>
        <v>0.72227298495191938</v>
      </c>
      <c r="AM27" s="304"/>
      <c r="AN27" s="10">
        <f>+AN12</f>
        <v>149769.25517416568</v>
      </c>
      <c r="AO27" s="306"/>
      <c r="AP27" s="308"/>
      <c r="AQ27" s="310">
        <f>IF(AN28=0,"-",(AN27/AN28))</f>
        <v>0.94857028189267611</v>
      </c>
      <c r="AR27" s="304"/>
      <c r="AS27" s="10">
        <f>+AS12</f>
        <v>157111.54862516082</v>
      </c>
      <c r="AT27" s="306"/>
      <c r="AU27" s="308"/>
      <c r="AV27" s="310">
        <f>IF(AS28=0,"-",(AS27/AS28))</f>
        <v>1.029101138451789</v>
      </c>
      <c r="AW27" s="304"/>
      <c r="AX27" s="10">
        <f>+AX12</f>
        <v>150018.4249596498</v>
      </c>
      <c r="AY27" s="306"/>
      <c r="AZ27" s="308"/>
      <c r="BA27" s="310">
        <f>IF(AX28=0,"-",(AX27/AX28))</f>
        <v>1.1186367593601538</v>
      </c>
      <c r="BB27" s="304"/>
      <c r="BC27" s="10">
        <f>+BC12</f>
        <v>150079.80754763054</v>
      </c>
      <c r="BD27" s="306"/>
      <c r="BE27" s="308"/>
      <c r="BF27" s="310">
        <f>IF(BC28=0,"-",(BC27/BC28))</f>
        <v>1.095050403984632</v>
      </c>
      <c r="BG27" s="304"/>
      <c r="BH27" s="10">
        <f>+BH12</f>
        <v>165545.42591284707</v>
      </c>
      <c r="BI27" s="306"/>
      <c r="BJ27" s="308"/>
      <c r="BK27" s="310">
        <f>IF(BH28=0,"-",(BH27/BH28))</f>
        <v>0.9035370992990065</v>
      </c>
      <c r="BL27" s="304"/>
      <c r="BM27" s="10">
        <f>+BM12</f>
        <v>176132.00737193864</v>
      </c>
      <c r="BN27" s="306"/>
      <c r="BO27" s="308"/>
      <c r="BP27" s="310">
        <f>IF(BM28=0,"-",(BM27/BM28))</f>
        <v>0.92363446201001631</v>
      </c>
      <c r="BQ27" s="304"/>
      <c r="BR27" s="10">
        <f>+BR12</f>
        <v>168887.11406020238</v>
      </c>
      <c r="BS27" s="306"/>
      <c r="BT27" s="308"/>
      <c r="BU27" s="310">
        <f>IF(BR28=0,"-",(BR27/BR28))</f>
        <v>1.1096911957766051</v>
      </c>
      <c r="BV27" s="304"/>
      <c r="BW27" s="10">
        <f>+BW12</f>
        <v>186822.29642525339</v>
      </c>
      <c r="BX27" s="306"/>
      <c r="BY27" s="308"/>
      <c r="BZ27" s="310">
        <f>IF(BW28=0,"-",(BW27/BW28))</f>
        <v>0.96138548695526149</v>
      </c>
      <c r="CA27" s="304"/>
      <c r="CB27" s="10">
        <f>+CB12</f>
        <v>164449.18406024383</v>
      </c>
      <c r="CC27" s="306"/>
      <c r="CD27" s="308"/>
      <c r="CE27" s="310">
        <f>IF(CB28=0,"-",(CB27/CB28))</f>
        <v>1.0004909123199506</v>
      </c>
      <c r="CF27" s="304"/>
      <c r="CG27" s="10">
        <f>+CG12</f>
        <v>210560.48789302495</v>
      </c>
      <c r="CH27" s="306"/>
      <c r="CI27" s="308"/>
      <c r="CJ27" s="310">
        <f>IF(CG28=0,"-",(CG27/CG28))</f>
        <v>1.0424342516423688</v>
      </c>
      <c r="CK27" s="304"/>
      <c r="CL27" s="10">
        <f>+CL12</f>
        <v>189103.8323222519</v>
      </c>
      <c r="CM27" s="306"/>
      <c r="CN27" s="308"/>
      <c r="CO27" s="310">
        <f>IF(CL28=0,"-",(CL27/CL28))</f>
        <v>0.96724348910382474</v>
      </c>
      <c r="CP27" s="304"/>
      <c r="CQ27" s="10">
        <f>+CQ12</f>
        <v>206106.80664579821</v>
      </c>
      <c r="CR27" s="306"/>
      <c r="CS27" s="308"/>
      <c r="CT27" s="310">
        <f>IF(CQ28=0,"-",(CQ27/CQ28))</f>
        <v>1.1527088931560499</v>
      </c>
    </row>
    <row r="28" spans="1:98" ht="18" customHeight="1" x14ac:dyDescent="0.2">
      <c r="A28" s="17"/>
      <c r="B28" s="321"/>
      <c r="C28" s="323"/>
      <c r="D28" s="305"/>
      <c r="E28" s="12">
        <f>+E7</f>
        <v>172019.03114186903</v>
      </c>
      <c r="F28" s="307"/>
      <c r="G28" s="309"/>
      <c r="H28" s="311"/>
      <c r="I28" s="305"/>
      <c r="J28" s="12">
        <f>+J7</f>
        <v>212450.44757033247</v>
      </c>
      <c r="K28" s="307"/>
      <c r="L28" s="309"/>
      <c r="M28" s="311"/>
      <c r="N28" s="305"/>
      <c r="O28" s="12">
        <f>+O7</f>
        <v>154580.10133306755</v>
      </c>
      <c r="P28" s="307"/>
      <c r="Q28" s="309"/>
      <c r="R28" s="311"/>
      <c r="S28" s="305"/>
      <c r="T28" s="12">
        <f>+T7</f>
        <v>171774.86786850065</v>
      </c>
      <c r="U28" s="307"/>
      <c r="V28" s="309"/>
      <c r="W28" s="311"/>
      <c r="X28" s="305"/>
      <c r="Y28" s="12">
        <f>+Y7</f>
        <v>163112.00143486558</v>
      </c>
      <c r="Z28" s="307"/>
      <c r="AA28" s="309"/>
      <c r="AB28" s="311"/>
      <c r="AC28" s="305"/>
      <c r="AD28" s="12">
        <f>+AD7</f>
        <v>199954.09914388359</v>
      </c>
      <c r="AE28" s="307"/>
      <c r="AF28" s="309"/>
      <c r="AG28" s="311"/>
      <c r="AH28" s="305"/>
      <c r="AI28" s="12">
        <f>+AI7</f>
        <v>237743.32485038225</v>
      </c>
      <c r="AJ28" s="307"/>
      <c r="AK28" s="309"/>
      <c r="AL28" s="311"/>
      <c r="AM28" s="305"/>
      <c r="AN28" s="12">
        <f>+AN7</f>
        <v>157889.46589738407</v>
      </c>
      <c r="AO28" s="307"/>
      <c r="AP28" s="309"/>
      <c r="AQ28" s="311"/>
      <c r="AR28" s="305"/>
      <c r="AS28" s="12">
        <f>+AS7</f>
        <v>152668.71520667465</v>
      </c>
      <c r="AT28" s="307"/>
      <c r="AU28" s="309"/>
      <c r="AV28" s="311"/>
      <c r="AW28" s="305"/>
      <c r="AX28" s="12">
        <f>+AX7</f>
        <v>134108.25605754138</v>
      </c>
      <c r="AY28" s="307"/>
      <c r="AZ28" s="309"/>
      <c r="BA28" s="311"/>
      <c r="BB28" s="305"/>
      <c r="BC28" s="12">
        <f>+BC7</f>
        <v>137052.87628909614</v>
      </c>
      <c r="BD28" s="307"/>
      <c r="BE28" s="309"/>
      <c r="BF28" s="311"/>
      <c r="BG28" s="305"/>
      <c r="BH28" s="12">
        <f>+BH7</f>
        <v>183219.29010029871</v>
      </c>
      <c r="BI28" s="307"/>
      <c r="BJ28" s="309"/>
      <c r="BK28" s="311"/>
      <c r="BL28" s="305"/>
      <c r="BM28" s="12">
        <f>+BM7</f>
        <v>190694.49508048844</v>
      </c>
      <c r="BN28" s="307"/>
      <c r="BO28" s="309"/>
      <c r="BP28" s="311"/>
      <c r="BQ28" s="305"/>
      <c r="BR28" s="12">
        <f>+BR7</f>
        <v>152192.89357523341</v>
      </c>
      <c r="BS28" s="307"/>
      <c r="BT28" s="309"/>
      <c r="BU28" s="311"/>
      <c r="BV28" s="305"/>
      <c r="BW28" s="12">
        <f>+BW7</f>
        <v>194326.10431526855</v>
      </c>
      <c r="BX28" s="307"/>
      <c r="BY28" s="309"/>
      <c r="BZ28" s="311"/>
      <c r="CA28" s="305"/>
      <c r="CB28" s="12">
        <f>+CB7</f>
        <v>164368.49354175248</v>
      </c>
      <c r="CC28" s="307"/>
      <c r="CD28" s="309"/>
      <c r="CE28" s="311"/>
      <c r="CF28" s="305"/>
      <c r="CG28" s="12">
        <f>+CG7</f>
        <v>201989.22623780268</v>
      </c>
      <c r="CH28" s="307"/>
      <c r="CI28" s="309"/>
      <c r="CJ28" s="311"/>
      <c r="CK28" s="305"/>
      <c r="CL28" s="12">
        <f>+CL7</f>
        <v>195507.99199223489</v>
      </c>
      <c r="CM28" s="307"/>
      <c r="CN28" s="309"/>
      <c r="CO28" s="311"/>
      <c r="CP28" s="305"/>
      <c r="CQ28" s="12">
        <f>+CQ7</f>
        <v>178802.13111004094</v>
      </c>
      <c r="CR28" s="307"/>
      <c r="CS28" s="309"/>
      <c r="CT28" s="311"/>
    </row>
    <row r="29" spans="1:98" ht="18" customHeight="1" x14ac:dyDescent="0.2">
      <c r="A29" s="17"/>
      <c r="B29" s="320" t="s">
        <v>137</v>
      </c>
      <c r="C29" s="322" t="s">
        <v>136</v>
      </c>
      <c r="D29" s="304"/>
      <c r="E29" s="10">
        <f>+E12</f>
        <v>178690.05190311401</v>
      </c>
      <c r="F29" s="306"/>
      <c r="G29" s="308"/>
      <c r="H29" s="310">
        <f>IF(E30=0,"-",(E29/E30))</f>
        <v>2.2785482755197379</v>
      </c>
      <c r="I29" s="304"/>
      <c r="J29" s="10">
        <f>+J12</f>
        <v>228162.5106564365</v>
      </c>
      <c r="K29" s="306"/>
      <c r="L29" s="308"/>
      <c r="M29" s="310">
        <f>IF(J30=0,"-",(J29/J30))</f>
        <v>2.4726122711530092</v>
      </c>
      <c r="N29" s="304"/>
      <c r="O29" s="10">
        <f>+O12</f>
        <v>185528.85343416347</v>
      </c>
      <c r="P29" s="306"/>
      <c r="Q29" s="308"/>
      <c r="R29" s="310">
        <f>IF(O30=0,"-",(O29/O30))</f>
        <v>3.3699062296141635</v>
      </c>
      <c r="S29" s="304"/>
      <c r="T29" s="10">
        <f>+T12</f>
        <v>167398.51104675228</v>
      </c>
      <c r="U29" s="306"/>
      <c r="V29" s="308"/>
      <c r="W29" s="310">
        <f>IF(T30=0,"-",(T29/T30))</f>
        <v>2.1894664132109058</v>
      </c>
      <c r="X29" s="304"/>
      <c r="Y29" s="10">
        <f>+Y12</f>
        <v>173287.57670911792</v>
      </c>
      <c r="Z29" s="306"/>
      <c r="AA29" s="308"/>
      <c r="AB29" s="310">
        <f>IF(Y30=0,"-",(Y29/Y30))</f>
        <v>2.5718786450230939</v>
      </c>
      <c r="AC29" s="304"/>
      <c r="AD29" s="10">
        <f>+AD12</f>
        <v>177881.84871766673</v>
      </c>
      <c r="AE29" s="306"/>
      <c r="AF29" s="308"/>
      <c r="AG29" s="310">
        <f>IF(AD30=0,"-",(AD29/AD30))</f>
        <v>1.920063526919475</v>
      </c>
      <c r="AH29" s="304"/>
      <c r="AI29" s="10">
        <f>+AI12</f>
        <v>171715.58089207942</v>
      </c>
      <c r="AJ29" s="306"/>
      <c r="AK29" s="308"/>
      <c r="AL29" s="310">
        <f>IF(AI30=0,"-",(AI29/AI30))</f>
        <v>1.4711506872716436</v>
      </c>
      <c r="AM29" s="304"/>
      <c r="AN29" s="10">
        <f>+AN12</f>
        <v>149769.25517416568</v>
      </c>
      <c r="AO29" s="306"/>
      <c r="AP29" s="308"/>
      <c r="AQ29" s="310">
        <f>IF(AN30=0,"-",(AN29/AN30))</f>
        <v>1.9498412791718385</v>
      </c>
      <c r="AR29" s="304"/>
      <c r="AS29" s="10">
        <f>+AS12</f>
        <v>157111.54862516082</v>
      </c>
      <c r="AT29" s="306"/>
      <c r="AU29" s="308"/>
      <c r="AV29" s="310">
        <f>IF(AS30=0,"-",(AS29/AS30))</f>
        <v>2.5425368758161619</v>
      </c>
      <c r="AW29" s="304"/>
      <c r="AX29" s="10">
        <f>+AX12</f>
        <v>150018.4249596498</v>
      </c>
      <c r="AY29" s="306"/>
      <c r="AZ29" s="308"/>
      <c r="BA29" s="310">
        <f>IF(AX30=0,"-",(AX29/AX30))</f>
        <v>2.4998639280798285</v>
      </c>
      <c r="BB29" s="304"/>
      <c r="BC29" s="10">
        <f>+BC12</f>
        <v>150079.80754763054</v>
      </c>
      <c r="BD29" s="306"/>
      <c r="BE29" s="308"/>
      <c r="BF29" s="310">
        <f>IF(BC30=0,"-",(BC29/BC30))</f>
        <v>2.5714752532171334</v>
      </c>
      <c r="BG29" s="304"/>
      <c r="BH29" s="10">
        <f>+BH12</f>
        <v>165545.42591284707</v>
      </c>
      <c r="BI29" s="306"/>
      <c r="BJ29" s="308"/>
      <c r="BK29" s="310">
        <f>IF(BH30=0,"-",(BH29/BH30))</f>
        <v>2.2799537467031517</v>
      </c>
      <c r="BL29" s="304"/>
      <c r="BM29" s="10">
        <f>+BM12</f>
        <v>176132.00737193864</v>
      </c>
      <c r="BN29" s="306"/>
      <c r="BO29" s="308"/>
      <c r="BP29" s="310">
        <f>IF(BM30=0,"-",(BM29/BM30))</f>
        <v>2.1836441013991048</v>
      </c>
      <c r="BQ29" s="304"/>
      <c r="BR29" s="10">
        <f>+BR12</f>
        <v>168887.11406020238</v>
      </c>
      <c r="BS29" s="306"/>
      <c r="BT29" s="308"/>
      <c r="BU29" s="310">
        <f>IF(BR30=0,"-",(BR29/BR30))</f>
        <v>2.4912740972054879</v>
      </c>
      <c r="BV29" s="304"/>
      <c r="BW29" s="10">
        <f>+BW12</f>
        <v>186822.29642525339</v>
      </c>
      <c r="BX29" s="306"/>
      <c r="BY29" s="308"/>
      <c r="BZ29" s="310">
        <f>IF(BW30=0,"-",(BW29/BW30))</f>
        <v>2.0291647505298993</v>
      </c>
      <c r="CA29" s="304"/>
      <c r="CB29" s="10">
        <f>+CB12</f>
        <v>164449.18406024383</v>
      </c>
      <c r="CC29" s="306"/>
      <c r="CD29" s="308"/>
      <c r="CE29" s="310">
        <f>IF(CB30=0,"-",(CB29/CB30))</f>
        <v>2.3212153414652836</v>
      </c>
      <c r="CF29" s="304"/>
      <c r="CG29" s="10">
        <f>+CG12</f>
        <v>210560.48789302495</v>
      </c>
      <c r="CH29" s="306"/>
      <c r="CI29" s="308"/>
      <c r="CJ29" s="310">
        <f>IF(CG30=0,"-",(CG29/CG30))</f>
        <v>2.4985612737987322</v>
      </c>
      <c r="CK29" s="304"/>
      <c r="CL29" s="10">
        <f>+CL12</f>
        <v>189103.8323222519</v>
      </c>
      <c r="CM29" s="306"/>
      <c r="CN29" s="308"/>
      <c r="CO29" s="310">
        <f>IF(CL30=0,"-",(CL29/CL30))</f>
        <v>2.3855148371885146</v>
      </c>
      <c r="CP29" s="304"/>
      <c r="CQ29" s="10">
        <f>+CQ12</f>
        <v>206106.80664579821</v>
      </c>
      <c r="CR29" s="306"/>
      <c r="CS29" s="308"/>
      <c r="CT29" s="310">
        <f>IF(CQ30=0,"-",(CQ29/CQ30))</f>
        <v>3.0781404420760556</v>
      </c>
    </row>
    <row r="30" spans="1:98" ht="18" customHeight="1" x14ac:dyDescent="0.2">
      <c r="A30" s="17"/>
      <c r="B30" s="321"/>
      <c r="C30" s="323"/>
      <c r="D30" s="305"/>
      <c r="E30" s="12">
        <f>+BS!K15</f>
        <v>78422.763222936206</v>
      </c>
      <c r="F30" s="307"/>
      <c r="G30" s="309"/>
      <c r="H30" s="311"/>
      <c r="I30" s="305"/>
      <c r="J30" s="12">
        <f>+BS!L15</f>
        <v>92275.895140664958</v>
      </c>
      <c r="K30" s="307"/>
      <c r="L30" s="309"/>
      <c r="M30" s="311"/>
      <c r="N30" s="305"/>
      <c r="O30" s="12">
        <f>+BS!M15</f>
        <v>55054.604132235909</v>
      </c>
      <c r="P30" s="307"/>
      <c r="Q30" s="309"/>
      <c r="R30" s="311"/>
      <c r="S30" s="305"/>
      <c r="T30" s="12">
        <f>+BS!N15</f>
        <v>76456.304621388685</v>
      </c>
      <c r="U30" s="307"/>
      <c r="V30" s="309"/>
      <c r="W30" s="311"/>
      <c r="X30" s="305"/>
      <c r="Y30" s="12">
        <f>+BS!O15</f>
        <v>67377.820117776937</v>
      </c>
      <c r="Z30" s="307"/>
      <c r="AA30" s="309"/>
      <c r="AB30" s="311"/>
      <c r="AC30" s="305"/>
      <c r="AD30" s="12">
        <f>+BS!P15</f>
        <v>92643.730909809034</v>
      </c>
      <c r="AE30" s="307"/>
      <c r="AF30" s="309"/>
      <c r="AG30" s="311"/>
      <c r="AH30" s="305"/>
      <c r="AI30" s="12">
        <f>+BS!Q15</f>
        <v>116721.95267130555</v>
      </c>
      <c r="AJ30" s="307"/>
      <c r="AK30" s="309"/>
      <c r="AL30" s="311"/>
      <c r="AM30" s="305"/>
      <c r="AN30" s="12">
        <f>+BS!R15</f>
        <v>76810.998297142214</v>
      </c>
      <c r="AO30" s="307"/>
      <c r="AP30" s="309"/>
      <c r="AQ30" s="311"/>
      <c r="AR30" s="305"/>
      <c r="AS30" s="12">
        <f>+BS!S15</f>
        <v>61793.223185692266</v>
      </c>
      <c r="AT30" s="307"/>
      <c r="AU30" s="309"/>
      <c r="AV30" s="311"/>
      <c r="AW30" s="305"/>
      <c r="AX30" s="12">
        <f>+BS!T15</f>
        <v>60010.636288864138</v>
      </c>
      <c r="AY30" s="307"/>
      <c r="AZ30" s="309"/>
      <c r="BA30" s="311"/>
      <c r="BB30" s="305"/>
      <c r="BC30" s="12">
        <f>+BS!U15</f>
        <v>58363.310072639426</v>
      </c>
      <c r="BD30" s="307"/>
      <c r="BE30" s="309"/>
      <c r="BF30" s="311"/>
      <c r="BG30" s="305"/>
      <c r="BH30" s="12">
        <f>+BS!V15</f>
        <v>72609.115931508844</v>
      </c>
      <c r="BI30" s="307"/>
      <c r="BJ30" s="309"/>
      <c r="BK30" s="311"/>
      <c r="BL30" s="305"/>
      <c r="BM30" s="12">
        <f>+BS!W15</f>
        <v>80659.66759834504</v>
      </c>
      <c r="BN30" s="307"/>
      <c r="BO30" s="309"/>
      <c r="BP30" s="311"/>
      <c r="BQ30" s="305"/>
      <c r="BR30" s="12">
        <f>+BS!X15</f>
        <v>67791.462308240763</v>
      </c>
      <c r="BS30" s="307"/>
      <c r="BT30" s="309"/>
      <c r="BU30" s="311"/>
      <c r="BV30" s="305"/>
      <c r="BW30" s="12">
        <f>+BS!Y15</f>
        <v>92068.569778016463</v>
      </c>
      <c r="BX30" s="307"/>
      <c r="BY30" s="309"/>
      <c r="BZ30" s="311"/>
      <c r="CA30" s="305"/>
      <c r="CB30" s="12">
        <f>+BS!Z15</f>
        <v>70846.15594365068</v>
      </c>
      <c r="CC30" s="307"/>
      <c r="CD30" s="309"/>
      <c r="CE30" s="311"/>
      <c r="CF30" s="305"/>
      <c r="CG30" s="12">
        <f>+BS!AA15</f>
        <v>84272.693289965056</v>
      </c>
      <c r="CH30" s="307"/>
      <c r="CI30" s="309"/>
      <c r="CJ30" s="311"/>
      <c r="CK30" s="305"/>
      <c r="CL30" s="12">
        <f>+BS!AB15</f>
        <v>79271.706624605664</v>
      </c>
      <c r="CM30" s="307"/>
      <c r="CN30" s="309"/>
      <c r="CO30" s="311"/>
      <c r="CP30" s="305"/>
      <c r="CQ30" s="12">
        <f>+BS!AC15</f>
        <v>66958.220563448107</v>
      </c>
      <c r="CR30" s="307"/>
      <c r="CS30" s="309"/>
      <c r="CT30" s="311"/>
    </row>
    <row r="31" spans="1:98" ht="18" customHeight="1" x14ac:dyDescent="0.2">
      <c r="A31" s="17"/>
      <c r="B31" s="320" t="s">
        <v>138</v>
      </c>
      <c r="C31" s="322" t="s">
        <v>139</v>
      </c>
      <c r="D31" s="304"/>
      <c r="E31" s="10">
        <f>+BS!K11</f>
        <v>38694.018783984204</v>
      </c>
      <c r="F31" s="306" t="s">
        <v>121</v>
      </c>
      <c r="G31" s="308">
        <v>365</v>
      </c>
      <c r="H31" s="310">
        <f>IF(E32=0,"-",(E31/E32)*G31)</f>
        <v>79.038070142885829</v>
      </c>
      <c r="I31" s="304"/>
      <c r="J31" s="10">
        <f>+BS!L11</f>
        <v>48175.191815856779</v>
      </c>
      <c r="K31" s="306" t="s">
        <v>111</v>
      </c>
      <c r="L31" s="308">
        <v>365</v>
      </c>
      <c r="M31" s="310">
        <f>IF(J32=0,"-",(J31/J32)*L31)</f>
        <v>77.067634653027426</v>
      </c>
      <c r="N31" s="304"/>
      <c r="O31" s="10">
        <f>+BS!M11</f>
        <v>39573.04594253601</v>
      </c>
      <c r="P31" s="306" t="s">
        <v>111</v>
      </c>
      <c r="Q31" s="308">
        <v>365</v>
      </c>
      <c r="R31" s="310">
        <f>IF(O32=0,"-",(O31/O32)*Q31)</f>
        <v>77.853991450183145</v>
      </c>
      <c r="S31" s="304"/>
      <c r="T31" s="10">
        <f>+BS!N11</f>
        <v>32442.463212443654</v>
      </c>
      <c r="U31" s="306" t="s">
        <v>111</v>
      </c>
      <c r="V31" s="308">
        <v>365</v>
      </c>
      <c r="W31" s="310">
        <f>IF(T32=0,"-",(T31/T32)*V31)</f>
        <v>70.738377530937257</v>
      </c>
      <c r="X31" s="304"/>
      <c r="Y31" s="10">
        <f>+BS!O11</f>
        <v>34439.329685222314</v>
      </c>
      <c r="Z31" s="306" t="s">
        <v>111</v>
      </c>
      <c r="AA31" s="308">
        <v>365</v>
      </c>
      <c r="AB31" s="310">
        <f>IF(Y32=0,"-",(Y31/Y32)*AA31)</f>
        <v>72.540430040214915</v>
      </c>
      <c r="AC31" s="304"/>
      <c r="AD31" s="10">
        <f>+BS!P11</f>
        <v>45534.473771411773</v>
      </c>
      <c r="AE31" s="306" t="s">
        <v>111</v>
      </c>
      <c r="AF31" s="308">
        <v>365</v>
      </c>
      <c r="AG31" s="310">
        <f>IF(AD32=0,"-",(AD31/AD32)*AF31)</f>
        <v>93.433270715240994</v>
      </c>
      <c r="AH31" s="304"/>
      <c r="AI31" s="10">
        <f>+BS!Q11</f>
        <v>49066.276969338047</v>
      </c>
      <c r="AJ31" s="306" t="s">
        <v>121</v>
      </c>
      <c r="AK31" s="308">
        <v>365</v>
      </c>
      <c r="AL31" s="310">
        <f>IF(AI32=0,"-",(AI31/AI32)*AK31)</f>
        <v>104.29566729337181</v>
      </c>
      <c r="AM31" s="304"/>
      <c r="AN31" s="10">
        <f>+BS!R11</f>
        <v>29553.854739792274</v>
      </c>
      <c r="AO31" s="306" t="s">
        <v>118</v>
      </c>
      <c r="AP31" s="308">
        <v>365</v>
      </c>
      <c r="AQ31" s="310">
        <f>IF(AN32=0,"-",(AN31/AN32)*AP31)</f>
        <v>72.0251761116116</v>
      </c>
      <c r="AR31" s="304"/>
      <c r="AS31" s="10">
        <f>+BS!S11</f>
        <v>37131.494778621753</v>
      </c>
      <c r="AT31" s="306" t="s">
        <v>111</v>
      </c>
      <c r="AU31" s="308">
        <v>365</v>
      </c>
      <c r="AV31" s="310">
        <f>IF(AS32=0,"-",(AS31/AS32)*AU31)</f>
        <v>86.263522400456296</v>
      </c>
      <c r="AW31" s="304"/>
      <c r="AX31" s="10">
        <f>+BS!T11</f>
        <v>26051.563148250851</v>
      </c>
      <c r="AY31" s="306" t="s">
        <v>111</v>
      </c>
      <c r="AZ31" s="308">
        <v>365</v>
      </c>
      <c r="BA31" s="310">
        <f>IF(AX32=0,"-",(AX31/AX32)*AZ31)</f>
        <v>63.384351299976203</v>
      </c>
      <c r="BB31" s="304"/>
      <c r="BC31" s="10">
        <f>+BS!U11</f>
        <v>24856.344486256716</v>
      </c>
      <c r="BD31" s="306" t="s">
        <v>111</v>
      </c>
      <c r="BE31" s="308">
        <v>365</v>
      </c>
      <c r="BF31" s="310">
        <f>IF(BC32=0,"-",(BC31/BC32)*BE31)</f>
        <v>60.451608285840571</v>
      </c>
      <c r="BG31" s="304"/>
      <c r="BH31" s="10">
        <f>+BS!V11</f>
        <v>35690.103320453491</v>
      </c>
      <c r="BI31" s="306" t="s">
        <v>111</v>
      </c>
      <c r="BJ31" s="308">
        <v>365</v>
      </c>
      <c r="BK31" s="310">
        <f>IF(BH32=0,"-",(BH31/BH32)*BJ31)</f>
        <v>78.690713682561366</v>
      </c>
      <c r="BL31" s="304"/>
      <c r="BM31" s="10">
        <f>+BS!W11</f>
        <v>38435.39365777019</v>
      </c>
      <c r="BN31" s="306" t="s">
        <v>111</v>
      </c>
      <c r="BO31" s="308">
        <v>365</v>
      </c>
      <c r="BP31" s="310">
        <f>IF(BM32=0,"-",(BM31/BM32)*BO31)</f>
        <v>79.650024401647784</v>
      </c>
      <c r="BQ31" s="304"/>
      <c r="BR31" s="10">
        <f>+BS!X11</f>
        <v>28739.948496298479</v>
      </c>
      <c r="BS31" s="306" t="s">
        <v>111</v>
      </c>
      <c r="BT31" s="308">
        <v>365</v>
      </c>
      <c r="BU31" s="310">
        <f>IF(BR32=0,"-",(BR31/BR32)*BT31)</f>
        <v>62.112975637736312</v>
      </c>
      <c r="BV31" s="304"/>
      <c r="BW31" s="10">
        <f>+BS!Y11</f>
        <v>28562.182153677066</v>
      </c>
      <c r="BX31" s="306" t="s">
        <v>111</v>
      </c>
      <c r="BY31" s="308">
        <v>365</v>
      </c>
      <c r="BZ31" s="310">
        <f>IF(BW32=0,"-",(BW31/BW32)*BY31)</f>
        <v>55.802742421931391</v>
      </c>
      <c r="CA31" s="304"/>
      <c r="CB31" s="10">
        <f>+BS!Z11</f>
        <v>29504.318765770382</v>
      </c>
      <c r="CC31" s="306" t="s">
        <v>111</v>
      </c>
      <c r="CD31" s="308">
        <v>365</v>
      </c>
      <c r="CE31" s="310">
        <f>IF(CB32=0,"-",(CB31/CB32)*CD31)</f>
        <v>65.485739020517599</v>
      </c>
      <c r="CF31" s="304"/>
      <c r="CG31" s="10">
        <f>+BS!AA11</f>
        <v>34178.498494157335</v>
      </c>
      <c r="CH31" s="306" t="s">
        <v>111</v>
      </c>
      <c r="CI31" s="308">
        <v>365</v>
      </c>
      <c r="CJ31" s="310">
        <f>IF(CG32=0,"-",(CG31/CG32)*CI31)</f>
        <v>59.247354882200959</v>
      </c>
      <c r="CK31" s="304"/>
      <c r="CL31" s="10">
        <f>+BS!AB11</f>
        <v>27828.816913370541</v>
      </c>
      <c r="CM31" s="306" t="s">
        <v>111</v>
      </c>
      <c r="CN31" s="308">
        <v>365</v>
      </c>
      <c r="CO31" s="310">
        <f>IF(CL32=0,"-",(CL31/CL32)*CN31)</f>
        <v>53.713973157724361</v>
      </c>
      <c r="CP31" s="304"/>
      <c r="CQ31" s="10">
        <f>+BS!AC11</f>
        <v>32595.183963399955</v>
      </c>
      <c r="CR31" s="306" t="s">
        <v>111</v>
      </c>
      <c r="CS31" s="308">
        <v>365</v>
      </c>
      <c r="CT31" s="310">
        <f>IF(CQ32=0,"-",(CQ31/CQ32)*CS31)</f>
        <v>57.723674148650566</v>
      </c>
    </row>
    <row r="32" spans="1:98" ht="18" customHeight="1" x14ac:dyDescent="0.2">
      <c r="A32" s="17"/>
      <c r="B32" s="321"/>
      <c r="C32" s="323"/>
      <c r="D32" s="305"/>
      <c r="E32" s="12">
        <f>+E12</f>
        <v>178690.05190311401</v>
      </c>
      <c r="F32" s="307"/>
      <c r="G32" s="309"/>
      <c r="H32" s="311"/>
      <c r="I32" s="305"/>
      <c r="J32" s="12">
        <f>+J12</f>
        <v>228162.5106564365</v>
      </c>
      <c r="K32" s="307"/>
      <c r="L32" s="309"/>
      <c r="M32" s="311"/>
      <c r="N32" s="305"/>
      <c r="O32" s="12">
        <f>+O12</f>
        <v>185528.85343416347</v>
      </c>
      <c r="P32" s="307"/>
      <c r="Q32" s="309"/>
      <c r="R32" s="311"/>
      <c r="S32" s="305"/>
      <c r="T32" s="12">
        <f>+T12</f>
        <v>167398.51104675228</v>
      </c>
      <c r="U32" s="307"/>
      <c r="V32" s="309"/>
      <c r="W32" s="311"/>
      <c r="X32" s="305"/>
      <c r="Y32" s="12">
        <f>+Y12</f>
        <v>173287.57670911792</v>
      </c>
      <c r="Z32" s="307"/>
      <c r="AA32" s="309"/>
      <c r="AB32" s="311"/>
      <c r="AC32" s="305"/>
      <c r="AD32" s="12">
        <f>+AD12</f>
        <v>177881.84871766673</v>
      </c>
      <c r="AE32" s="307"/>
      <c r="AF32" s="309"/>
      <c r="AG32" s="311"/>
      <c r="AH32" s="305"/>
      <c r="AI32" s="12">
        <f>+AI12</f>
        <v>171715.58089207942</v>
      </c>
      <c r="AJ32" s="307"/>
      <c r="AK32" s="309"/>
      <c r="AL32" s="311"/>
      <c r="AM32" s="305"/>
      <c r="AN32" s="12">
        <f>+AN12</f>
        <v>149769.25517416568</v>
      </c>
      <c r="AO32" s="307"/>
      <c r="AP32" s="309"/>
      <c r="AQ32" s="311"/>
      <c r="AR32" s="305"/>
      <c r="AS32" s="12">
        <f>+AS12</f>
        <v>157111.54862516082</v>
      </c>
      <c r="AT32" s="307"/>
      <c r="AU32" s="309"/>
      <c r="AV32" s="311"/>
      <c r="AW32" s="305"/>
      <c r="AX32" s="12">
        <f>+AX12</f>
        <v>150018.4249596498</v>
      </c>
      <c r="AY32" s="307"/>
      <c r="AZ32" s="309"/>
      <c r="BA32" s="311"/>
      <c r="BB32" s="305"/>
      <c r="BC32" s="12">
        <f>+BC12</f>
        <v>150079.80754763054</v>
      </c>
      <c r="BD32" s="307"/>
      <c r="BE32" s="309"/>
      <c r="BF32" s="311"/>
      <c r="BG32" s="305"/>
      <c r="BH32" s="12">
        <f>+BH12</f>
        <v>165545.42591284707</v>
      </c>
      <c r="BI32" s="307"/>
      <c r="BJ32" s="309"/>
      <c r="BK32" s="311"/>
      <c r="BL32" s="305"/>
      <c r="BM32" s="12">
        <f>+BM12</f>
        <v>176132.00737193864</v>
      </c>
      <c r="BN32" s="307"/>
      <c r="BO32" s="309"/>
      <c r="BP32" s="311"/>
      <c r="BQ32" s="305"/>
      <c r="BR32" s="12">
        <f>+BR12</f>
        <v>168887.11406020238</v>
      </c>
      <c r="BS32" s="307"/>
      <c r="BT32" s="309"/>
      <c r="BU32" s="311"/>
      <c r="BV32" s="305"/>
      <c r="BW32" s="12">
        <f>+BW12</f>
        <v>186822.29642525339</v>
      </c>
      <c r="BX32" s="307"/>
      <c r="BY32" s="309"/>
      <c r="BZ32" s="311"/>
      <c r="CA32" s="305"/>
      <c r="CB32" s="12">
        <f>+CB12</f>
        <v>164449.18406024383</v>
      </c>
      <c r="CC32" s="307"/>
      <c r="CD32" s="309"/>
      <c r="CE32" s="311"/>
      <c r="CF32" s="305"/>
      <c r="CG32" s="12">
        <f>+CG12</f>
        <v>210560.48789302495</v>
      </c>
      <c r="CH32" s="307"/>
      <c r="CI32" s="309"/>
      <c r="CJ32" s="311"/>
      <c r="CK32" s="305"/>
      <c r="CL32" s="12">
        <f>+CL12</f>
        <v>189103.8323222519</v>
      </c>
      <c r="CM32" s="307"/>
      <c r="CN32" s="309"/>
      <c r="CO32" s="311"/>
      <c r="CP32" s="305"/>
      <c r="CQ32" s="12">
        <f>+CQ12</f>
        <v>206106.80664579821</v>
      </c>
      <c r="CR32" s="307"/>
      <c r="CS32" s="309"/>
      <c r="CT32" s="311"/>
    </row>
    <row r="33" spans="1:98" ht="18" customHeight="1" x14ac:dyDescent="0.2">
      <c r="A33" s="17"/>
      <c r="B33" s="320" t="s">
        <v>140</v>
      </c>
      <c r="C33" s="322" t="s">
        <v>139</v>
      </c>
      <c r="D33" s="304"/>
      <c r="E33" s="10">
        <f>+BS!K13</f>
        <v>16417.943648047501</v>
      </c>
      <c r="F33" s="306" t="s">
        <v>111</v>
      </c>
      <c r="G33" s="308">
        <v>365</v>
      </c>
      <c r="H33" s="310">
        <f>IF(E34=0,"-",(E33/E34)*G33)</f>
        <v>33.53599916567547</v>
      </c>
      <c r="I33" s="304"/>
      <c r="J33" s="10">
        <f>+BS!L13</f>
        <v>22448.849104859335</v>
      </c>
      <c r="K33" s="306" t="s">
        <v>111</v>
      </c>
      <c r="L33" s="308">
        <v>365</v>
      </c>
      <c r="M33" s="310">
        <f>IF(J34=0,"-",(J33/J34)*L33)</f>
        <v>35.912253506062598</v>
      </c>
      <c r="N33" s="304"/>
      <c r="O33" s="10">
        <f>+BS!M13</f>
        <v>18599.685283324008</v>
      </c>
      <c r="P33" s="306" t="s">
        <v>111</v>
      </c>
      <c r="Q33" s="308">
        <v>365</v>
      </c>
      <c r="R33" s="310">
        <f>IF(O34=0,"-",(O33/O34)*Q33)</f>
        <v>36.592071813899061</v>
      </c>
      <c r="S33" s="304"/>
      <c r="T33" s="10">
        <f>+BS!N13</f>
        <v>16033.775429642468</v>
      </c>
      <c r="U33" s="306" t="s">
        <v>111</v>
      </c>
      <c r="V33" s="308">
        <v>365</v>
      </c>
      <c r="W33" s="310">
        <f>IF(T34=0,"-",(T33/T34)*V33)</f>
        <v>34.960454517931886</v>
      </c>
      <c r="X33" s="304"/>
      <c r="Y33" s="10">
        <f>+BS!O13</f>
        <v>23828.269582550965</v>
      </c>
      <c r="Z33" s="306" t="s">
        <v>111</v>
      </c>
      <c r="AA33" s="308">
        <v>365</v>
      </c>
      <c r="AB33" s="310">
        <f>IF(Y34=0,"-",(Y33/Y34)*AA33)</f>
        <v>50.190086114658399</v>
      </c>
      <c r="AC33" s="304"/>
      <c r="AD33" s="10">
        <f>+BS!P13</f>
        <v>21135.073281923294</v>
      </c>
      <c r="AE33" s="306" t="s">
        <v>111</v>
      </c>
      <c r="AF33" s="308">
        <v>365</v>
      </c>
      <c r="AG33" s="310">
        <f>IF(AD34=0,"-",(AD33/AD34)*AF33)</f>
        <v>43.367560004090734</v>
      </c>
      <c r="AH33" s="304"/>
      <c r="AI33" s="10">
        <f>+BS!Q13</f>
        <v>19338.471086416128</v>
      </c>
      <c r="AJ33" s="306" t="s">
        <v>111</v>
      </c>
      <c r="AK33" s="308">
        <v>365</v>
      </c>
      <c r="AL33" s="310">
        <f>IF(AI34=0,"-",(AI33/AI34)*AK33)</f>
        <v>41.106007444822794</v>
      </c>
      <c r="AM33" s="304"/>
      <c r="AN33" s="10">
        <f>+BS!R13</f>
        <v>19147.792888323049</v>
      </c>
      <c r="AO33" s="306" t="s">
        <v>141</v>
      </c>
      <c r="AP33" s="308">
        <v>365</v>
      </c>
      <c r="AQ33" s="310">
        <f>IF(AN34=0,"-",(AN33/AN34)*AP33)</f>
        <v>46.664747021079293</v>
      </c>
      <c r="AR33" s="304"/>
      <c r="AS33" s="10">
        <f>+BS!S13</f>
        <v>20016.05194830785</v>
      </c>
      <c r="AT33" s="306" t="s">
        <v>111</v>
      </c>
      <c r="AU33" s="308">
        <v>365</v>
      </c>
      <c r="AV33" s="310">
        <f>IF(AS34=0,"-",(AS33/AS34)*AU33)</f>
        <v>46.501094445722742</v>
      </c>
      <c r="AW33" s="304"/>
      <c r="AX33" s="10">
        <f>+BS!T13</f>
        <v>18754.948958201272</v>
      </c>
      <c r="AY33" s="306" t="s">
        <v>111</v>
      </c>
      <c r="AZ33" s="308">
        <v>365</v>
      </c>
      <c r="BA33" s="310">
        <f>IF(AX34=0,"-",(AX33/AX34)*AZ33)</f>
        <v>45.631437415668792</v>
      </c>
      <c r="BB33" s="304"/>
      <c r="BC33" s="10">
        <f>+BS!U13</f>
        <v>16221.767376538846</v>
      </c>
      <c r="BD33" s="306" t="s">
        <v>111</v>
      </c>
      <c r="BE33" s="308">
        <v>365</v>
      </c>
      <c r="BF33" s="310">
        <f>IF(BC34=0,"-",(BC33/BC34)*BE33)</f>
        <v>39.451976846102767</v>
      </c>
      <c r="BG33" s="304"/>
      <c r="BH33" s="10">
        <f>+BS!V13</f>
        <v>24895.210475600972</v>
      </c>
      <c r="BI33" s="306" t="s">
        <v>111</v>
      </c>
      <c r="BJ33" s="308">
        <v>365</v>
      </c>
      <c r="BK33" s="310">
        <f>IF(BH34=0,"-",(BH33/BH34)*BJ33)</f>
        <v>54.889778883882656</v>
      </c>
      <c r="BL33" s="304"/>
      <c r="BM33" s="10">
        <f>+BS!W13</f>
        <v>18316.373817067783</v>
      </c>
      <c r="BN33" s="306" t="s">
        <v>111</v>
      </c>
      <c r="BO33" s="308">
        <v>365</v>
      </c>
      <c r="BP33" s="310">
        <f>IF(BM34=0,"-",(BM33/BM34)*BO33)</f>
        <v>37.957192125290405</v>
      </c>
      <c r="BQ33" s="304"/>
      <c r="BR33" s="10">
        <f>+BS!X13</f>
        <v>17645.943709875552</v>
      </c>
      <c r="BS33" s="306" t="s">
        <v>111</v>
      </c>
      <c r="BT33" s="308">
        <v>365</v>
      </c>
      <c r="BU33" s="310">
        <f>IF(BR34=0,"-",(BR33/BR34)*BT33)</f>
        <v>38.13653569690738</v>
      </c>
      <c r="BV33" s="304"/>
      <c r="BW33" s="10">
        <f>+BS!Y13</f>
        <v>20517.214953697439</v>
      </c>
      <c r="BX33" s="306" t="s">
        <v>111</v>
      </c>
      <c r="BY33" s="308">
        <v>365</v>
      </c>
      <c r="BZ33" s="310">
        <f>IF(BW34=0,"-",(BW33/BW34)*BY33)</f>
        <v>40.08506265790276</v>
      </c>
      <c r="CA33" s="304"/>
      <c r="CB33" s="10">
        <f>+BS!Z13</f>
        <v>18911.740486437833</v>
      </c>
      <c r="CC33" s="306" t="s">
        <v>111</v>
      </c>
      <c r="CD33" s="308">
        <v>365</v>
      </c>
      <c r="CE33" s="310">
        <f>IF(CB34=0,"-",(CB33/CB34)*CD33)</f>
        <v>41.975187149734126</v>
      </c>
      <c r="CF33" s="304"/>
      <c r="CG33" s="10">
        <f>+BS!AA13</f>
        <v>25310.437899048309</v>
      </c>
      <c r="CH33" s="306" t="s">
        <v>126</v>
      </c>
      <c r="CI33" s="308">
        <v>365</v>
      </c>
      <c r="CJ33" s="310">
        <f>IF(CG34=0,"-",(CG33/CG34)*CI33)</f>
        <v>43.874850051858481</v>
      </c>
      <c r="CK33" s="304"/>
      <c r="CL33" s="10">
        <f>+BS!AB13</f>
        <v>22253.11829652997</v>
      </c>
      <c r="CM33" s="306" t="s">
        <v>111</v>
      </c>
      <c r="CN33" s="308">
        <v>365</v>
      </c>
      <c r="CO33" s="310">
        <f>IF(CL34=0,"-",(CL33/CL34)*CN33)</f>
        <v>42.952001968908149</v>
      </c>
      <c r="CP33" s="304"/>
      <c r="CQ33" s="10">
        <f>+BS!AC13</f>
        <v>23494.040332289915</v>
      </c>
      <c r="CR33" s="306" t="s">
        <v>111</v>
      </c>
      <c r="CS33" s="308">
        <v>365</v>
      </c>
      <c r="CT33" s="310">
        <f>IF(CQ34=0,"-",(CQ33/CQ34)*CS33)</f>
        <v>41.606217964566383</v>
      </c>
    </row>
    <row r="34" spans="1:98" ht="18" customHeight="1" x14ac:dyDescent="0.2">
      <c r="A34" s="17"/>
      <c r="B34" s="321"/>
      <c r="C34" s="323"/>
      <c r="D34" s="305"/>
      <c r="E34" s="12">
        <f>+E12</f>
        <v>178690.05190311401</v>
      </c>
      <c r="F34" s="307"/>
      <c r="G34" s="309"/>
      <c r="H34" s="311"/>
      <c r="I34" s="305"/>
      <c r="J34" s="12">
        <f>+J12</f>
        <v>228162.5106564365</v>
      </c>
      <c r="K34" s="307"/>
      <c r="L34" s="309"/>
      <c r="M34" s="311"/>
      <c r="N34" s="305"/>
      <c r="O34" s="12">
        <f>+O12</f>
        <v>185528.85343416347</v>
      </c>
      <c r="P34" s="307"/>
      <c r="Q34" s="309"/>
      <c r="R34" s="311"/>
      <c r="S34" s="305"/>
      <c r="T34" s="12">
        <f>+T12</f>
        <v>167398.51104675228</v>
      </c>
      <c r="U34" s="307"/>
      <c r="V34" s="309"/>
      <c r="W34" s="311"/>
      <c r="X34" s="305"/>
      <c r="Y34" s="12">
        <f>+Y12</f>
        <v>173287.57670911792</v>
      </c>
      <c r="Z34" s="307"/>
      <c r="AA34" s="309"/>
      <c r="AB34" s="311"/>
      <c r="AC34" s="305"/>
      <c r="AD34" s="12">
        <f>+AD12</f>
        <v>177881.84871766673</v>
      </c>
      <c r="AE34" s="307"/>
      <c r="AF34" s="309"/>
      <c r="AG34" s="311"/>
      <c r="AH34" s="305"/>
      <c r="AI34" s="12">
        <f>+AI12</f>
        <v>171715.58089207942</v>
      </c>
      <c r="AJ34" s="307"/>
      <c r="AK34" s="309"/>
      <c r="AL34" s="311"/>
      <c r="AM34" s="305"/>
      <c r="AN34" s="12">
        <f>+AN12</f>
        <v>149769.25517416568</v>
      </c>
      <c r="AO34" s="307"/>
      <c r="AP34" s="309"/>
      <c r="AQ34" s="311"/>
      <c r="AR34" s="305"/>
      <c r="AS34" s="12">
        <f>+AS12</f>
        <v>157111.54862516082</v>
      </c>
      <c r="AT34" s="307"/>
      <c r="AU34" s="309"/>
      <c r="AV34" s="311"/>
      <c r="AW34" s="305"/>
      <c r="AX34" s="12">
        <f>+AX12</f>
        <v>150018.4249596498</v>
      </c>
      <c r="AY34" s="307"/>
      <c r="AZ34" s="309"/>
      <c r="BA34" s="311"/>
      <c r="BB34" s="305"/>
      <c r="BC34" s="12">
        <f>+BC12</f>
        <v>150079.80754763054</v>
      </c>
      <c r="BD34" s="307"/>
      <c r="BE34" s="309"/>
      <c r="BF34" s="311"/>
      <c r="BG34" s="305"/>
      <c r="BH34" s="12">
        <f>+BH12</f>
        <v>165545.42591284707</v>
      </c>
      <c r="BI34" s="307"/>
      <c r="BJ34" s="309"/>
      <c r="BK34" s="311"/>
      <c r="BL34" s="305"/>
      <c r="BM34" s="12">
        <f>+BM12</f>
        <v>176132.00737193864</v>
      </c>
      <c r="BN34" s="307"/>
      <c r="BO34" s="309"/>
      <c r="BP34" s="311"/>
      <c r="BQ34" s="305"/>
      <c r="BR34" s="12">
        <f>+BR12</f>
        <v>168887.11406020238</v>
      </c>
      <c r="BS34" s="307"/>
      <c r="BT34" s="309"/>
      <c r="BU34" s="311"/>
      <c r="BV34" s="305"/>
      <c r="BW34" s="12">
        <f>+BW12</f>
        <v>186822.29642525339</v>
      </c>
      <c r="BX34" s="307"/>
      <c r="BY34" s="309"/>
      <c r="BZ34" s="311"/>
      <c r="CA34" s="305"/>
      <c r="CB34" s="12">
        <f>+CB12</f>
        <v>164449.18406024383</v>
      </c>
      <c r="CC34" s="307"/>
      <c r="CD34" s="309"/>
      <c r="CE34" s="311"/>
      <c r="CF34" s="305"/>
      <c r="CG34" s="12">
        <f>+CG12</f>
        <v>210560.48789302495</v>
      </c>
      <c r="CH34" s="307"/>
      <c r="CI34" s="309"/>
      <c r="CJ34" s="311"/>
      <c r="CK34" s="305"/>
      <c r="CL34" s="12">
        <f>+CL12</f>
        <v>189103.8323222519</v>
      </c>
      <c r="CM34" s="307"/>
      <c r="CN34" s="309"/>
      <c r="CO34" s="311"/>
      <c r="CP34" s="305"/>
      <c r="CQ34" s="12">
        <f>+CQ12</f>
        <v>206106.80664579821</v>
      </c>
      <c r="CR34" s="307"/>
      <c r="CS34" s="309"/>
      <c r="CT34" s="311"/>
    </row>
    <row r="35" spans="1:98" ht="18" customHeight="1" x14ac:dyDescent="0.2">
      <c r="A35" s="17"/>
      <c r="B35" s="320" t="s">
        <v>142</v>
      </c>
      <c r="C35" s="322" t="s">
        <v>139</v>
      </c>
      <c r="D35" s="304"/>
      <c r="E35" s="10">
        <f>+BS!K32</f>
        <v>28577.360355907098</v>
      </c>
      <c r="F35" s="306" t="s">
        <v>143</v>
      </c>
      <c r="G35" s="308">
        <v>365</v>
      </c>
      <c r="H35" s="310">
        <f>IF(E36=0,"-",(E35/E36)*G35)</f>
        <v>58.373347697954948</v>
      </c>
      <c r="I35" s="304"/>
      <c r="J35" s="10">
        <f>+BS!L32</f>
        <v>26867.433930093779</v>
      </c>
      <c r="K35" s="306" t="s">
        <v>111</v>
      </c>
      <c r="L35" s="308">
        <v>365</v>
      </c>
      <c r="M35" s="310">
        <f>IF(J36=0,"-",(J35/J36)*L35)</f>
        <v>42.98082693896577</v>
      </c>
      <c r="N35" s="304"/>
      <c r="O35" s="10">
        <f>+BS!M32</f>
        <v>25358.542342255274</v>
      </c>
      <c r="P35" s="306" t="s">
        <v>111</v>
      </c>
      <c r="Q35" s="308">
        <v>365</v>
      </c>
      <c r="R35" s="310">
        <f>IF(O36=0,"-",(O35/O36)*Q35)</f>
        <v>49.889102334196771</v>
      </c>
      <c r="S35" s="304"/>
      <c r="T35" s="10">
        <f>+BS!N32</f>
        <v>20016.484496343142</v>
      </c>
      <c r="U35" s="306" t="s">
        <v>111</v>
      </c>
      <c r="V35" s="308">
        <v>365</v>
      </c>
      <c r="W35" s="310">
        <f>IF(T36=0,"-",(T35/T36)*V35)</f>
        <v>43.644455350769334</v>
      </c>
      <c r="X35" s="304"/>
      <c r="Y35" s="10">
        <f>+BS!O32</f>
        <v>21642.98171075674</v>
      </c>
      <c r="Z35" s="306" t="s">
        <v>111</v>
      </c>
      <c r="AA35" s="308">
        <v>365</v>
      </c>
      <c r="AB35" s="310">
        <f>IF(Y36=0,"-",(Y35/Y36)*AA35)</f>
        <v>45.587159070766496</v>
      </c>
      <c r="AC35" s="304"/>
      <c r="AD35" s="10">
        <f>+BS!P32</f>
        <v>27467.804875385336</v>
      </c>
      <c r="AE35" s="306" t="s">
        <v>111</v>
      </c>
      <c r="AF35" s="308">
        <v>365</v>
      </c>
      <c r="AG35" s="310">
        <f>IF(AD36=0,"-",(AD35/AD36)*AF35)</f>
        <v>56.361842716332859</v>
      </c>
      <c r="AH35" s="304"/>
      <c r="AI35" s="10">
        <f>+BS!Q32</f>
        <v>29440.139955526043</v>
      </c>
      <c r="AJ35" s="306" t="s">
        <v>143</v>
      </c>
      <c r="AK35" s="308">
        <v>365</v>
      </c>
      <c r="AL35" s="310">
        <f>IF(AI36=0,"-",(AI35/AI36)*AK35)</f>
        <v>62.578194872837315</v>
      </c>
      <c r="AM35" s="304"/>
      <c r="AN35" s="10">
        <f>+BS!R32</f>
        <v>22950.386601845647</v>
      </c>
      <c r="AO35" s="306" t="s">
        <v>143</v>
      </c>
      <c r="AP35" s="308">
        <v>365</v>
      </c>
      <c r="AQ35" s="310">
        <f>IF(AN36=0,"-",(AN35/AN36)*AP35)</f>
        <v>55.931980832329238</v>
      </c>
      <c r="AR35" s="304"/>
      <c r="AS35" s="10">
        <f>+BS!S32</f>
        <v>19261.297602343577</v>
      </c>
      <c r="AT35" s="306" t="s">
        <v>111</v>
      </c>
      <c r="AU35" s="308">
        <v>365</v>
      </c>
      <c r="AV35" s="310">
        <f>IF(AS36=0,"-",(AS35/AS36)*AU35)</f>
        <v>44.747656594160247</v>
      </c>
      <c r="AW35" s="304"/>
      <c r="AX35" s="10">
        <f>+BS!T32</f>
        <v>12362.251293045589</v>
      </c>
      <c r="AY35" s="306" t="s">
        <v>111</v>
      </c>
      <c r="AZ35" s="308">
        <v>365</v>
      </c>
      <c r="BA35" s="310">
        <f>IF(AX36=0,"-",(AX35/AX36)*AZ35)</f>
        <v>30.07778360008302</v>
      </c>
      <c r="BB35" s="304"/>
      <c r="BC35" s="10">
        <f>+BS!U32</f>
        <v>16794.079399274473</v>
      </c>
      <c r="BD35" s="306" t="s">
        <v>111</v>
      </c>
      <c r="BE35" s="308">
        <v>365</v>
      </c>
      <c r="BF35" s="310">
        <f>IF(BC36=0,"-",(BC35/BC36)*BE35)</f>
        <v>40.843862215040275</v>
      </c>
      <c r="BG35" s="304"/>
      <c r="BH35" s="10">
        <f>+BS!V32</f>
        <v>18267.136994643221</v>
      </c>
      <c r="BI35" s="306" t="s">
        <v>111</v>
      </c>
      <c r="BJ35" s="308">
        <v>365</v>
      </c>
      <c r="BK35" s="310">
        <f>IF(BH36=0,"-",(BH35/BH36)*BJ35)</f>
        <v>40.275984469392377</v>
      </c>
      <c r="BL35" s="304"/>
      <c r="BM35" s="10">
        <f>+BS!W32</f>
        <v>25073.92489980517</v>
      </c>
      <c r="BN35" s="306" t="s">
        <v>111</v>
      </c>
      <c r="BO35" s="308">
        <v>365</v>
      </c>
      <c r="BP35" s="310">
        <f>IF(BM36=0,"-",(BM35/BM36)*BO35)</f>
        <v>51.960928198033933</v>
      </c>
      <c r="BQ35" s="304"/>
      <c r="BR35" s="10">
        <f>+BS!X32</f>
        <v>17859.70073093941</v>
      </c>
      <c r="BS35" s="306" t="s">
        <v>111</v>
      </c>
      <c r="BT35" s="308">
        <v>365</v>
      </c>
      <c r="BU35" s="310">
        <f>IF(BR36=0,"-",(BR35/BR36)*BT35)</f>
        <v>38.598508850528184</v>
      </c>
      <c r="BV35" s="304"/>
      <c r="BW35" s="10">
        <f>+BS!Y32</f>
        <v>23229.247015183646</v>
      </c>
      <c r="BX35" s="306" t="s">
        <v>111</v>
      </c>
      <c r="BY35" s="308">
        <v>365</v>
      </c>
      <c r="BZ35" s="310">
        <f>IF(BW36=0,"-",(BW35/BW36)*BY35)</f>
        <v>45.3836363366527</v>
      </c>
      <c r="CA35" s="304"/>
      <c r="CB35" s="10">
        <f>+BS!Z32</f>
        <v>18402.174666868894</v>
      </c>
      <c r="CC35" s="306" t="s">
        <v>111</v>
      </c>
      <c r="CD35" s="308">
        <v>365</v>
      </c>
      <c r="CE35" s="310">
        <f>IF(CB36=0,"-",(CB35/CB36)*CD35)</f>
        <v>40.844190208608978</v>
      </c>
      <c r="CF35" s="304"/>
      <c r="CG35" s="10">
        <f>+BS!AA32</f>
        <v>24281.876039031442</v>
      </c>
      <c r="CH35" s="306" t="s">
        <v>143</v>
      </c>
      <c r="CI35" s="308">
        <v>365</v>
      </c>
      <c r="CJ35" s="310">
        <f>IF(CG36=0,"-",(CG35/CG36)*CI35)</f>
        <v>42.091870335849791</v>
      </c>
      <c r="CK35" s="304"/>
      <c r="CL35" s="10">
        <f>+BS!AB32</f>
        <v>20541.283062363505</v>
      </c>
      <c r="CM35" s="306" t="s">
        <v>111</v>
      </c>
      <c r="CN35" s="308">
        <v>365</v>
      </c>
      <c r="CO35" s="310">
        <f>IF(CL36=0,"-",(CL35/CL36)*CN35)</f>
        <v>39.647891984473752</v>
      </c>
      <c r="CP35" s="304"/>
      <c r="CQ35" s="10">
        <f>+BS!AC32</f>
        <v>25700.479171683121</v>
      </c>
      <c r="CR35" s="306" t="s">
        <v>111</v>
      </c>
      <c r="CS35" s="308">
        <v>365</v>
      </c>
      <c r="CT35" s="310">
        <f>IF(CQ36=0,"-",(CQ35/CQ36)*CS35)</f>
        <v>45.513658914648843</v>
      </c>
    </row>
    <row r="36" spans="1:98" ht="18" customHeight="1" x14ac:dyDescent="0.2">
      <c r="A36" s="21"/>
      <c r="B36" s="321"/>
      <c r="C36" s="323"/>
      <c r="D36" s="305"/>
      <c r="E36" s="12">
        <f>+E12</f>
        <v>178690.05190311401</v>
      </c>
      <c r="F36" s="307"/>
      <c r="G36" s="309"/>
      <c r="H36" s="311"/>
      <c r="I36" s="305"/>
      <c r="J36" s="12">
        <f>+J12</f>
        <v>228162.5106564365</v>
      </c>
      <c r="K36" s="307"/>
      <c r="L36" s="309"/>
      <c r="M36" s="311"/>
      <c r="N36" s="305"/>
      <c r="O36" s="12">
        <f>+O12</f>
        <v>185528.85343416347</v>
      </c>
      <c r="P36" s="307"/>
      <c r="Q36" s="309"/>
      <c r="R36" s="311"/>
      <c r="S36" s="305"/>
      <c r="T36" s="12">
        <f>+T12</f>
        <v>167398.51104675228</v>
      </c>
      <c r="U36" s="307"/>
      <c r="V36" s="309"/>
      <c r="W36" s="311"/>
      <c r="X36" s="305"/>
      <c r="Y36" s="12">
        <f>+Y12</f>
        <v>173287.57670911792</v>
      </c>
      <c r="Z36" s="307"/>
      <c r="AA36" s="309"/>
      <c r="AB36" s="311"/>
      <c r="AC36" s="305"/>
      <c r="AD36" s="12">
        <f>+AD12</f>
        <v>177881.84871766673</v>
      </c>
      <c r="AE36" s="307"/>
      <c r="AF36" s="309"/>
      <c r="AG36" s="311"/>
      <c r="AH36" s="305"/>
      <c r="AI36" s="12">
        <f>+AI12</f>
        <v>171715.58089207942</v>
      </c>
      <c r="AJ36" s="307"/>
      <c r="AK36" s="309"/>
      <c r="AL36" s="311"/>
      <c r="AM36" s="305"/>
      <c r="AN36" s="12">
        <f>+AN12</f>
        <v>149769.25517416568</v>
      </c>
      <c r="AO36" s="307"/>
      <c r="AP36" s="309"/>
      <c r="AQ36" s="311"/>
      <c r="AR36" s="305"/>
      <c r="AS36" s="12">
        <f>+AS12</f>
        <v>157111.54862516082</v>
      </c>
      <c r="AT36" s="307"/>
      <c r="AU36" s="309"/>
      <c r="AV36" s="311"/>
      <c r="AW36" s="305"/>
      <c r="AX36" s="12">
        <f>+AX12</f>
        <v>150018.4249596498</v>
      </c>
      <c r="AY36" s="307"/>
      <c r="AZ36" s="309"/>
      <c r="BA36" s="311"/>
      <c r="BB36" s="305"/>
      <c r="BC36" s="12">
        <f>+BC12</f>
        <v>150079.80754763054</v>
      </c>
      <c r="BD36" s="307"/>
      <c r="BE36" s="309"/>
      <c r="BF36" s="311"/>
      <c r="BG36" s="305"/>
      <c r="BH36" s="12">
        <f>+BH12</f>
        <v>165545.42591284707</v>
      </c>
      <c r="BI36" s="307"/>
      <c r="BJ36" s="309"/>
      <c r="BK36" s="311"/>
      <c r="BL36" s="305"/>
      <c r="BM36" s="12">
        <f>+BM12</f>
        <v>176132.00737193864</v>
      </c>
      <c r="BN36" s="307"/>
      <c r="BO36" s="309"/>
      <c r="BP36" s="311"/>
      <c r="BQ36" s="305"/>
      <c r="BR36" s="12">
        <f>+BR12</f>
        <v>168887.11406020238</v>
      </c>
      <c r="BS36" s="307"/>
      <c r="BT36" s="309"/>
      <c r="BU36" s="311"/>
      <c r="BV36" s="305"/>
      <c r="BW36" s="12">
        <f>+BW12</f>
        <v>186822.29642525339</v>
      </c>
      <c r="BX36" s="307"/>
      <c r="BY36" s="309"/>
      <c r="BZ36" s="311"/>
      <c r="CA36" s="305"/>
      <c r="CB36" s="12">
        <f>+CB12</f>
        <v>164449.18406024383</v>
      </c>
      <c r="CC36" s="307"/>
      <c r="CD36" s="309"/>
      <c r="CE36" s="311"/>
      <c r="CF36" s="305"/>
      <c r="CG36" s="12">
        <f>+CG12</f>
        <v>210560.48789302495</v>
      </c>
      <c r="CH36" s="307"/>
      <c r="CI36" s="309"/>
      <c r="CJ36" s="311"/>
      <c r="CK36" s="305"/>
      <c r="CL36" s="12">
        <f>+CL12</f>
        <v>189103.8323222519</v>
      </c>
      <c r="CM36" s="307"/>
      <c r="CN36" s="309"/>
      <c r="CO36" s="311"/>
      <c r="CP36" s="305"/>
      <c r="CQ36" s="12">
        <f>+CQ12</f>
        <v>206106.80664579821</v>
      </c>
      <c r="CR36" s="307"/>
      <c r="CS36" s="309"/>
      <c r="CT36" s="311"/>
    </row>
    <row r="37" spans="1:98"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row>
    <row r="38" spans="1:98" ht="18" customHeight="1" x14ac:dyDescent="0.2">
      <c r="A38" s="20"/>
      <c r="B38" s="320" t="s">
        <v>145</v>
      </c>
      <c r="C38" s="322" t="s">
        <v>130</v>
      </c>
      <c r="D38" s="304"/>
      <c r="E38" s="10">
        <f>+E12</f>
        <v>178690.05190311401</v>
      </c>
      <c r="F38" s="306"/>
      <c r="G38" s="308"/>
      <c r="H38" s="312">
        <f>IF(E39=0,"-",(E38/E39))</f>
        <v>14256.585226376335</v>
      </c>
      <c r="I38" s="304"/>
      <c r="J38" s="10">
        <f>+J12</f>
        <v>228162.5106564365</v>
      </c>
      <c r="K38" s="306"/>
      <c r="L38" s="308"/>
      <c r="M38" s="312">
        <f>IF(J39=0,"-",(J38/J39))</f>
        <v>16806.865369368803</v>
      </c>
      <c r="N38" s="304"/>
      <c r="O38" s="10">
        <f>+O12</f>
        <v>185528.85343416347</v>
      </c>
      <c r="P38" s="306"/>
      <c r="Q38" s="308"/>
      <c r="R38" s="312">
        <f>IF(O39=0,"-",(O38/O39))</f>
        <v>15164.819136370706</v>
      </c>
      <c r="S38" s="304"/>
      <c r="T38" s="10">
        <f>+T12</f>
        <v>167398.51104675228</v>
      </c>
      <c r="U38" s="306"/>
      <c r="V38" s="308"/>
      <c r="W38" s="312">
        <f>IF(T39=0,"-",(T38/T39))</f>
        <v>12827.938953739524</v>
      </c>
      <c r="X38" s="304"/>
      <c r="Y38" s="10">
        <f>+Y12</f>
        <v>173287.57670911792</v>
      </c>
      <c r="Z38" s="306"/>
      <c r="AA38" s="308"/>
      <c r="AB38" s="312">
        <f>IF(Y39=0,"-",(Y38/Y39))</f>
        <v>14389.666068434486</v>
      </c>
      <c r="AC38" s="304"/>
      <c r="AD38" s="10">
        <f>+AD12</f>
        <v>177881.84871766673</v>
      </c>
      <c r="AE38" s="306"/>
      <c r="AF38" s="308"/>
      <c r="AG38" s="312">
        <f>IF(AD39=0,"-",(AD38/AD39))</f>
        <v>14054.414580021878</v>
      </c>
      <c r="AH38" s="304"/>
      <c r="AI38" s="10">
        <f>+AI12</f>
        <v>171715.58089207942</v>
      </c>
      <c r="AJ38" s="306"/>
      <c r="AK38" s="308"/>
      <c r="AL38" s="312">
        <f>IF(AI39=0,"-",(AI38/AI39))</f>
        <v>13320.553227287051</v>
      </c>
      <c r="AM38" s="304"/>
      <c r="AN38" s="10">
        <f>+AN12</f>
        <v>149769.25517416568</v>
      </c>
      <c r="AO38" s="306"/>
      <c r="AP38" s="308"/>
      <c r="AQ38" s="312">
        <f>IF(AN39=0,"-",(AN38/AN39))</f>
        <v>13172.647683320149</v>
      </c>
      <c r="AR38" s="304"/>
      <c r="AS38" s="10">
        <f>+AS12</f>
        <v>157111.54862516082</v>
      </c>
      <c r="AT38" s="306"/>
      <c r="AU38" s="308"/>
      <c r="AV38" s="312">
        <f>IF(AS39=0,"-",(AS38/AS39))</f>
        <v>13288.72783991112</v>
      </c>
      <c r="AW38" s="304"/>
      <c r="AX38" s="10">
        <f>+AX12</f>
        <v>150018.4249596498</v>
      </c>
      <c r="AY38" s="306"/>
      <c r="AZ38" s="308"/>
      <c r="BA38" s="312">
        <f>IF(AX39=0,"-",(AX38/AX39))</f>
        <v>13374.492548878656</v>
      </c>
      <c r="BB38" s="304"/>
      <c r="BC38" s="10">
        <f>+BC12</f>
        <v>150079.80754763054</v>
      </c>
      <c r="BD38" s="306"/>
      <c r="BE38" s="308"/>
      <c r="BF38" s="312">
        <f>IF(BC39=0,"-",(BC38/BC39))</f>
        <v>13329.140450479716</v>
      </c>
      <c r="BG38" s="304"/>
      <c r="BH38" s="10">
        <f>+BH12</f>
        <v>165545.42591284707</v>
      </c>
      <c r="BI38" s="306"/>
      <c r="BJ38" s="308"/>
      <c r="BK38" s="312">
        <f>IF(BH39=0,"-",(BH38/BH39))</f>
        <v>14754.441593716076</v>
      </c>
      <c r="BL38" s="304"/>
      <c r="BM38" s="10">
        <f>+BM12</f>
        <v>176132.00737193864</v>
      </c>
      <c r="BN38" s="306"/>
      <c r="BO38" s="308"/>
      <c r="BP38" s="312">
        <f>IF(BM39=0,"-",(BM38/BM39))</f>
        <v>14811.279378527339</v>
      </c>
      <c r="BQ38" s="304"/>
      <c r="BR38" s="10">
        <f>+BR12</f>
        <v>168887.11406020238</v>
      </c>
      <c r="BS38" s="306"/>
      <c r="BT38" s="308"/>
      <c r="BU38" s="312">
        <f>IF(BR39=0,"-",(BR38/BR39))</f>
        <v>14262.411687854035</v>
      </c>
      <c r="BV38" s="304"/>
      <c r="BW38" s="10">
        <f>+BW12</f>
        <v>186822.29642525339</v>
      </c>
      <c r="BX38" s="306"/>
      <c r="BY38" s="308"/>
      <c r="BZ38" s="312">
        <f>IF(BW39=0,"-",(BW38/BW39))</f>
        <v>15365.253667925583</v>
      </c>
      <c r="CA38" s="304"/>
      <c r="CB38" s="10">
        <f>+CB12</f>
        <v>164449.18406024383</v>
      </c>
      <c r="CC38" s="306"/>
      <c r="CD38" s="308"/>
      <c r="CE38" s="312">
        <f>IF(CB39=0,"-",(CB38/CB39))</f>
        <v>13687.176720852214</v>
      </c>
      <c r="CF38" s="304"/>
      <c r="CG38" s="10">
        <f>+CG12</f>
        <v>210560.48789302495</v>
      </c>
      <c r="CH38" s="306"/>
      <c r="CI38" s="308"/>
      <c r="CJ38" s="312">
        <f>IF(CG39=0,"-",(CG38/CG39))</f>
        <v>16094.202777112763</v>
      </c>
      <c r="CK38" s="304"/>
      <c r="CL38" s="10">
        <f>+CL12</f>
        <v>189103.8323222519</v>
      </c>
      <c r="CM38" s="306"/>
      <c r="CN38" s="308"/>
      <c r="CO38" s="312">
        <f>IF(CL39=0,"-",(CL38/CL39))</f>
        <v>15162.155610681453</v>
      </c>
      <c r="CP38" s="304"/>
      <c r="CQ38" s="10">
        <f>+CQ12</f>
        <v>206106.80664579821</v>
      </c>
      <c r="CR38" s="306"/>
      <c r="CS38" s="308"/>
      <c r="CT38" s="312">
        <f>IF(CQ39=0,"-",(CQ38/CQ39))</f>
        <v>16654.892944701714</v>
      </c>
    </row>
    <row r="39" spans="1:98" ht="18" customHeight="1" x14ac:dyDescent="0.2">
      <c r="A39" s="20"/>
      <c r="B39" s="321"/>
      <c r="C39" s="323"/>
      <c r="D39" s="305"/>
      <c r="E39" s="12">
        <f>+PL!K5</f>
        <v>12.533860603064801</v>
      </c>
      <c r="F39" s="307"/>
      <c r="G39" s="309"/>
      <c r="H39" s="313"/>
      <c r="I39" s="305"/>
      <c r="J39" s="12">
        <f>+PL!L5</f>
        <v>13.575554134697358</v>
      </c>
      <c r="K39" s="307"/>
      <c r="L39" s="309"/>
      <c r="M39" s="313"/>
      <c r="N39" s="305"/>
      <c r="O39" s="12">
        <f>+PL!M5</f>
        <v>12.234161961694509</v>
      </c>
      <c r="P39" s="307"/>
      <c r="Q39" s="309"/>
      <c r="R39" s="313"/>
      <c r="S39" s="305"/>
      <c r="T39" s="12">
        <f>+PL!N5</f>
        <v>13.049525075729587</v>
      </c>
      <c r="U39" s="307"/>
      <c r="V39" s="309"/>
      <c r="W39" s="313"/>
      <c r="X39" s="305"/>
      <c r="Y39" s="12">
        <f>+PL!O5</f>
        <v>12.042501603928507</v>
      </c>
      <c r="Z39" s="307"/>
      <c r="AA39" s="309"/>
      <c r="AB39" s="313"/>
      <c r="AC39" s="305"/>
      <c r="AD39" s="12">
        <f>+PL!P5</f>
        <v>12.65665301851298</v>
      </c>
      <c r="AE39" s="307"/>
      <c r="AF39" s="309"/>
      <c r="AG39" s="313"/>
      <c r="AH39" s="305"/>
      <c r="AI39" s="12">
        <f>+PL!Q5</f>
        <v>12.891024716625235</v>
      </c>
      <c r="AJ39" s="307"/>
      <c r="AK39" s="309"/>
      <c r="AL39" s="313"/>
      <c r="AM39" s="305"/>
      <c r="AN39" s="12">
        <f>+PL!R5</f>
        <v>11.369715396230543</v>
      </c>
      <c r="AO39" s="307"/>
      <c r="AP39" s="309"/>
      <c r="AQ39" s="313"/>
      <c r="AR39" s="305"/>
      <c r="AS39" s="12">
        <f>+PL!S5</f>
        <v>11.822918680996302</v>
      </c>
      <c r="AT39" s="307"/>
      <c r="AU39" s="309"/>
      <c r="AV39" s="313"/>
      <c r="AW39" s="305"/>
      <c r="AX39" s="12">
        <f>+PL!T5</f>
        <v>11.216756404879648</v>
      </c>
      <c r="AY39" s="307"/>
      <c r="AZ39" s="309"/>
      <c r="BA39" s="313"/>
      <c r="BB39" s="305"/>
      <c r="BC39" s="12">
        <f>+PL!U5</f>
        <v>11.259526306681627</v>
      </c>
      <c r="BD39" s="307"/>
      <c r="BE39" s="309"/>
      <c r="BF39" s="313"/>
      <c r="BG39" s="305"/>
      <c r="BH39" s="12">
        <f>+PL!V5</f>
        <v>11.220040071415035</v>
      </c>
      <c r="BI39" s="307"/>
      <c r="BJ39" s="309"/>
      <c r="BK39" s="313"/>
      <c r="BL39" s="305"/>
      <c r="BM39" s="12">
        <f>+PL!W5</f>
        <v>11.891748367618137</v>
      </c>
      <c r="BN39" s="307"/>
      <c r="BO39" s="309"/>
      <c r="BP39" s="313"/>
      <c r="BQ39" s="305"/>
      <c r="BR39" s="12">
        <f>+PL!X5</f>
        <v>11.841413482968505</v>
      </c>
      <c r="BS39" s="307"/>
      <c r="BT39" s="309"/>
      <c r="BU39" s="313"/>
      <c r="BV39" s="305"/>
      <c r="BW39" s="12">
        <f>+PL!Y5</f>
        <v>12.158751196879896</v>
      </c>
      <c r="BX39" s="307"/>
      <c r="BY39" s="309"/>
      <c r="BZ39" s="313"/>
      <c r="CA39" s="305"/>
      <c r="CB39" s="12">
        <f>+PL!Z5</f>
        <v>12.014836033329496</v>
      </c>
      <c r="CC39" s="307"/>
      <c r="CD39" s="309"/>
      <c r="CE39" s="313"/>
      <c r="CF39" s="305"/>
      <c r="CG39" s="12">
        <f>+PL!AA5</f>
        <v>13.08300204794603</v>
      </c>
      <c r="CH39" s="307"/>
      <c r="CI39" s="309"/>
      <c r="CJ39" s="313"/>
      <c r="CK39" s="305"/>
      <c r="CL39" s="12">
        <f>+PL!AB5</f>
        <v>12.472094151904878</v>
      </c>
      <c r="CM39" s="307"/>
      <c r="CN39" s="309"/>
      <c r="CO39" s="313"/>
      <c r="CP39" s="305"/>
      <c r="CQ39" s="12">
        <f>+PL!AC5</f>
        <v>12.375150493619071</v>
      </c>
      <c r="CR39" s="307"/>
      <c r="CS39" s="309"/>
      <c r="CT39" s="313"/>
    </row>
    <row r="40" spans="1:98" ht="18" customHeight="1" x14ac:dyDescent="0.2">
      <c r="A40" s="20"/>
      <c r="B40" s="336" t="s">
        <v>146</v>
      </c>
      <c r="C40" s="322" t="s">
        <v>130</v>
      </c>
      <c r="D40" s="304"/>
      <c r="E40" s="10">
        <f>+E6</f>
        <v>262.13049925852704</v>
      </c>
      <c r="F40" s="306"/>
      <c r="G40" s="308"/>
      <c r="H40" s="312">
        <f>IF(E41=0,"-",(E40/E41))</f>
        <v>20.913787663669282</v>
      </c>
      <c r="I40" s="304"/>
      <c r="J40" s="10">
        <f>+J6</f>
        <v>-3023.0179028132989</v>
      </c>
      <c r="K40" s="306"/>
      <c r="L40" s="308"/>
      <c r="M40" s="312">
        <f>IF(J41=0,"-",(J40/J41))</f>
        <v>-222.68099503112413</v>
      </c>
      <c r="N40" s="304"/>
      <c r="O40" s="10">
        <f>+O6</f>
        <v>-894.82432958880952</v>
      </c>
      <c r="P40" s="306"/>
      <c r="Q40" s="308"/>
      <c r="R40" s="312">
        <f>IF(O41=0,"-",(O40/O41))</f>
        <v>-73.141448706542278</v>
      </c>
      <c r="S40" s="304"/>
      <c r="T40" s="10">
        <f>+T6</f>
        <v>2394.2914137799667</v>
      </c>
      <c r="U40" s="306"/>
      <c r="V40" s="308"/>
      <c r="W40" s="312">
        <f>IF(T41=0,"-",(T40/T41))</f>
        <v>183.47728364712952</v>
      </c>
      <c r="X40" s="304"/>
      <c r="Y40" s="10">
        <f>+Y6</f>
        <v>-71.154623444265027</v>
      </c>
      <c r="Z40" s="306"/>
      <c r="AA40" s="308"/>
      <c r="AB40" s="312">
        <f>IF(Y41=0,"-",(Y40/Y41))</f>
        <v>-5.9086247844926962</v>
      </c>
      <c r="AC40" s="304"/>
      <c r="AD40" s="10">
        <f>+AD6</f>
        <v>-1020.8177197785333</v>
      </c>
      <c r="AE40" s="306"/>
      <c r="AF40" s="308"/>
      <c r="AG40" s="312">
        <f>IF(AD41=0,"-",(AD40/AD41))</f>
        <v>-80.654634229553082</v>
      </c>
      <c r="AH40" s="304"/>
      <c r="AI40" s="10">
        <f>+AI6</f>
        <v>-3410.8637068218663</v>
      </c>
      <c r="AJ40" s="306"/>
      <c r="AK40" s="308"/>
      <c r="AL40" s="312">
        <f>IF(AI41=0,"-",(AI40/AI41))</f>
        <v>-264.59213148687553</v>
      </c>
      <c r="AM40" s="304"/>
      <c r="AN40" s="10">
        <f>+AN6</f>
        <v>-1787.6439813067707</v>
      </c>
      <c r="AO40" s="306"/>
      <c r="AP40" s="308"/>
      <c r="AQ40" s="312">
        <f>IF(AN41=0,"-",(AN40/AN41))</f>
        <v>-157.22856017129831</v>
      </c>
      <c r="AR40" s="304"/>
      <c r="AS40" s="10">
        <f>+AS6</f>
        <v>2387.6276188729912</v>
      </c>
      <c r="AT40" s="306"/>
      <c r="AU40" s="308"/>
      <c r="AV40" s="312">
        <f>IF(AS41=0,"-",(AS40/AS41))</f>
        <v>201.94908577953518</v>
      </c>
      <c r="AW40" s="304"/>
      <c r="AX40" s="10">
        <f>+AX6</f>
        <v>815.09272825836979</v>
      </c>
      <c r="AY40" s="306"/>
      <c r="AZ40" s="308"/>
      <c r="BA40" s="312">
        <f>IF(AX41=0,"-",(AX40/AX41))</f>
        <v>72.667418176593216</v>
      </c>
      <c r="BB40" s="304"/>
      <c r="BC40" s="10">
        <f>+BC6</f>
        <v>1660.7831953967716</v>
      </c>
      <c r="BD40" s="306"/>
      <c r="BE40" s="308"/>
      <c r="BF40" s="312">
        <f>IF(BC41=0,"-",(BC40/BC41))</f>
        <v>147.50027222825793</v>
      </c>
      <c r="BG40" s="304"/>
      <c r="BH40" s="10">
        <f>+BH6</f>
        <v>4853.7789577215972</v>
      </c>
      <c r="BI40" s="306"/>
      <c r="BJ40" s="308"/>
      <c r="BK40" s="312">
        <f>IF(BH41=0,"-",(BH40/BH41))</f>
        <v>432.59907512161448</v>
      </c>
      <c r="BL40" s="304"/>
      <c r="BM40" s="10">
        <f>+BM6</f>
        <v>4284.6193742702008</v>
      </c>
      <c r="BN40" s="306"/>
      <c r="BO40" s="308"/>
      <c r="BP40" s="312">
        <f>IF(BM41=0,"-",(BM40/BM41))</f>
        <v>360.30188680559769</v>
      </c>
      <c r="BQ40" s="304"/>
      <c r="BR40" s="10">
        <f>+BR6</f>
        <v>2672.0849068085427</v>
      </c>
      <c r="BS40" s="306"/>
      <c r="BT40" s="308"/>
      <c r="BU40" s="312">
        <f>IF(BR41=0,"-",(BR40/BR41))</f>
        <v>225.65590760358128</v>
      </c>
      <c r="BV40" s="304"/>
      <c r="BW40" s="10">
        <f>+BW6</f>
        <v>3426.7410584693539</v>
      </c>
      <c r="BX40" s="306"/>
      <c r="BY40" s="308"/>
      <c r="BZ40" s="312">
        <f>IF(BW41=0,"-",(BW40/BW41))</f>
        <v>281.83330697224096</v>
      </c>
      <c r="CA40" s="304"/>
      <c r="CB40" s="10">
        <f>+CB6</f>
        <v>2247.6164599016452</v>
      </c>
      <c r="CC40" s="306"/>
      <c r="CD40" s="308"/>
      <c r="CE40" s="312">
        <f>IF(CB41=0,"-",(CB40/CB41))</f>
        <v>187.07009015076804</v>
      </c>
      <c r="CF40" s="304"/>
      <c r="CG40" s="10">
        <f>+CG6</f>
        <v>3683.5410191543187</v>
      </c>
      <c r="CH40" s="306"/>
      <c r="CI40" s="308"/>
      <c r="CJ40" s="312">
        <f>IF(CG41=0,"-",(CG40/CG41))</f>
        <v>281.55166571518021</v>
      </c>
      <c r="CK40" s="304"/>
      <c r="CL40" s="10">
        <f>+CL6</f>
        <v>98201.491992234907</v>
      </c>
      <c r="CM40" s="306"/>
      <c r="CN40" s="308"/>
      <c r="CO40" s="312">
        <f>IF(CL41=0,"-",(CL40/CL41))</f>
        <v>7873.6971350746635</v>
      </c>
      <c r="CP40" s="304"/>
      <c r="CQ40" s="10">
        <f>+CQ6</f>
        <v>2690.3723814110281</v>
      </c>
      <c r="CR40" s="306"/>
      <c r="CS40" s="308"/>
      <c r="CT40" s="312">
        <f>IF(CQ41=0,"-",(CQ40/CQ41))</f>
        <v>217.40118496322526</v>
      </c>
    </row>
    <row r="41" spans="1:98" ht="18" customHeight="1" x14ac:dyDescent="0.2">
      <c r="A41" s="22"/>
      <c r="B41" s="337"/>
      <c r="C41" s="323"/>
      <c r="D41" s="305"/>
      <c r="E41" s="12">
        <f>+E39</f>
        <v>12.533860603064801</v>
      </c>
      <c r="F41" s="307"/>
      <c r="G41" s="309"/>
      <c r="H41" s="313"/>
      <c r="I41" s="305"/>
      <c r="J41" s="12">
        <f>+J39</f>
        <v>13.575554134697358</v>
      </c>
      <c r="K41" s="307"/>
      <c r="L41" s="309"/>
      <c r="M41" s="313"/>
      <c r="N41" s="305"/>
      <c r="O41" s="12">
        <f>+O39</f>
        <v>12.234161961694509</v>
      </c>
      <c r="P41" s="307"/>
      <c r="Q41" s="309"/>
      <c r="R41" s="313"/>
      <c r="S41" s="305"/>
      <c r="T41" s="12">
        <f>+T39</f>
        <v>13.049525075729587</v>
      </c>
      <c r="U41" s="307"/>
      <c r="V41" s="309"/>
      <c r="W41" s="313"/>
      <c r="X41" s="305"/>
      <c r="Y41" s="12">
        <f>+Y39</f>
        <v>12.042501603928507</v>
      </c>
      <c r="Z41" s="307"/>
      <c r="AA41" s="309"/>
      <c r="AB41" s="313"/>
      <c r="AC41" s="305"/>
      <c r="AD41" s="12">
        <f>+AD39</f>
        <v>12.65665301851298</v>
      </c>
      <c r="AE41" s="307"/>
      <c r="AF41" s="309"/>
      <c r="AG41" s="313"/>
      <c r="AH41" s="305"/>
      <c r="AI41" s="12">
        <f>+AI39</f>
        <v>12.891024716625235</v>
      </c>
      <c r="AJ41" s="307"/>
      <c r="AK41" s="309"/>
      <c r="AL41" s="313"/>
      <c r="AM41" s="305"/>
      <c r="AN41" s="12">
        <f>+AN39</f>
        <v>11.369715396230543</v>
      </c>
      <c r="AO41" s="307"/>
      <c r="AP41" s="309"/>
      <c r="AQ41" s="313"/>
      <c r="AR41" s="305"/>
      <c r="AS41" s="12">
        <f>+AS39</f>
        <v>11.822918680996302</v>
      </c>
      <c r="AT41" s="307"/>
      <c r="AU41" s="309"/>
      <c r="AV41" s="313"/>
      <c r="AW41" s="305"/>
      <c r="AX41" s="12">
        <f>+AX39</f>
        <v>11.216756404879648</v>
      </c>
      <c r="AY41" s="307"/>
      <c r="AZ41" s="309"/>
      <c r="BA41" s="313"/>
      <c r="BB41" s="305"/>
      <c r="BC41" s="12">
        <f>+BC39</f>
        <v>11.259526306681627</v>
      </c>
      <c r="BD41" s="307"/>
      <c r="BE41" s="309"/>
      <c r="BF41" s="313"/>
      <c r="BG41" s="305"/>
      <c r="BH41" s="12">
        <f>+BH39</f>
        <v>11.220040071415035</v>
      </c>
      <c r="BI41" s="307"/>
      <c r="BJ41" s="309"/>
      <c r="BK41" s="313"/>
      <c r="BL41" s="305"/>
      <c r="BM41" s="12">
        <f>+BM39</f>
        <v>11.891748367618137</v>
      </c>
      <c r="BN41" s="307"/>
      <c r="BO41" s="309"/>
      <c r="BP41" s="313"/>
      <c r="BQ41" s="305"/>
      <c r="BR41" s="12">
        <f>+BR39</f>
        <v>11.841413482968505</v>
      </c>
      <c r="BS41" s="307"/>
      <c r="BT41" s="309"/>
      <c r="BU41" s="313"/>
      <c r="BV41" s="305"/>
      <c r="BW41" s="12">
        <f>+BW39</f>
        <v>12.158751196879896</v>
      </c>
      <c r="BX41" s="307"/>
      <c r="BY41" s="309"/>
      <c r="BZ41" s="313"/>
      <c r="CA41" s="305"/>
      <c r="CB41" s="12">
        <f>+CB39</f>
        <v>12.014836033329496</v>
      </c>
      <c r="CC41" s="307"/>
      <c r="CD41" s="309"/>
      <c r="CE41" s="313"/>
      <c r="CF41" s="305"/>
      <c r="CG41" s="12">
        <f>+CG39</f>
        <v>13.08300204794603</v>
      </c>
      <c r="CH41" s="307"/>
      <c r="CI41" s="309"/>
      <c r="CJ41" s="313"/>
      <c r="CK41" s="305"/>
      <c r="CL41" s="12">
        <f>+CL39</f>
        <v>12.472094151904878</v>
      </c>
      <c r="CM41" s="307"/>
      <c r="CN41" s="309"/>
      <c r="CO41" s="313"/>
      <c r="CP41" s="305"/>
      <c r="CQ41" s="12">
        <f>+CQ39</f>
        <v>12.375150493619071</v>
      </c>
      <c r="CR41" s="307"/>
      <c r="CS41" s="309"/>
      <c r="CT41" s="313"/>
    </row>
    <row r="42" spans="1:98"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row>
    <row r="43" spans="1:98" ht="18" customHeight="1" x14ac:dyDescent="0.2">
      <c r="A43" s="17"/>
      <c r="B43" s="320" t="s">
        <v>148</v>
      </c>
      <c r="C43" s="322" t="s">
        <v>149</v>
      </c>
      <c r="D43" s="304"/>
      <c r="E43" s="10">
        <f>+BS!K9</f>
        <v>93052.150271873514</v>
      </c>
      <c r="F43" s="306" t="s">
        <v>150</v>
      </c>
      <c r="G43" s="308">
        <v>100</v>
      </c>
      <c r="H43" s="310">
        <f>IF(E44=0,"-",(E43/E44)*G43)</f>
        <v>137.80886651183309</v>
      </c>
      <c r="I43" s="304"/>
      <c r="J43" s="10">
        <f>+BS!L9</f>
        <v>120076.93947144075</v>
      </c>
      <c r="K43" s="306" t="s">
        <v>111</v>
      </c>
      <c r="L43" s="308">
        <v>100</v>
      </c>
      <c r="M43" s="310">
        <f>IF(J44=0,"-",(J43/J44)*L43)</f>
        <v>137.85702925235819</v>
      </c>
      <c r="N43" s="304"/>
      <c r="O43" s="10">
        <f>+BS!M9</f>
        <v>99252.025378439183</v>
      </c>
      <c r="P43" s="306" t="s">
        <v>111</v>
      </c>
      <c r="Q43" s="308">
        <v>100</v>
      </c>
      <c r="R43" s="310">
        <f>IF(O44=0,"-",(O43/O44)*Q43)</f>
        <v>191.35797824730224</v>
      </c>
      <c r="S43" s="304"/>
      <c r="T43" s="10">
        <f>+BS!N9</f>
        <v>95192.484801507104</v>
      </c>
      <c r="U43" s="306" t="s">
        <v>111</v>
      </c>
      <c r="V43" s="308">
        <v>100</v>
      </c>
      <c r="W43" s="310">
        <f>IF(T44=0,"-",(T43/T44)*V43)</f>
        <v>172.22431081273047</v>
      </c>
      <c r="X43" s="304"/>
      <c r="Y43" s="10">
        <f>+BS!O9</f>
        <v>95395.828214968264</v>
      </c>
      <c r="Z43" s="306" t="s">
        <v>111</v>
      </c>
      <c r="AA43" s="308">
        <v>100</v>
      </c>
      <c r="AB43" s="310">
        <f>IF(Y44=0,"-",(Y43/Y44)*AA43)</f>
        <v>184.25826698471951</v>
      </c>
      <c r="AC43" s="304"/>
      <c r="AD43" s="10">
        <f>+BS!P9</f>
        <v>107140.09009290635</v>
      </c>
      <c r="AE43" s="306" t="s">
        <v>111</v>
      </c>
      <c r="AF43" s="308">
        <v>100</v>
      </c>
      <c r="AG43" s="310">
        <f>IF(AD44=0,"-",(AD43/AD44)*AF43)</f>
        <v>148.80996973614256</v>
      </c>
      <c r="AH43" s="304"/>
      <c r="AI43" s="10">
        <f>+BS!Q9</f>
        <v>120884.41984691765</v>
      </c>
      <c r="AJ43" s="306" t="s">
        <v>150</v>
      </c>
      <c r="AK43" s="308">
        <v>100</v>
      </c>
      <c r="AL43" s="310">
        <f>IF(AI44=0,"-",(AI43/AI44)*AK43)</f>
        <v>156.3454173569624</v>
      </c>
      <c r="AM43" s="304"/>
      <c r="AN43" s="10">
        <f>+BS!R9</f>
        <v>81053.56271476316</v>
      </c>
      <c r="AO43" s="306" t="s">
        <v>126</v>
      </c>
      <c r="AP43" s="308">
        <v>100</v>
      </c>
      <c r="AQ43" s="310">
        <f>IF(AN44=0,"-",(AN43/AN44)*AP43)</f>
        <v>136.71333037888539</v>
      </c>
      <c r="AR43" s="304"/>
      <c r="AS43" s="10">
        <f>+BS!S9</f>
        <v>89963.932836828622</v>
      </c>
      <c r="AT43" s="306" t="s">
        <v>111</v>
      </c>
      <c r="AU43" s="308">
        <v>100</v>
      </c>
      <c r="AV43" s="310">
        <f>IF(AS44=0,"-",(AS43/AS44)*AU43)</f>
        <v>160.91269073264971</v>
      </c>
      <c r="AW43" s="304"/>
      <c r="AX43" s="10">
        <f>+BS!T9</f>
        <v>73968.673083067697</v>
      </c>
      <c r="AY43" s="306" t="s">
        <v>111</v>
      </c>
      <c r="AZ43" s="308">
        <v>100</v>
      </c>
      <c r="BA43" s="310">
        <f>IF(AX44=0,"-",(AX43/AX44)*AZ43)</f>
        <v>199.58634460699457</v>
      </c>
      <c r="BB43" s="304"/>
      <c r="BC43" s="10">
        <f>+BS!U9</f>
        <v>78573.487896815408</v>
      </c>
      <c r="BD43" s="306" t="s">
        <v>111</v>
      </c>
      <c r="BE43" s="308">
        <v>100</v>
      </c>
      <c r="BF43" s="310">
        <f>IF(BC44=0,"-",(BC43/BC44)*BE43)</f>
        <v>186.75541305422493</v>
      </c>
      <c r="BG43" s="304"/>
      <c r="BH43" s="10">
        <f>+BS!V9</f>
        <v>110160.4696158704</v>
      </c>
      <c r="BI43" s="306" t="s">
        <v>111</v>
      </c>
      <c r="BJ43" s="308">
        <v>100</v>
      </c>
      <c r="BK43" s="310">
        <f>IF(BH44=0,"-",(BH43/BH44)*BJ43)</f>
        <v>239.51642930493139</v>
      </c>
      <c r="BL43" s="304"/>
      <c r="BM43" s="10">
        <f>+BS!W9</f>
        <v>109555.28674669142</v>
      </c>
      <c r="BN43" s="306" t="s">
        <v>111</v>
      </c>
      <c r="BO43" s="308">
        <v>100</v>
      </c>
      <c r="BP43" s="310">
        <f>IF(BM44=0,"-",(BM43/BM44)*BO43)</f>
        <v>198.14671239415728</v>
      </c>
      <c r="BQ43" s="304"/>
      <c r="BR43" s="10">
        <f>+BS!X9</f>
        <v>83864.83564920268</v>
      </c>
      <c r="BS43" s="306" t="s">
        <v>111</v>
      </c>
      <c r="BT43" s="308">
        <v>100</v>
      </c>
      <c r="BU43" s="310">
        <f>IF(BR44=0,"-",(BR43/BR44)*BT43)</f>
        <v>160.31590810038952</v>
      </c>
      <c r="BV43" s="304"/>
      <c r="BW43" s="10">
        <f>+BS!Y9</f>
        <v>102204.69344756007</v>
      </c>
      <c r="BX43" s="306" t="s">
        <v>111</v>
      </c>
      <c r="BY43" s="308">
        <v>100</v>
      </c>
      <c r="BZ43" s="310">
        <f>IF(BW44=0,"-",(BW43/BW44)*BY43)</f>
        <v>207.85381228903015</v>
      </c>
      <c r="CA43" s="304"/>
      <c r="CB43" s="10">
        <f>+BS!Z9</f>
        <v>93274.378375935543</v>
      </c>
      <c r="CC43" s="306" t="s">
        <v>111</v>
      </c>
      <c r="CD43" s="308">
        <v>100</v>
      </c>
      <c r="CE43" s="310">
        <f>IF(CB44=0,"-",(CB43/CB44)*CD43)</f>
        <v>175.52457973359645</v>
      </c>
      <c r="CF43" s="304"/>
      <c r="CG43" s="10">
        <f>+BS!AA9</f>
        <v>117523.45572822551</v>
      </c>
      <c r="CH43" s="306" t="s">
        <v>126</v>
      </c>
      <c r="CI43" s="308">
        <v>100</v>
      </c>
      <c r="CJ43" s="310">
        <f>IF(CG44=0,"-",(CG43/CG44)*CI43)</f>
        <v>178.11427883857661</v>
      </c>
      <c r="CK43" s="304"/>
      <c r="CL43" s="10">
        <f>+BS!AB9</f>
        <v>115967.39856830866</v>
      </c>
      <c r="CM43" s="306" t="s">
        <v>111</v>
      </c>
      <c r="CN43" s="308">
        <v>100</v>
      </c>
      <c r="CO43" s="310">
        <f>IF(CL44=0,"-",(CL43/CL44)*CN43)</f>
        <v>220.93583854231079</v>
      </c>
      <c r="CP43" s="304"/>
      <c r="CQ43" s="10">
        <f>+BS!AC9</f>
        <v>111197.8044786901</v>
      </c>
      <c r="CR43" s="306" t="s">
        <v>111</v>
      </c>
      <c r="CS43" s="308">
        <v>100</v>
      </c>
      <c r="CT43" s="310">
        <f>IF(CQ44=0,"-",(CQ43/CQ44)*CS43)</f>
        <v>170.61658181896127</v>
      </c>
    </row>
    <row r="44" spans="1:98" ht="18" customHeight="1" x14ac:dyDescent="0.2">
      <c r="A44" s="17"/>
      <c r="B44" s="321"/>
      <c r="C44" s="323"/>
      <c r="D44" s="305"/>
      <c r="E44" s="12">
        <f>+BS!K31</f>
        <v>67522.614928324299</v>
      </c>
      <c r="F44" s="307"/>
      <c r="G44" s="309"/>
      <c r="H44" s="311"/>
      <c r="I44" s="305"/>
      <c r="J44" s="12">
        <f>+BS!L31</f>
        <v>87102.514919011082</v>
      </c>
      <c r="K44" s="307"/>
      <c r="L44" s="309"/>
      <c r="M44" s="311"/>
      <c r="N44" s="305"/>
      <c r="O44" s="12">
        <f>+BS!M31</f>
        <v>51867.200044395555</v>
      </c>
      <c r="P44" s="307"/>
      <c r="Q44" s="309"/>
      <c r="R44" s="311"/>
      <c r="S44" s="305"/>
      <c r="T44" s="12">
        <f>+BS!N31</f>
        <v>55272.38538641356</v>
      </c>
      <c r="U44" s="307"/>
      <c r="V44" s="309"/>
      <c r="W44" s="311"/>
      <c r="X44" s="305"/>
      <c r="Y44" s="12">
        <f>+BS!O31</f>
        <v>51772.88909532586</v>
      </c>
      <c r="Z44" s="307"/>
      <c r="AA44" s="309"/>
      <c r="AB44" s="311"/>
      <c r="AC44" s="305"/>
      <c r="AD44" s="12">
        <f>+BS!P31</f>
        <v>71997.924791516474</v>
      </c>
      <c r="AE44" s="307"/>
      <c r="AF44" s="309"/>
      <c r="AG44" s="311"/>
      <c r="AH44" s="305"/>
      <c r="AI44" s="12">
        <f>+BS!Q31</f>
        <v>77318.812339039374</v>
      </c>
      <c r="AJ44" s="307"/>
      <c r="AK44" s="309"/>
      <c r="AL44" s="311"/>
      <c r="AM44" s="305"/>
      <c r="AN44" s="12">
        <f>+BS!R31</f>
        <v>59287.241770888366</v>
      </c>
      <c r="AO44" s="307"/>
      <c r="AP44" s="309"/>
      <c r="AQ44" s="311"/>
      <c r="AR44" s="305"/>
      <c r="AS44" s="12">
        <f>+BS!S31</f>
        <v>55908.537994868449</v>
      </c>
      <c r="AT44" s="307"/>
      <c r="AU44" s="309"/>
      <c r="AV44" s="311"/>
      <c r="AW44" s="305"/>
      <c r="AX44" s="12">
        <f>+BS!T31</f>
        <v>37060.98893124146</v>
      </c>
      <c r="AY44" s="307"/>
      <c r="AZ44" s="309"/>
      <c r="BA44" s="311"/>
      <c r="BB44" s="305"/>
      <c r="BC44" s="12">
        <f>+BS!U31</f>
        <v>42072.937331139838</v>
      </c>
      <c r="BD44" s="307"/>
      <c r="BE44" s="309"/>
      <c r="BF44" s="311"/>
      <c r="BG44" s="305"/>
      <c r="BH44" s="12">
        <f>+BS!V31</f>
        <v>45992.865681720614</v>
      </c>
      <c r="BI44" s="307"/>
      <c r="BJ44" s="309"/>
      <c r="BK44" s="311"/>
      <c r="BL44" s="305"/>
      <c r="BM44" s="12">
        <f>+BS!W31</f>
        <v>55289.984589177504</v>
      </c>
      <c r="BN44" s="307"/>
      <c r="BO44" s="309"/>
      <c r="BP44" s="311"/>
      <c r="BQ44" s="305"/>
      <c r="BR44" s="12">
        <f>+BS!X31</f>
        <v>52312.235662032166</v>
      </c>
      <c r="BS44" s="307"/>
      <c r="BT44" s="309"/>
      <c r="BU44" s="311"/>
      <c r="BV44" s="305"/>
      <c r="BW44" s="12">
        <f>+BS!Y31</f>
        <v>49171.430786864672</v>
      </c>
      <c r="BX44" s="307"/>
      <c r="BY44" s="309"/>
      <c r="BZ44" s="311"/>
      <c r="CA44" s="305"/>
      <c r="CB44" s="12">
        <f>+BS!Z31</f>
        <v>53140.351349938181</v>
      </c>
      <c r="CC44" s="307"/>
      <c r="CD44" s="309"/>
      <c r="CE44" s="311"/>
      <c r="CF44" s="305"/>
      <c r="CG44" s="12">
        <f>+BS!AA31</f>
        <v>65982.051800987829</v>
      </c>
      <c r="CH44" s="307"/>
      <c r="CI44" s="309"/>
      <c r="CJ44" s="311"/>
      <c r="CK44" s="305"/>
      <c r="CL44" s="12">
        <f>+BS!AB31</f>
        <v>52489.174836204802</v>
      </c>
      <c r="CM44" s="307"/>
      <c r="CN44" s="309"/>
      <c r="CO44" s="311"/>
      <c r="CP44" s="305"/>
      <c r="CQ44" s="12">
        <f>+BS!AC31</f>
        <v>65174.089934986769</v>
      </c>
      <c r="CR44" s="307"/>
      <c r="CS44" s="309"/>
      <c r="CT44" s="311"/>
    </row>
    <row r="45" spans="1:98" ht="18" customHeight="1" x14ac:dyDescent="0.2">
      <c r="A45" s="17"/>
      <c r="B45" s="320" t="s">
        <v>151</v>
      </c>
      <c r="C45" s="322" t="s">
        <v>152</v>
      </c>
      <c r="D45" s="304"/>
      <c r="E45" s="10">
        <f>+BS!K10+BS!K11+BS!K12</f>
        <v>69226.520019772594</v>
      </c>
      <c r="F45" s="306" t="s">
        <v>111</v>
      </c>
      <c r="G45" s="308">
        <v>100</v>
      </c>
      <c r="H45" s="310">
        <f>IF(E46=0,"-",(E45/E46)*G45)</f>
        <v>102.5234583898402</v>
      </c>
      <c r="I45" s="304"/>
      <c r="J45" s="10">
        <f>+BS!L10+BS!L11+BS!L12</f>
        <v>78352.088661551577</v>
      </c>
      <c r="K45" s="306" t="s">
        <v>111</v>
      </c>
      <c r="L45" s="308">
        <v>100</v>
      </c>
      <c r="M45" s="310">
        <f>IF(J46=0,"-",(J45/J46)*L45)</f>
        <v>89.953876457418303</v>
      </c>
      <c r="N45" s="304"/>
      <c r="O45" s="10">
        <f>+BS!M10+BS!M11+BS!M12</f>
        <v>77527.413560960078</v>
      </c>
      <c r="P45" s="306" t="s">
        <v>111</v>
      </c>
      <c r="Q45" s="308">
        <v>100</v>
      </c>
      <c r="R45" s="310">
        <f>IF(O46=0,"-",(O45/O46)*Q45)</f>
        <v>149.47291061518791</v>
      </c>
      <c r="S45" s="304"/>
      <c r="T45" s="10">
        <f>+BS!N10+BS!N11+BS!N12</f>
        <v>68858.261715222019</v>
      </c>
      <c r="U45" s="306" t="s">
        <v>111</v>
      </c>
      <c r="V45" s="308">
        <v>100</v>
      </c>
      <c r="W45" s="310">
        <f>IF(T46=0,"-",(T45/T46)*V45)</f>
        <v>124.57986250064754</v>
      </c>
      <c r="X45" s="304"/>
      <c r="Y45" s="10">
        <f>+BS!O10+BS!O11+BS!O12</f>
        <v>65984.808675029926</v>
      </c>
      <c r="Z45" s="306" t="s">
        <v>111</v>
      </c>
      <c r="AA45" s="308">
        <v>100</v>
      </c>
      <c r="AB45" s="310">
        <f>IF(Y46=0,"-",(Y45/Y46)*AA45)</f>
        <v>127.4505051351039</v>
      </c>
      <c r="AC45" s="304"/>
      <c r="AD45" s="10">
        <f>+BS!P10+BS!P11+BS!P12</f>
        <v>73036.554927399236</v>
      </c>
      <c r="AE45" s="306" t="s">
        <v>111</v>
      </c>
      <c r="AF45" s="308">
        <v>100</v>
      </c>
      <c r="AG45" s="310">
        <f>IF(AD46=0,"-",(AD45/AD46)*AF45)</f>
        <v>101.44258343402302</v>
      </c>
      <c r="AH45" s="304"/>
      <c r="AI45" s="10">
        <f>+BS!Q10+BS!Q11+BS!Q12</f>
        <v>81405.869181707079</v>
      </c>
      <c r="AJ45" s="306" t="s">
        <v>111</v>
      </c>
      <c r="AK45" s="308">
        <v>100</v>
      </c>
      <c r="AL45" s="310">
        <f>IF(AI46=0,"-",(AI45/AI46)*AK45)</f>
        <v>105.2859798528024</v>
      </c>
      <c r="AM45" s="304"/>
      <c r="AN45" s="10">
        <f>+BS!R10+BS!R11+BS!R12</f>
        <v>52466.688592766499</v>
      </c>
      <c r="AO45" s="306" t="s">
        <v>111</v>
      </c>
      <c r="AP45" s="308">
        <v>100</v>
      </c>
      <c r="AQ45" s="310">
        <f>IF(AN46=0,"-",(AN45/AN46)*AP45)</f>
        <v>88.495748875484125</v>
      </c>
      <c r="AR45" s="304"/>
      <c r="AS45" s="10">
        <f>+BS!S10+BS!S11+BS!S12</f>
        <v>62156.226193781011</v>
      </c>
      <c r="AT45" s="306" t="s">
        <v>111</v>
      </c>
      <c r="AU45" s="308">
        <v>100</v>
      </c>
      <c r="AV45" s="310">
        <f>IF(AS46=0,"-",(AS45/AS46)*AU45)</f>
        <v>111.17483737365123</v>
      </c>
      <c r="AW45" s="304"/>
      <c r="AX45" s="10">
        <f>+BS!T10+BS!T11+BS!T12</f>
        <v>50166.461529901419</v>
      </c>
      <c r="AY45" s="306" t="s">
        <v>111</v>
      </c>
      <c r="AZ45" s="308">
        <v>100</v>
      </c>
      <c r="BA45" s="310">
        <f>IF(AX46=0,"-",(AX45/AX46)*AZ45)</f>
        <v>135.36190743040962</v>
      </c>
      <c r="BB45" s="304"/>
      <c r="BC45" s="10">
        <f>+BS!U10+BS!U11+BS!U12</f>
        <v>57742.210072886628</v>
      </c>
      <c r="BD45" s="306" t="s">
        <v>111</v>
      </c>
      <c r="BE45" s="308">
        <v>100</v>
      </c>
      <c r="BF45" s="310">
        <f>IF(BC46=0,"-",(BC45/BC46)*BE45)</f>
        <v>137.24311573118842</v>
      </c>
      <c r="BG45" s="304"/>
      <c r="BH45" s="10">
        <f>+BS!V10+BS!V11+BS!V12</f>
        <v>72678.121169983846</v>
      </c>
      <c r="BI45" s="306" t="s">
        <v>111</v>
      </c>
      <c r="BJ45" s="308">
        <v>100</v>
      </c>
      <c r="BK45" s="310">
        <f>IF(BH46=0,"-",(BH45/BH46)*BJ45)</f>
        <v>158.0204235868456</v>
      </c>
      <c r="BL45" s="304"/>
      <c r="BM45" s="10">
        <f>+BS!W10+BS!W11+BS!W12</f>
        <v>75344.298293567554</v>
      </c>
      <c r="BN45" s="306" t="s">
        <v>111</v>
      </c>
      <c r="BO45" s="308">
        <v>100</v>
      </c>
      <c r="BP45" s="310">
        <f>IF(BM46=0,"-",(BM45/BM46)*BO45)</f>
        <v>136.27115083029972</v>
      </c>
      <c r="BQ45" s="304"/>
      <c r="BR45" s="10">
        <f>+BS!X10+BS!X11+BS!X12</f>
        <v>58883.846584829465</v>
      </c>
      <c r="BS45" s="306" t="s">
        <v>111</v>
      </c>
      <c r="BT45" s="308">
        <v>100</v>
      </c>
      <c r="BU45" s="310">
        <f>IF(BR46=0,"-",(BR45/BR46)*BT45)</f>
        <v>112.56228268517097</v>
      </c>
      <c r="BV45" s="304"/>
      <c r="BW45" s="10">
        <f>+BS!Y10+BS!Y11+BS!Y12</f>
        <v>67793.207730302442</v>
      </c>
      <c r="BX45" s="306" t="s">
        <v>111</v>
      </c>
      <c r="BY45" s="308">
        <v>100</v>
      </c>
      <c r="BZ45" s="310">
        <f>IF(BW46=0,"-",(BW45/BW46)*BY45)</f>
        <v>137.87113095031651</v>
      </c>
      <c r="CA45" s="304"/>
      <c r="CB45" s="10">
        <f>+BS!Z10+BS!Z11+BS!Z12</f>
        <v>64769.543407822573</v>
      </c>
      <c r="CC45" s="306" t="s">
        <v>111</v>
      </c>
      <c r="CD45" s="308">
        <v>100</v>
      </c>
      <c r="CE45" s="310">
        <f>IF(CB46=0,"-",(CB45/CB46)*CD45)</f>
        <v>121.88392015194668</v>
      </c>
      <c r="CF45" s="304"/>
      <c r="CG45" s="10">
        <f>+BS!AA10+BS!AA11+BS!AA12</f>
        <v>76708.939525358393</v>
      </c>
      <c r="CH45" s="306" t="s">
        <v>111</v>
      </c>
      <c r="CI45" s="308">
        <v>100</v>
      </c>
      <c r="CJ45" s="310">
        <f>IF(CG46=0,"-",(CG45/CG46)*CI45)</f>
        <v>116.25728123266693</v>
      </c>
      <c r="CK45" s="304"/>
      <c r="CL45" s="10">
        <f>+BS!AB10+BS!AB11+BS!AB12</f>
        <v>79793.89407910702</v>
      </c>
      <c r="CM45" s="306" t="s">
        <v>111</v>
      </c>
      <c r="CN45" s="308">
        <v>100</v>
      </c>
      <c r="CO45" s="310">
        <f>IF(CL46=0,"-",(CL45/CL46)*CN45)</f>
        <v>152.01971516623763</v>
      </c>
      <c r="CP45" s="304"/>
      <c r="CQ45" s="10">
        <f>+BS!AC10+BS!AC11+BS!AC12</f>
        <v>76416.866843245851</v>
      </c>
      <c r="CR45" s="306" t="s">
        <v>111</v>
      </c>
      <c r="CS45" s="308">
        <v>100</v>
      </c>
      <c r="CT45" s="310">
        <f>IF(CQ46=0,"-",(CQ45/CQ46)*CS45)</f>
        <v>117.25037805587175</v>
      </c>
    </row>
    <row r="46" spans="1:98" ht="18" customHeight="1" x14ac:dyDescent="0.2">
      <c r="A46" s="17"/>
      <c r="B46" s="321"/>
      <c r="C46" s="323"/>
      <c r="D46" s="305"/>
      <c r="E46" s="12">
        <f>+E44</f>
        <v>67522.614928324299</v>
      </c>
      <c r="F46" s="307"/>
      <c r="G46" s="309"/>
      <c r="H46" s="311"/>
      <c r="I46" s="305"/>
      <c r="J46" s="12">
        <f>+J44</f>
        <v>87102.514919011082</v>
      </c>
      <c r="K46" s="307"/>
      <c r="L46" s="309"/>
      <c r="M46" s="311"/>
      <c r="N46" s="305"/>
      <c r="O46" s="12">
        <f>+O44</f>
        <v>51867.200044395555</v>
      </c>
      <c r="P46" s="307"/>
      <c r="Q46" s="309"/>
      <c r="R46" s="311"/>
      <c r="S46" s="305"/>
      <c r="T46" s="12">
        <f>+T44</f>
        <v>55272.38538641356</v>
      </c>
      <c r="U46" s="307"/>
      <c r="V46" s="309"/>
      <c r="W46" s="311"/>
      <c r="X46" s="305"/>
      <c r="Y46" s="12">
        <f>+Y44</f>
        <v>51772.88909532586</v>
      </c>
      <c r="Z46" s="307"/>
      <c r="AA46" s="309"/>
      <c r="AB46" s="311"/>
      <c r="AC46" s="305"/>
      <c r="AD46" s="12">
        <f>+AD44</f>
        <v>71997.924791516474</v>
      </c>
      <c r="AE46" s="307"/>
      <c r="AF46" s="309"/>
      <c r="AG46" s="311"/>
      <c r="AH46" s="305"/>
      <c r="AI46" s="12">
        <f>+AI44</f>
        <v>77318.812339039374</v>
      </c>
      <c r="AJ46" s="307"/>
      <c r="AK46" s="309"/>
      <c r="AL46" s="311"/>
      <c r="AM46" s="305"/>
      <c r="AN46" s="12">
        <f>+AN44</f>
        <v>59287.241770888366</v>
      </c>
      <c r="AO46" s="307"/>
      <c r="AP46" s="309"/>
      <c r="AQ46" s="311"/>
      <c r="AR46" s="305"/>
      <c r="AS46" s="12">
        <f>+AS44</f>
        <v>55908.537994868449</v>
      </c>
      <c r="AT46" s="307"/>
      <c r="AU46" s="309"/>
      <c r="AV46" s="311"/>
      <c r="AW46" s="305"/>
      <c r="AX46" s="12">
        <f>+AX44</f>
        <v>37060.98893124146</v>
      </c>
      <c r="AY46" s="307"/>
      <c r="AZ46" s="309"/>
      <c r="BA46" s="311"/>
      <c r="BB46" s="305"/>
      <c r="BC46" s="12">
        <f>+BC44</f>
        <v>42072.937331139838</v>
      </c>
      <c r="BD46" s="307"/>
      <c r="BE46" s="309"/>
      <c r="BF46" s="311"/>
      <c r="BG46" s="305"/>
      <c r="BH46" s="12">
        <f>+BH44</f>
        <v>45992.865681720614</v>
      </c>
      <c r="BI46" s="307"/>
      <c r="BJ46" s="309"/>
      <c r="BK46" s="311"/>
      <c r="BL46" s="305"/>
      <c r="BM46" s="12">
        <f>+BM44</f>
        <v>55289.984589177504</v>
      </c>
      <c r="BN46" s="307"/>
      <c r="BO46" s="309"/>
      <c r="BP46" s="311"/>
      <c r="BQ46" s="305"/>
      <c r="BR46" s="12">
        <f>+BR44</f>
        <v>52312.235662032166</v>
      </c>
      <c r="BS46" s="307"/>
      <c r="BT46" s="309"/>
      <c r="BU46" s="311"/>
      <c r="BV46" s="305"/>
      <c r="BW46" s="12">
        <f>+BW44</f>
        <v>49171.430786864672</v>
      </c>
      <c r="BX46" s="307"/>
      <c r="BY46" s="309"/>
      <c r="BZ46" s="311"/>
      <c r="CA46" s="305"/>
      <c r="CB46" s="12">
        <f>+CB44</f>
        <v>53140.351349938181</v>
      </c>
      <c r="CC46" s="307"/>
      <c r="CD46" s="309"/>
      <c r="CE46" s="311"/>
      <c r="CF46" s="305"/>
      <c r="CG46" s="12">
        <f>+CG44</f>
        <v>65982.051800987829</v>
      </c>
      <c r="CH46" s="307"/>
      <c r="CI46" s="309"/>
      <c r="CJ46" s="311"/>
      <c r="CK46" s="305"/>
      <c r="CL46" s="12">
        <f>+CL44</f>
        <v>52489.174836204802</v>
      </c>
      <c r="CM46" s="307"/>
      <c r="CN46" s="309"/>
      <c r="CO46" s="311"/>
      <c r="CP46" s="305"/>
      <c r="CQ46" s="12">
        <f>+CQ44</f>
        <v>65174.089934986769</v>
      </c>
      <c r="CR46" s="307"/>
      <c r="CS46" s="309"/>
      <c r="CT46" s="311"/>
    </row>
    <row r="47" spans="1:98"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row>
    <row r="48" spans="1:98" ht="18" customHeight="1" x14ac:dyDescent="0.2">
      <c r="A48" s="20"/>
      <c r="B48" s="320" t="s">
        <v>153</v>
      </c>
      <c r="C48" s="322" t="s">
        <v>149</v>
      </c>
      <c r="D48" s="304"/>
      <c r="E48" s="10">
        <f>+E9</f>
        <v>51483.316856154197</v>
      </c>
      <c r="F48" s="306" t="s">
        <v>150</v>
      </c>
      <c r="G48" s="308">
        <v>100</v>
      </c>
      <c r="H48" s="310">
        <f>IF(E49=0,"-",(E48/E49)*G48)</f>
        <v>29.928849450206723</v>
      </c>
      <c r="I48" s="304"/>
      <c r="J48" s="10">
        <f>+J9</f>
        <v>49507.139812446716</v>
      </c>
      <c r="K48" s="306" t="s">
        <v>111</v>
      </c>
      <c r="L48" s="308">
        <v>100</v>
      </c>
      <c r="M48" s="310">
        <f>IF(J49=0,"-",(J48/J49)*L48)</f>
        <v>23.30291151589935</v>
      </c>
      <c r="N48" s="304"/>
      <c r="O48" s="10">
        <f>+O9</f>
        <v>48698.385233398913</v>
      </c>
      <c r="P48" s="306" t="s">
        <v>111</v>
      </c>
      <c r="Q48" s="308">
        <v>100</v>
      </c>
      <c r="R48" s="310">
        <f>IF(O49=0,"-",(O48/O49)*Q48)</f>
        <v>31.503657206479929</v>
      </c>
      <c r="S48" s="304"/>
      <c r="T48" s="10">
        <f>+T9</f>
        <v>65961.847335874991</v>
      </c>
      <c r="U48" s="306" t="s">
        <v>111</v>
      </c>
      <c r="V48" s="308">
        <v>100</v>
      </c>
      <c r="W48" s="310">
        <f>IF(T49=0,"-",(T48/T49)*V48)</f>
        <v>38.400173526182527</v>
      </c>
      <c r="X48" s="304"/>
      <c r="Y48" s="10">
        <f>+Y9</f>
        <v>50236.49470309358</v>
      </c>
      <c r="Z48" s="306" t="s">
        <v>111</v>
      </c>
      <c r="AA48" s="308">
        <v>100</v>
      </c>
      <c r="AB48" s="310">
        <f>IF(Y49=0,"-",(Y48/Y49)*AA48)</f>
        <v>30.798772782611085</v>
      </c>
      <c r="AC48" s="304"/>
      <c r="AD48" s="10">
        <f>+AD9</f>
        <v>66085.211136520724</v>
      </c>
      <c r="AE48" s="306" t="s">
        <v>111</v>
      </c>
      <c r="AF48" s="308">
        <v>100</v>
      </c>
      <c r="AG48" s="310">
        <f>IF(AD49=0,"-",(AD48/AD49)*AF48)</f>
        <v>33.050190728506607</v>
      </c>
      <c r="AH48" s="304"/>
      <c r="AI48" s="10">
        <f>+AI9</f>
        <v>85944.744137372982</v>
      </c>
      <c r="AJ48" s="306" t="s">
        <v>150</v>
      </c>
      <c r="AK48" s="308">
        <v>100</v>
      </c>
      <c r="AL48" s="310">
        <f>IF(AI49=0,"-",(AI48/AI49)*AK48)</f>
        <v>36.150223856531042</v>
      </c>
      <c r="AM48" s="304"/>
      <c r="AN48" s="10">
        <f>+AN9</f>
        <v>31952.277555698762</v>
      </c>
      <c r="AO48" s="306" t="s">
        <v>111</v>
      </c>
      <c r="AP48" s="308">
        <v>100</v>
      </c>
      <c r="AQ48" s="310">
        <f>IF(AN49=0,"-",(AN48/AN49)*AP48)</f>
        <v>20.237118020568431</v>
      </c>
      <c r="AR48" s="304"/>
      <c r="AS48" s="10">
        <f>+AS9</f>
        <v>45684.214792713632</v>
      </c>
      <c r="AT48" s="306" t="s">
        <v>111</v>
      </c>
      <c r="AU48" s="308">
        <v>100</v>
      </c>
      <c r="AV48" s="310">
        <f>IF(AS49=0,"-",(AS48/AS49)*AU48)</f>
        <v>29.923756632698989</v>
      </c>
      <c r="AW48" s="304"/>
      <c r="AX48" s="10">
        <f>+AX9</f>
        <v>48221.057189315405</v>
      </c>
      <c r="AY48" s="306" t="s">
        <v>111</v>
      </c>
      <c r="AZ48" s="308">
        <v>100</v>
      </c>
      <c r="BA48" s="310">
        <f>IF(AX49=0,"-",(AX48/AX49)*AZ48)</f>
        <v>35.956814745712116</v>
      </c>
      <c r="BB48" s="304"/>
      <c r="BC48" s="10">
        <f>+BC9</f>
        <v>46577.298463612438</v>
      </c>
      <c r="BD48" s="306" t="s">
        <v>111</v>
      </c>
      <c r="BE48" s="308">
        <v>100</v>
      </c>
      <c r="BF48" s="310">
        <f>IF(BC49=0,"-",(BC48/BC49)*BE48)</f>
        <v>33.984911316536966</v>
      </c>
      <c r="BG48" s="304"/>
      <c r="BH48" s="10">
        <f>+BH9</f>
        <v>80617.303997791416</v>
      </c>
      <c r="BI48" s="306" t="s">
        <v>111</v>
      </c>
      <c r="BJ48" s="308">
        <v>100</v>
      </c>
      <c r="BK48" s="310">
        <f>IF(BH49=0,"-",(BH48/BH49)*BJ48)</f>
        <v>44.000445560977525</v>
      </c>
      <c r="BL48" s="304"/>
      <c r="BM48" s="10">
        <f>+BM9</f>
        <v>86081.197080467988</v>
      </c>
      <c r="BN48" s="306" t="s">
        <v>111</v>
      </c>
      <c r="BO48" s="308">
        <v>100</v>
      </c>
      <c r="BP48" s="310">
        <f>IF(BM49=0,"-",(BM48/BM49)*BO48)</f>
        <v>45.140892527670914</v>
      </c>
      <c r="BQ48" s="304"/>
      <c r="BR48" s="10">
        <f>+BR9</f>
        <v>53042.841968269684</v>
      </c>
      <c r="BS48" s="306" t="s">
        <v>111</v>
      </c>
      <c r="BT48" s="308">
        <v>100</v>
      </c>
      <c r="BU48" s="310">
        <f>IF(BR49=0,"-",(BR48/BR49)*BT48)</f>
        <v>34.852377612525679</v>
      </c>
      <c r="BV48" s="304"/>
      <c r="BW48" s="10">
        <f>+BW9</f>
        <v>89893.21682627355</v>
      </c>
      <c r="BX48" s="306" t="s">
        <v>111</v>
      </c>
      <c r="BY48" s="308">
        <v>100</v>
      </c>
      <c r="BZ48" s="310">
        <f>IF(BW49=0,"-",(BW48/BW49)*BY48)</f>
        <v>46.258950717415523</v>
      </c>
      <c r="CA48" s="304"/>
      <c r="CB48" s="10">
        <f>+CB9</f>
        <v>59005.086002803757</v>
      </c>
      <c r="CC48" s="306" t="s">
        <v>111</v>
      </c>
      <c r="CD48" s="308">
        <v>100</v>
      </c>
      <c r="CE48" s="310">
        <f>IF(CB49=0,"-",(CB48/CB49)*CD48)</f>
        <v>35.898051220999619</v>
      </c>
      <c r="CF48" s="304"/>
      <c r="CG48" s="10">
        <f>+CG9</f>
        <v>77756.674858450788</v>
      </c>
      <c r="CH48" s="306" t="s">
        <v>111</v>
      </c>
      <c r="CI48" s="308">
        <v>100</v>
      </c>
      <c r="CJ48" s="310">
        <f>IF(CG49=0,"-",(CG48/CG49)*CI48)</f>
        <v>38.495456568018909</v>
      </c>
      <c r="CK48" s="304"/>
      <c r="CL48" s="10">
        <f>+CL9</f>
        <v>84560.407182722643</v>
      </c>
      <c r="CM48" s="306" t="s">
        <v>111</v>
      </c>
      <c r="CN48" s="308">
        <v>100</v>
      </c>
      <c r="CO48" s="310">
        <f>IF(CL49=0,"-",(CL48/CL49)*CN48)</f>
        <v>43.251637092196816</v>
      </c>
      <c r="CP48" s="304"/>
      <c r="CQ48" s="10">
        <f>+CQ9</f>
        <v>65996.174331808332</v>
      </c>
      <c r="CR48" s="306" t="s">
        <v>111</v>
      </c>
      <c r="CS48" s="308">
        <v>100</v>
      </c>
      <c r="CT48" s="310">
        <f>IF(CQ49=0,"-",(CQ48/CQ49)*CS48)</f>
        <v>36.910172111534862</v>
      </c>
    </row>
    <row r="49" spans="1:98" ht="18" customHeight="1" x14ac:dyDescent="0.2">
      <c r="A49" s="20"/>
      <c r="B49" s="321"/>
      <c r="C49" s="323"/>
      <c r="D49" s="305"/>
      <c r="E49" s="12">
        <f>+E7</f>
        <v>172019.03114186903</v>
      </c>
      <c r="F49" s="307"/>
      <c r="G49" s="309"/>
      <c r="H49" s="311"/>
      <c r="I49" s="305"/>
      <c r="J49" s="12">
        <f>+J7</f>
        <v>212450.44757033247</v>
      </c>
      <c r="K49" s="307"/>
      <c r="L49" s="309"/>
      <c r="M49" s="311"/>
      <c r="N49" s="305"/>
      <c r="O49" s="12">
        <f>+O7</f>
        <v>154580.10133306755</v>
      </c>
      <c r="P49" s="307"/>
      <c r="Q49" s="309"/>
      <c r="R49" s="311"/>
      <c r="S49" s="305"/>
      <c r="T49" s="12">
        <f>+T7</f>
        <v>171774.86786850065</v>
      </c>
      <c r="U49" s="307"/>
      <c r="V49" s="309"/>
      <c r="W49" s="311"/>
      <c r="X49" s="305"/>
      <c r="Y49" s="12">
        <f>+Y7</f>
        <v>163112.00143486558</v>
      </c>
      <c r="Z49" s="307"/>
      <c r="AA49" s="309"/>
      <c r="AB49" s="311"/>
      <c r="AC49" s="305"/>
      <c r="AD49" s="12">
        <f>+AD7</f>
        <v>199954.09914388359</v>
      </c>
      <c r="AE49" s="307"/>
      <c r="AF49" s="309"/>
      <c r="AG49" s="311"/>
      <c r="AH49" s="305"/>
      <c r="AI49" s="12">
        <f>+AI7</f>
        <v>237743.32485038225</v>
      </c>
      <c r="AJ49" s="307"/>
      <c r="AK49" s="309"/>
      <c r="AL49" s="311"/>
      <c r="AM49" s="305"/>
      <c r="AN49" s="12">
        <f>+AN7</f>
        <v>157889.46589738407</v>
      </c>
      <c r="AO49" s="307"/>
      <c r="AP49" s="309"/>
      <c r="AQ49" s="311"/>
      <c r="AR49" s="305"/>
      <c r="AS49" s="12">
        <f>+AS7</f>
        <v>152668.71520667465</v>
      </c>
      <c r="AT49" s="307"/>
      <c r="AU49" s="309"/>
      <c r="AV49" s="311"/>
      <c r="AW49" s="305"/>
      <c r="AX49" s="12">
        <f>+AX7</f>
        <v>134108.25605754138</v>
      </c>
      <c r="AY49" s="307"/>
      <c r="AZ49" s="309"/>
      <c r="BA49" s="311"/>
      <c r="BB49" s="305"/>
      <c r="BC49" s="12">
        <f>+BC7</f>
        <v>137052.87628909614</v>
      </c>
      <c r="BD49" s="307"/>
      <c r="BE49" s="309"/>
      <c r="BF49" s="311"/>
      <c r="BG49" s="305"/>
      <c r="BH49" s="12">
        <f>+BH7</f>
        <v>183219.29010029871</v>
      </c>
      <c r="BI49" s="307"/>
      <c r="BJ49" s="309"/>
      <c r="BK49" s="311"/>
      <c r="BL49" s="305"/>
      <c r="BM49" s="12">
        <f>+BM7</f>
        <v>190694.49508048844</v>
      </c>
      <c r="BN49" s="307"/>
      <c r="BO49" s="309"/>
      <c r="BP49" s="311"/>
      <c r="BQ49" s="305"/>
      <c r="BR49" s="12">
        <f>+BR7</f>
        <v>152192.89357523341</v>
      </c>
      <c r="BS49" s="307"/>
      <c r="BT49" s="309"/>
      <c r="BU49" s="311"/>
      <c r="BV49" s="305"/>
      <c r="BW49" s="12">
        <f>+BW7</f>
        <v>194326.10431526855</v>
      </c>
      <c r="BX49" s="307"/>
      <c r="BY49" s="309"/>
      <c r="BZ49" s="311"/>
      <c r="CA49" s="305"/>
      <c r="CB49" s="12">
        <f>+CB7</f>
        <v>164368.49354175248</v>
      </c>
      <c r="CC49" s="307"/>
      <c r="CD49" s="309"/>
      <c r="CE49" s="311"/>
      <c r="CF49" s="305"/>
      <c r="CG49" s="12">
        <f>+CG7</f>
        <v>201989.22623780268</v>
      </c>
      <c r="CH49" s="307"/>
      <c r="CI49" s="309"/>
      <c r="CJ49" s="311"/>
      <c r="CK49" s="305"/>
      <c r="CL49" s="12">
        <f>+CL7</f>
        <v>195507.99199223489</v>
      </c>
      <c r="CM49" s="307"/>
      <c r="CN49" s="309"/>
      <c r="CO49" s="311"/>
      <c r="CP49" s="305"/>
      <c r="CQ49" s="12">
        <f>+CQ7</f>
        <v>178802.13111004094</v>
      </c>
      <c r="CR49" s="307"/>
      <c r="CS49" s="309"/>
      <c r="CT49" s="311"/>
    </row>
    <row r="50" spans="1:98" ht="18" customHeight="1" x14ac:dyDescent="0.2">
      <c r="A50" s="20"/>
      <c r="B50" s="320" t="s">
        <v>154</v>
      </c>
      <c r="C50" s="322" t="s">
        <v>152</v>
      </c>
      <c r="D50" s="304"/>
      <c r="E50" s="10">
        <f>+BS!K30</f>
        <v>120535.714285714</v>
      </c>
      <c r="F50" s="306" t="s">
        <v>111</v>
      </c>
      <c r="G50" s="308">
        <v>100</v>
      </c>
      <c r="H50" s="310">
        <f>IF(E51=0,"-",(E50/E51)*G50)</f>
        <v>234.12577441833071</v>
      </c>
      <c r="I50" s="304"/>
      <c r="J50" s="10">
        <f>+BS!L30</f>
        <v>162943.30775788578</v>
      </c>
      <c r="K50" s="306" t="s">
        <v>111</v>
      </c>
      <c r="L50" s="308">
        <v>100</v>
      </c>
      <c r="M50" s="310">
        <f>IF(J51=0,"-",(J50/J51)*L50)</f>
        <v>329.13092611526667</v>
      </c>
      <c r="N50" s="304"/>
      <c r="O50" s="10">
        <f>+BS!M30</f>
        <v>105881.71609966896</v>
      </c>
      <c r="P50" s="306" t="s">
        <v>111</v>
      </c>
      <c r="Q50" s="308">
        <v>100</v>
      </c>
      <c r="R50" s="310">
        <f>IF(O51=0,"-",(O50/O51)*Q50)</f>
        <v>217.42346402699999</v>
      </c>
      <c r="S50" s="304"/>
      <c r="T50" s="10">
        <f>+BS!N30</f>
        <v>105813.02053262552</v>
      </c>
      <c r="U50" s="306" t="s">
        <v>111</v>
      </c>
      <c r="V50" s="308">
        <v>100</v>
      </c>
      <c r="W50" s="310">
        <f>IF(T51=0,"-",(T50/T51)*V50)</f>
        <v>160.41548987224391</v>
      </c>
      <c r="X50" s="304"/>
      <c r="Y50" s="10">
        <f>+BS!O30</f>
        <v>112875.50673177226</v>
      </c>
      <c r="Z50" s="306" t="s">
        <v>111</v>
      </c>
      <c r="AA50" s="308">
        <v>100</v>
      </c>
      <c r="AB50" s="310">
        <f>IF(Y51=0,"-",(Y50/Y51)*AA50)</f>
        <v>224.68826178833959</v>
      </c>
      <c r="AC50" s="304"/>
      <c r="AD50" s="10">
        <f>+BS!P30</f>
        <v>133868.88800736287</v>
      </c>
      <c r="AE50" s="306" t="s">
        <v>111</v>
      </c>
      <c r="AF50" s="308">
        <v>100</v>
      </c>
      <c r="AG50" s="310">
        <f>IF(AD51=0,"-",(AD50/AD51)*AF50)</f>
        <v>202.57011471267404</v>
      </c>
      <c r="AH50" s="304"/>
      <c r="AI50" s="10">
        <f>+BS!Q30</f>
        <v>151798.58071301051</v>
      </c>
      <c r="AJ50" s="306" t="s">
        <v>111</v>
      </c>
      <c r="AK50" s="308">
        <v>100</v>
      </c>
      <c r="AL50" s="310">
        <f>IF(AI51=0,"-",(AI50/AI51)*AK50)</f>
        <v>176.62345991789513</v>
      </c>
      <c r="AM50" s="304"/>
      <c r="AN50" s="10">
        <f>+BS!R30</f>
        <v>125937.18834168522</v>
      </c>
      <c r="AO50" s="306" t="s">
        <v>155</v>
      </c>
      <c r="AP50" s="308">
        <v>100</v>
      </c>
      <c r="AQ50" s="310">
        <f>IF(AN51=0,"-",(AN50/AN51)*AP50)</f>
        <v>394.14150719664127</v>
      </c>
      <c r="AR50" s="304"/>
      <c r="AS50" s="10">
        <f>+BS!S30</f>
        <v>106984.50041396102</v>
      </c>
      <c r="AT50" s="306" t="s">
        <v>111</v>
      </c>
      <c r="AU50" s="308">
        <v>100</v>
      </c>
      <c r="AV50" s="310">
        <f>IF(AS51=0,"-",(AS50/AS51)*AU50)</f>
        <v>234.18264032640096</v>
      </c>
      <c r="AW50" s="304"/>
      <c r="AX50" s="10">
        <f>+BS!T30</f>
        <v>85887.198868225911</v>
      </c>
      <c r="AY50" s="306" t="s">
        <v>111</v>
      </c>
      <c r="AZ50" s="308">
        <v>100</v>
      </c>
      <c r="BA50" s="310">
        <f>IF(AX51=0,"-",(AX50/AX51)*AZ50)</f>
        <v>178.11139753953049</v>
      </c>
      <c r="BB50" s="304"/>
      <c r="BC50" s="10">
        <f>+BS!U30</f>
        <v>90475.577825483648</v>
      </c>
      <c r="BD50" s="306" t="s">
        <v>111</v>
      </c>
      <c r="BE50" s="308">
        <v>100</v>
      </c>
      <c r="BF50" s="310">
        <f>IF(BC51=0,"-",(BC50/BC51)*BE50)</f>
        <v>194.24822995297987</v>
      </c>
      <c r="BG50" s="304"/>
      <c r="BH50" s="10">
        <f>+BS!V30</f>
        <v>102601.98610250725</v>
      </c>
      <c r="BI50" s="306" t="s">
        <v>111</v>
      </c>
      <c r="BJ50" s="308">
        <v>100</v>
      </c>
      <c r="BK50" s="310">
        <f>IF(BH51=0,"-",(BH50/BH51)*BJ50)</f>
        <v>127.27042584470219</v>
      </c>
      <c r="BL50" s="304"/>
      <c r="BM50" s="10">
        <f>+BS!W30</f>
        <v>104613.29800002038</v>
      </c>
      <c r="BN50" s="306" t="s">
        <v>111</v>
      </c>
      <c r="BO50" s="308">
        <v>100</v>
      </c>
      <c r="BP50" s="310">
        <f>IF(BM51=0,"-",(BM50/BM51)*BO50)</f>
        <v>121.52862825807213</v>
      </c>
      <c r="BQ50" s="304"/>
      <c r="BR50" s="10">
        <f>+BS!X30</f>
        <v>99150.051606963752</v>
      </c>
      <c r="BS50" s="306" t="s">
        <v>111</v>
      </c>
      <c r="BT50" s="308">
        <v>100</v>
      </c>
      <c r="BU50" s="310">
        <f>IF(BR51=0,"-",(BR50/BR51)*BT50)</f>
        <v>186.92447072552312</v>
      </c>
      <c r="BV50" s="304"/>
      <c r="BW50" s="10">
        <f>+BS!Y30</f>
        <v>104432.88748899485</v>
      </c>
      <c r="BX50" s="306" t="s">
        <v>111</v>
      </c>
      <c r="BY50" s="308">
        <v>100</v>
      </c>
      <c r="BZ50" s="310">
        <f>IF(BW51=0,"-",(BW50/BW51)*BY50)</f>
        <v>116.17438019914282</v>
      </c>
      <c r="CA50" s="304"/>
      <c r="CB50" s="10">
        <f>+BS!Z30</f>
        <v>105363.40753894871</v>
      </c>
      <c r="CC50" s="306" t="s">
        <v>111</v>
      </c>
      <c r="CD50" s="308">
        <v>100</v>
      </c>
      <c r="CE50" s="310">
        <f>IF(CB51=0,"-",(CB50/CB51)*CD50)</f>
        <v>178.56665361684608</v>
      </c>
      <c r="CF50" s="304"/>
      <c r="CG50" s="10">
        <f>+BS!AA30</f>
        <v>124232.55125888449</v>
      </c>
      <c r="CH50" s="306" t="s">
        <v>155</v>
      </c>
      <c r="CI50" s="308">
        <v>100</v>
      </c>
      <c r="CJ50" s="310">
        <f>IF(CG51=0,"-",(CG50/CG51)*CI50)</f>
        <v>159.77091546807904</v>
      </c>
      <c r="CK50" s="304"/>
      <c r="CL50" s="10">
        <f>+BS!AB30</f>
        <v>110947.58480951225</v>
      </c>
      <c r="CM50" s="306" t="s">
        <v>111</v>
      </c>
      <c r="CN50" s="308">
        <v>100</v>
      </c>
      <c r="CO50" s="310">
        <f>IF(CL51=0,"-",(CL50/CL51)*CN50)</f>
        <v>131.20512129248715</v>
      </c>
      <c r="CP50" s="304"/>
      <c r="CQ50" s="10">
        <f>+BS!AC30</f>
        <v>112805.9567782326</v>
      </c>
      <c r="CR50" s="306" t="s">
        <v>111</v>
      </c>
      <c r="CS50" s="308">
        <v>100</v>
      </c>
      <c r="CT50" s="310">
        <f>IF(CQ51=0,"-",(CQ50/CQ51)*CS50)</f>
        <v>170.92802411709377</v>
      </c>
    </row>
    <row r="51" spans="1:98" ht="18" customHeight="1" x14ac:dyDescent="0.2">
      <c r="A51" s="23"/>
      <c r="B51" s="321"/>
      <c r="C51" s="323"/>
      <c r="D51" s="305"/>
      <c r="E51" s="12">
        <f>+E9</f>
        <v>51483.316856154197</v>
      </c>
      <c r="F51" s="307"/>
      <c r="G51" s="309"/>
      <c r="H51" s="311"/>
      <c r="I51" s="305"/>
      <c r="J51" s="12">
        <f>+J9</f>
        <v>49507.139812446716</v>
      </c>
      <c r="K51" s="307"/>
      <c r="L51" s="309"/>
      <c r="M51" s="311"/>
      <c r="N51" s="305"/>
      <c r="O51" s="12">
        <f>+O9</f>
        <v>48698.385233398913</v>
      </c>
      <c r="P51" s="307"/>
      <c r="Q51" s="309"/>
      <c r="R51" s="311"/>
      <c r="S51" s="305"/>
      <c r="T51" s="12">
        <f>+T9</f>
        <v>65961.847335874991</v>
      </c>
      <c r="U51" s="307"/>
      <c r="V51" s="309"/>
      <c r="W51" s="311"/>
      <c r="X51" s="305"/>
      <c r="Y51" s="12">
        <f>+Y9</f>
        <v>50236.49470309358</v>
      </c>
      <c r="Z51" s="307"/>
      <c r="AA51" s="309"/>
      <c r="AB51" s="311"/>
      <c r="AC51" s="305"/>
      <c r="AD51" s="12">
        <f>+AD9</f>
        <v>66085.211136520724</v>
      </c>
      <c r="AE51" s="307"/>
      <c r="AF51" s="309"/>
      <c r="AG51" s="311"/>
      <c r="AH51" s="305"/>
      <c r="AI51" s="12">
        <f>+AI9</f>
        <v>85944.744137372982</v>
      </c>
      <c r="AJ51" s="307"/>
      <c r="AK51" s="309"/>
      <c r="AL51" s="311"/>
      <c r="AM51" s="305"/>
      <c r="AN51" s="12">
        <f>+AN9</f>
        <v>31952.277555698762</v>
      </c>
      <c r="AO51" s="307"/>
      <c r="AP51" s="309"/>
      <c r="AQ51" s="311"/>
      <c r="AR51" s="305"/>
      <c r="AS51" s="12">
        <f>+AS9</f>
        <v>45684.214792713632</v>
      </c>
      <c r="AT51" s="307"/>
      <c r="AU51" s="309"/>
      <c r="AV51" s="311"/>
      <c r="AW51" s="305"/>
      <c r="AX51" s="12">
        <f>+AX9</f>
        <v>48221.057189315405</v>
      </c>
      <c r="AY51" s="307"/>
      <c r="AZ51" s="309"/>
      <c r="BA51" s="311"/>
      <c r="BB51" s="305"/>
      <c r="BC51" s="12">
        <f>+BC9</f>
        <v>46577.298463612438</v>
      </c>
      <c r="BD51" s="307"/>
      <c r="BE51" s="309"/>
      <c r="BF51" s="311"/>
      <c r="BG51" s="305"/>
      <c r="BH51" s="12">
        <f>+BH9</f>
        <v>80617.303997791416</v>
      </c>
      <c r="BI51" s="307"/>
      <c r="BJ51" s="309"/>
      <c r="BK51" s="311"/>
      <c r="BL51" s="305"/>
      <c r="BM51" s="12">
        <f>+BM9</f>
        <v>86081.197080467988</v>
      </c>
      <c r="BN51" s="307"/>
      <c r="BO51" s="309"/>
      <c r="BP51" s="311"/>
      <c r="BQ51" s="305"/>
      <c r="BR51" s="12">
        <f>+BR9</f>
        <v>53042.841968269684</v>
      </c>
      <c r="BS51" s="307"/>
      <c r="BT51" s="309"/>
      <c r="BU51" s="311"/>
      <c r="BV51" s="305"/>
      <c r="BW51" s="12">
        <f>+BW9</f>
        <v>89893.21682627355</v>
      </c>
      <c r="BX51" s="307"/>
      <c r="BY51" s="309"/>
      <c r="BZ51" s="311"/>
      <c r="CA51" s="305"/>
      <c r="CB51" s="12">
        <f>+CB9</f>
        <v>59005.086002803757</v>
      </c>
      <c r="CC51" s="307"/>
      <c r="CD51" s="309"/>
      <c r="CE51" s="311"/>
      <c r="CF51" s="305"/>
      <c r="CG51" s="12">
        <f>+CG9</f>
        <v>77756.674858450788</v>
      </c>
      <c r="CH51" s="307"/>
      <c r="CI51" s="309"/>
      <c r="CJ51" s="311"/>
      <c r="CK51" s="305"/>
      <c r="CL51" s="12">
        <f>+CL9</f>
        <v>84560.407182722643</v>
      </c>
      <c r="CM51" s="307"/>
      <c r="CN51" s="309"/>
      <c r="CO51" s="311"/>
      <c r="CP51" s="305"/>
      <c r="CQ51" s="12">
        <f>+CQ9</f>
        <v>65996.174331808332</v>
      </c>
      <c r="CR51" s="307"/>
      <c r="CS51" s="309"/>
      <c r="CT51" s="311"/>
    </row>
    <row r="52" spans="1:98"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row>
    <row r="53" spans="1:98" ht="18" customHeight="1" x14ac:dyDescent="0.2">
      <c r="A53" s="17"/>
      <c r="B53" s="320" t="s">
        <v>157</v>
      </c>
      <c r="C53" s="322" t="s">
        <v>132</v>
      </c>
      <c r="D53" s="304"/>
      <c r="E53" s="10">
        <f>+BS!K15</f>
        <v>78422.763222936206</v>
      </c>
      <c r="F53" s="306" t="s">
        <v>111</v>
      </c>
      <c r="G53" s="308">
        <v>100</v>
      </c>
      <c r="H53" s="310">
        <f>IF(E54=0,"-",(E53/E54)*G53)</f>
        <v>75.048280184724192</v>
      </c>
      <c r="I53" s="304"/>
      <c r="J53" s="10">
        <f>+BS!L15</f>
        <v>92275.895140664958</v>
      </c>
      <c r="K53" s="306" t="s">
        <v>111</v>
      </c>
      <c r="L53" s="308">
        <v>100</v>
      </c>
      <c r="M53" s="310">
        <f>IF(J54=0,"-",(J53/J54)*L53)</f>
        <v>73.615809362686122</v>
      </c>
      <c r="N53" s="304"/>
      <c r="O53" s="10">
        <f>+BS!M15</f>
        <v>55054.604132235909</v>
      </c>
      <c r="P53" s="306" t="s">
        <v>111</v>
      </c>
      <c r="Q53" s="308">
        <v>100</v>
      </c>
      <c r="R53" s="310">
        <f>IF(O54=0,"-",(O53/O54)*Q53)</f>
        <v>53.600476124714092</v>
      </c>
      <c r="S53" s="304"/>
      <c r="T53" s="10">
        <f>+BS!N15</f>
        <v>76456.304621388685</v>
      </c>
      <c r="U53" s="306" t="s">
        <v>111</v>
      </c>
      <c r="V53" s="308">
        <v>100</v>
      </c>
      <c r="W53" s="310">
        <f>IF(T54=0,"-",(T53/T54)*V53)</f>
        <v>65.626330866506947</v>
      </c>
      <c r="X53" s="304"/>
      <c r="Y53" s="10">
        <f>+BS!O15</f>
        <v>67377.820117776937</v>
      </c>
      <c r="Z53" s="306" t="s">
        <v>111</v>
      </c>
      <c r="AA53" s="308">
        <v>100</v>
      </c>
      <c r="AB53" s="310">
        <f>IF(Y54=0,"-",(Y53/Y54)*AA53)</f>
        <v>60.515858894492894</v>
      </c>
      <c r="AC53" s="304"/>
      <c r="AD53" s="10">
        <f>+BS!P15</f>
        <v>92643.730909809034</v>
      </c>
      <c r="AE53" s="306" t="s">
        <v>111</v>
      </c>
      <c r="AF53" s="308">
        <v>100</v>
      </c>
      <c r="AG53" s="310">
        <f>IF(AD54=0,"-",(AD53/AD54)*AF53)</f>
        <v>72.402704581246823</v>
      </c>
      <c r="AH53" s="304"/>
      <c r="AI53" s="10">
        <f>+BS!Q15</f>
        <v>116721.95267130555</v>
      </c>
      <c r="AJ53" s="306" t="s">
        <v>111</v>
      </c>
      <c r="AK53" s="308">
        <v>100</v>
      </c>
      <c r="AL53" s="310">
        <f>IF(AI54=0,"-",(AI53/AI54)*AK53)</f>
        <v>72.758178188668182</v>
      </c>
      <c r="AM53" s="304"/>
      <c r="AN53" s="10">
        <f>+BS!R15</f>
        <v>76810.998297142214</v>
      </c>
      <c r="AO53" s="306" t="s">
        <v>111</v>
      </c>
      <c r="AP53" s="308">
        <v>100</v>
      </c>
      <c r="AQ53" s="310">
        <f>IF(AN54=0,"-",(AN53/AN54)*AP53)</f>
        <v>77.899863798814692</v>
      </c>
      <c r="AR53" s="304"/>
      <c r="AS53" s="10">
        <f>+BS!S15</f>
        <v>61793.223185692266</v>
      </c>
      <c r="AT53" s="306" t="s">
        <v>111</v>
      </c>
      <c r="AU53" s="308">
        <v>100</v>
      </c>
      <c r="AV53" s="310">
        <f>IF(AS54=0,"-",(AS53/AS54)*AU53)</f>
        <v>63.862246810925186</v>
      </c>
      <c r="AW53" s="304"/>
      <c r="AX53" s="10">
        <f>+BS!T15</f>
        <v>60010.636288864138</v>
      </c>
      <c r="AY53" s="306" t="s">
        <v>111</v>
      </c>
      <c r="AZ53" s="308">
        <v>100</v>
      </c>
      <c r="BA53" s="310">
        <f>IF(AX54=0,"-",(AX53/AX54)*AZ53)</f>
        <v>61.836503042135838</v>
      </c>
      <c r="BB53" s="304"/>
      <c r="BC53" s="10">
        <f>+BS!U15</f>
        <v>58363.310072639426</v>
      </c>
      <c r="BD53" s="306" t="s">
        <v>111</v>
      </c>
      <c r="BE53" s="308">
        <v>100</v>
      </c>
      <c r="BF53" s="310">
        <f>IF(BC54=0,"-",(BC53/BC54)*BE53)</f>
        <v>61.448039146955502</v>
      </c>
      <c r="BG53" s="304"/>
      <c r="BH53" s="10">
        <f>+BS!V15</f>
        <v>72609.115931508844</v>
      </c>
      <c r="BI53" s="306" t="s">
        <v>111</v>
      </c>
      <c r="BJ53" s="308">
        <v>100</v>
      </c>
      <c r="BK53" s="310">
        <f>IF(BH54=0,"-",(BH53/BH54)*BJ53)</f>
        <v>52.911905443248429</v>
      </c>
      <c r="BL53" s="304"/>
      <c r="BM53" s="10">
        <f>+BS!W15</f>
        <v>80659.66759834504</v>
      </c>
      <c r="BN53" s="306" t="s">
        <v>111</v>
      </c>
      <c r="BO53" s="308">
        <v>100</v>
      </c>
      <c r="BP53" s="310">
        <f>IF(BM54=0,"-",(BM53/BM54)*BO53)</f>
        <v>59.569409693719969</v>
      </c>
      <c r="BQ53" s="304"/>
      <c r="BR53" s="10">
        <f>+BS!X15</f>
        <v>67791.462308240763</v>
      </c>
      <c r="BS53" s="306" t="s">
        <v>111</v>
      </c>
      <c r="BT53" s="308">
        <v>100</v>
      </c>
      <c r="BU53" s="310">
        <f>IF(BR54=0,"-",(BR53/BR54)*BT53)</f>
        <v>67.872462721614426</v>
      </c>
      <c r="BV53" s="304"/>
      <c r="BW53" s="10">
        <f>+BS!Y15</f>
        <v>92068.569778016463</v>
      </c>
      <c r="BX53" s="306" t="s">
        <v>111</v>
      </c>
      <c r="BY53" s="308">
        <v>100</v>
      </c>
      <c r="BZ53" s="310">
        <f>IF(BW54=0,"-",(BW53/BW54)*BY53)</f>
        <v>63.427905929601735</v>
      </c>
      <c r="CA53" s="304"/>
      <c r="CB53" s="10">
        <f>+BS!Z15</f>
        <v>70846.15594365068</v>
      </c>
      <c r="CC53" s="306" t="s">
        <v>111</v>
      </c>
      <c r="CD53" s="308">
        <v>100</v>
      </c>
      <c r="CE53" s="310">
        <f>IF(CB54=0,"-",(CB53/CB54)*CD53)</f>
        <v>63.694452274025814</v>
      </c>
      <c r="CF53" s="304"/>
      <c r="CG53" s="10">
        <f>+BS!AA15</f>
        <v>84272.693289965056</v>
      </c>
      <c r="CH53" s="306" t="s">
        <v>155</v>
      </c>
      <c r="CI53" s="308">
        <v>100</v>
      </c>
      <c r="CJ53" s="310">
        <f>IF(CG54=0,"-",(CG53/CG54)*CI53)</f>
        <v>61.961947017552198</v>
      </c>
      <c r="CK53" s="304"/>
      <c r="CL53" s="10">
        <f>+BS!AB15</f>
        <v>79271.706624605664</v>
      </c>
      <c r="CM53" s="306" t="s">
        <v>111</v>
      </c>
      <c r="CN53" s="308">
        <v>100</v>
      </c>
      <c r="CO53" s="310">
        <f>IF(CL54=0,"-",(CL53/CL54)*CN53)</f>
        <v>55.427466307019003</v>
      </c>
      <c r="CP53" s="304"/>
      <c r="CQ53" s="10">
        <f>+BS!AC15</f>
        <v>66958.220563448107</v>
      </c>
      <c r="CR53" s="306" t="s">
        <v>111</v>
      </c>
      <c r="CS53" s="308">
        <v>100</v>
      </c>
      <c r="CT53" s="310">
        <f>IF(CQ54=0,"-",(CQ53/CQ54)*CS53)</f>
        <v>58.92754981166398</v>
      </c>
    </row>
    <row r="54" spans="1:98" ht="18" customHeight="1" x14ac:dyDescent="0.2">
      <c r="A54" s="17"/>
      <c r="B54" s="321"/>
      <c r="C54" s="323"/>
      <c r="D54" s="305"/>
      <c r="E54" s="12">
        <f>+BS!K43+BS!K37</f>
        <v>104496.4162135442</v>
      </c>
      <c r="F54" s="307"/>
      <c r="G54" s="309"/>
      <c r="H54" s="311"/>
      <c r="I54" s="305"/>
      <c r="J54" s="12">
        <f>+BS!L43+BS!L37</f>
        <v>125347.9326513214</v>
      </c>
      <c r="K54" s="307"/>
      <c r="L54" s="309"/>
      <c r="M54" s="311"/>
      <c r="N54" s="305"/>
      <c r="O54" s="12">
        <f>+BS!M43+BS!M37</f>
        <v>102712.90128867223</v>
      </c>
      <c r="P54" s="307"/>
      <c r="Q54" s="309"/>
      <c r="R54" s="311"/>
      <c r="S54" s="305"/>
      <c r="T54" s="12">
        <f>+BS!N43+BS!N37</f>
        <v>116502.48248208697</v>
      </c>
      <c r="U54" s="307"/>
      <c r="V54" s="309"/>
      <c r="W54" s="311"/>
      <c r="X54" s="305"/>
      <c r="Y54" s="12">
        <f>+BS!O43+BS!O37</f>
        <v>111339.11233953998</v>
      </c>
      <c r="Z54" s="307"/>
      <c r="AA54" s="309"/>
      <c r="AB54" s="311"/>
      <c r="AC54" s="305"/>
      <c r="AD54" s="12">
        <f>+BS!P43+BS!P37</f>
        <v>127956.17435236651</v>
      </c>
      <c r="AE54" s="307"/>
      <c r="AF54" s="309"/>
      <c r="AG54" s="311"/>
      <c r="AH54" s="305"/>
      <c r="AI54" s="12">
        <f>+BS!Q43+BS!Q37</f>
        <v>160424.51251134346</v>
      </c>
      <c r="AJ54" s="307"/>
      <c r="AK54" s="309"/>
      <c r="AL54" s="311"/>
      <c r="AM54" s="305"/>
      <c r="AN54" s="12">
        <f>+BS!R43+BS!R37</f>
        <v>98602.224126495785</v>
      </c>
      <c r="AO54" s="307"/>
      <c r="AP54" s="309"/>
      <c r="AQ54" s="311"/>
      <c r="AR54" s="305"/>
      <c r="AS54" s="12">
        <f>+BS!S43+BS!S37</f>
        <v>96760.177211806207</v>
      </c>
      <c r="AT54" s="307"/>
      <c r="AU54" s="309"/>
      <c r="AV54" s="311"/>
      <c r="AW54" s="305"/>
      <c r="AX54" s="12">
        <f>+BS!T43+BS!T37</f>
        <v>97047.267126299907</v>
      </c>
      <c r="AY54" s="307"/>
      <c r="AZ54" s="309"/>
      <c r="BA54" s="311"/>
      <c r="BB54" s="305"/>
      <c r="BC54" s="12">
        <f>+BS!U43+BS!U37</f>
        <v>94979.938957956299</v>
      </c>
      <c r="BD54" s="307"/>
      <c r="BE54" s="309"/>
      <c r="BF54" s="311"/>
      <c r="BG54" s="305"/>
      <c r="BH54" s="12">
        <f>+BS!V43+BS!V37</f>
        <v>137226.42441857816</v>
      </c>
      <c r="BI54" s="307"/>
      <c r="BJ54" s="309"/>
      <c r="BK54" s="311"/>
      <c r="BL54" s="305"/>
      <c r="BM54" s="12">
        <f>+BS!W43+BS!W37</f>
        <v>135404.51049131094</v>
      </c>
      <c r="BN54" s="307"/>
      <c r="BO54" s="309"/>
      <c r="BP54" s="311"/>
      <c r="BQ54" s="305"/>
      <c r="BR54" s="12">
        <f>+BS!X43+BS!X37</f>
        <v>99880.65791320127</v>
      </c>
      <c r="BS54" s="307"/>
      <c r="BT54" s="309"/>
      <c r="BU54" s="311"/>
      <c r="BV54" s="305"/>
      <c r="BW54" s="12">
        <f>+BS!Y43+BS!Y37</f>
        <v>145154.67352840377</v>
      </c>
      <c r="BX54" s="307"/>
      <c r="BY54" s="309"/>
      <c r="BZ54" s="311"/>
      <c r="CA54" s="305"/>
      <c r="CB54" s="12">
        <f>+BS!Z43+BS!Z37</f>
        <v>111228.14219181423</v>
      </c>
      <c r="CC54" s="307"/>
      <c r="CD54" s="309"/>
      <c r="CE54" s="311"/>
      <c r="CF54" s="305"/>
      <c r="CG54" s="12">
        <f>+BS!AA43+BS!AA37</f>
        <v>136007.17431634743</v>
      </c>
      <c r="CH54" s="307"/>
      <c r="CI54" s="309"/>
      <c r="CJ54" s="311"/>
      <c r="CK54" s="305"/>
      <c r="CL54" s="12">
        <f>+BS!AB43+BS!AB37</f>
        <v>143018.8170347003</v>
      </c>
      <c r="CM54" s="307"/>
      <c r="CN54" s="309"/>
      <c r="CO54" s="311"/>
      <c r="CP54" s="305"/>
      <c r="CQ54" s="12">
        <f>+BS!AC43+BS!AC37</f>
        <v>113628.04117505418</v>
      </c>
      <c r="CR54" s="307"/>
      <c r="CS54" s="309"/>
      <c r="CT54" s="311"/>
    </row>
    <row r="55" spans="1:98" ht="18" customHeight="1" x14ac:dyDescent="0.2">
      <c r="A55" s="17"/>
      <c r="B55" s="320" t="s">
        <v>158</v>
      </c>
      <c r="C55" s="322" t="s">
        <v>152</v>
      </c>
      <c r="D55" s="304"/>
      <c r="E55" s="10">
        <f>+E53</f>
        <v>78422.763222936206</v>
      </c>
      <c r="F55" s="306" t="s">
        <v>111</v>
      </c>
      <c r="G55" s="308">
        <v>100</v>
      </c>
      <c r="H55" s="310">
        <f>IF(E56=0,"-",(E55/E56)*G55)</f>
        <v>152.32655549768009</v>
      </c>
      <c r="I55" s="304"/>
      <c r="J55" s="10">
        <f>+J53</f>
        <v>92275.895140664958</v>
      </c>
      <c r="K55" s="306" t="s">
        <v>111</v>
      </c>
      <c r="L55" s="308">
        <v>100</v>
      </c>
      <c r="M55" s="310">
        <f>IF(J56=0,"-",(J55/J56)*L55)</f>
        <v>186.38906527471343</v>
      </c>
      <c r="N55" s="304"/>
      <c r="O55" s="10">
        <f>+O53</f>
        <v>55054.604132235909</v>
      </c>
      <c r="P55" s="306" t="s">
        <v>111</v>
      </c>
      <c r="Q55" s="308">
        <v>100</v>
      </c>
      <c r="R55" s="310">
        <f>IF(O56=0,"-",(O55/O56)*Q55)</f>
        <v>113.05221696442965</v>
      </c>
      <c r="S55" s="304"/>
      <c r="T55" s="10">
        <f>+T53</f>
        <v>76456.304621388685</v>
      </c>
      <c r="U55" s="306" t="s">
        <v>111</v>
      </c>
      <c r="V55" s="308">
        <v>100</v>
      </c>
      <c r="W55" s="310">
        <f>IF(T56=0,"-",(T55/T56)*V55)</f>
        <v>115.90988989752873</v>
      </c>
      <c r="X55" s="304"/>
      <c r="Y55" s="10">
        <f>+Y53</f>
        <v>67377.820117776937</v>
      </c>
      <c r="Z55" s="306" t="s">
        <v>111</v>
      </c>
      <c r="AA55" s="308">
        <v>100</v>
      </c>
      <c r="AB55" s="310">
        <f>IF(Y56=0,"-",(Y55/Y56)*AA55)</f>
        <v>134.12126088014614</v>
      </c>
      <c r="AC55" s="304"/>
      <c r="AD55" s="10">
        <f>+AD53</f>
        <v>92643.730909809034</v>
      </c>
      <c r="AE55" s="306" t="s">
        <v>111</v>
      </c>
      <c r="AF55" s="308">
        <v>100</v>
      </c>
      <c r="AG55" s="310">
        <f>IF(AD56=0,"-",(AD55/AD56)*AF55)</f>
        <v>140.1882952578043</v>
      </c>
      <c r="AH55" s="304"/>
      <c r="AI55" s="10">
        <f>+AI53</f>
        <v>116721.95267130555</v>
      </c>
      <c r="AJ55" s="306" t="s">
        <v>111</v>
      </c>
      <c r="AK55" s="308">
        <v>100</v>
      </c>
      <c r="AL55" s="310">
        <f>IF(AI56=0,"-",(AI55/AI56)*AK55)</f>
        <v>135.81046036362466</v>
      </c>
      <c r="AM55" s="304"/>
      <c r="AN55" s="10">
        <f>+AN53</f>
        <v>76810.998297142214</v>
      </c>
      <c r="AO55" s="306" t="s">
        <v>111</v>
      </c>
      <c r="AP55" s="308">
        <v>100</v>
      </c>
      <c r="AQ55" s="310">
        <f>IF(AN56=0,"-",(AN55/AN56)*AP55)</f>
        <v>240.39287391406248</v>
      </c>
      <c r="AR55" s="304"/>
      <c r="AS55" s="10">
        <f>+AS53</f>
        <v>61793.223185692266</v>
      </c>
      <c r="AT55" s="306" t="s">
        <v>111</v>
      </c>
      <c r="AU55" s="308">
        <v>100</v>
      </c>
      <c r="AV55" s="310">
        <f>IF(AS56=0,"-",(AS55/AS56)*AU55)</f>
        <v>135.26165102338135</v>
      </c>
      <c r="AW55" s="304"/>
      <c r="AX55" s="10">
        <f>+AX53</f>
        <v>60010.636288864138</v>
      </c>
      <c r="AY55" s="306" t="s">
        <v>111</v>
      </c>
      <c r="AZ55" s="308">
        <v>100</v>
      </c>
      <c r="BA55" s="310">
        <f>IF(AX56=0,"-",(AX55/AX56)*AZ55)</f>
        <v>124.44902660110284</v>
      </c>
      <c r="BB55" s="304"/>
      <c r="BC55" s="10">
        <f>+BC53</f>
        <v>58363.310072639426</v>
      </c>
      <c r="BD55" s="306" t="s">
        <v>111</v>
      </c>
      <c r="BE55" s="308">
        <v>100</v>
      </c>
      <c r="BF55" s="310">
        <f>IF(BC56=0,"-",(BC55/BC56)*BE55)</f>
        <v>125.30419753355719</v>
      </c>
      <c r="BG55" s="304"/>
      <c r="BH55" s="10">
        <f>+BH53</f>
        <v>72609.115931508844</v>
      </c>
      <c r="BI55" s="306" t="s">
        <v>111</v>
      </c>
      <c r="BJ55" s="308">
        <v>100</v>
      </c>
      <c r="BK55" s="310">
        <f>IF(BH56=0,"-",(BH55/BH56)*BJ55)</f>
        <v>90.066415435447993</v>
      </c>
      <c r="BL55" s="304"/>
      <c r="BM55" s="10">
        <f>+BM53</f>
        <v>80659.66759834504</v>
      </c>
      <c r="BN55" s="306" t="s">
        <v>111</v>
      </c>
      <c r="BO55" s="308">
        <v>100</v>
      </c>
      <c r="BP55" s="310">
        <f>IF(BM56=0,"-",(BM55/BM56)*BO55)</f>
        <v>93.701842369762872</v>
      </c>
      <c r="BQ55" s="304"/>
      <c r="BR55" s="10">
        <f>+BR53</f>
        <v>67791.462308240763</v>
      </c>
      <c r="BS55" s="306" t="s">
        <v>111</v>
      </c>
      <c r="BT55" s="308">
        <v>100</v>
      </c>
      <c r="BU55" s="310">
        <f>IF(BR56=0,"-",(BR55/BR56)*BT55)</f>
        <v>127.80510959196667</v>
      </c>
      <c r="BV55" s="304"/>
      <c r="BW55" s="10">
        <f>+BW53</f>
        <v>92068.569778016463</v>
      </c>
      <c r="BX55" s="306" t="s">
        <v>111</v>
      </c>
      <c r="BY55" s="308">
        <v>100</v>
      </c>
      <c r="BZ55" s="310">
        <f>IF(BW56=0,"-",(BW55/BW56)*BY55)</f>
        <v>102.4199300331492</v>
      </c>
      <c r="CA55" s="304"/>
      <c r="CB55" s="10">
        <f>+CB53</f>
        <v>70846.15594365068</v>
      </c>
      <c r="CC55" s="306" t="s">
        <v>111</v>
      </c>
      <c r="CD55" s="308">
        <v>100</v>
      </c>
      <c r="CE55" s="310">
        <f>IF(CB56=0,"-",(CB55/CB56)*CD55)</f>
        <v>120.06788014898287</v>
      </c>
      <c r="CF55" s="304"/>
      <c r="CG55" s="10">
        <f>+CG53</f>
        <v>84272.693289965056</v>
      </c>
      <c r="CH55" s="306" t="s">
        <v>111</v>
      </c>
      <c r="CI55" s="308">
        <v>100</v>
      </c>
      <c r="CJ55" s="310">
        <f>IF(CG56=0,"-",(CG55/CG56)*CI55)</f>
        <v>108.38001167536564</v>
      </c>
      <c r="CK55" s="304"/>
      <c r="CL55" s="10">
        <f>+CL53</f>
        <v>79271.706624605664</v>
      </c>
      <c r="CM55" s="306" t="s">
        <v>111</v>
      </c>
      <c r="CN55" s="308">
        <v>100</v>
      </c>
      <c r="CO55" s="310">
        <f>IF(CL56=0,"-",(CL55/CL56)*CN55)</f>
        <v>93.745653865302629</v>
      </c>
      <c r="CP55" s="304"/>
      <c r="CQ55" s="10">
        <f>+CQ53</f>
        <v>66958.220563448107</v>
      </c>
      <c r="CR55" s="306" t="s">
        <v>111</v>
      </c>
      <c r="CS55" s="308">
        <v>100</v>
      </c>
      <c r="CT55" s="310">
        <f>IF(CQ56=0,"-",(CQ55/CQ56)*CS55)</f>
        <v>101.45773030237011</v>
      </c>
    </row>
    <row r="56" spans="1:98" ht="18" customHeight="1" x14ac:dyDescent="0.2">
      <c r="A56" s="17"/>
      <c r="B56" s="321"/>
      <c r="C56" s="323"/>
      <c r="D56" s="305"/>
      <c r="E56" s="12">
        <f>+E9</f>
        <v>51483.316856154197</v>
      </c>
      <c r="F56" s="307"/>
      <c r="G56" s="309"/>
      <c r="H56" s="311"/>
      <c r="I56" s="305"/>
      <c r="J56" s="12">
        <f>+J9</f>
        <v>49507.139812446716</v>
      </c>
      <c r="K56" s="307"/>
      <c r="L56" s="309"/>
      <c r="M56" s="311"/>
      <c r="N56" s="305"/>
      <c r="O56" s="12">
        <f>+O9</f>
        <v>48698.385233398913</v>
      </c>
      <c r="P56" s="307"/>
      <c r="Q56" s="309"/>
      <c r="R56" s="311"/>
      <c r="S56" s="305"/>
      <c r="T56" s="12">
        <f>+T9</f>
        <v>65961.847335874991</v>
      </c>
      <c r="U56" s="307"/>
      <c r="V56" s="309"/>
      <c r="W56" s="311"/>
      <c r="X56" s="305"/>
      <c r="Y56" s="12">
        <f>+Y9</f>
        <v>50236.49470309358</v>
      </c>
      <c r="Z56" s="307"/>
      <c r="AA56" s="309"/>
      <c r="AB56" s="311"/>
      <c r="AC56" s="305"/>
      <c r="AD56" s="12">
        <f>+AD9</f>
        <v>66085.211136520724</v>
      </c>
      <c r="AE56" s="307"/>
      <c r="AF56" s="309"/>
      <c r="AG56" s="311"/>
      <c r="AH56" s="305"/>
      <c r="AI56" s="12">
        <f>+AI9</f>
        <v>85944.744137372982</v>
      </c>
      <c r="AJ56" s="307"/>
      <c r="AK56" s="309"/>
      <c r="AL56" s="311"/>
      <c r="AM56" s="305"/>
      <c r="AN56" s="12">
        <f>+AN9</f>
        <v>31952.277555698762</v>
      </c>
      <c r="AO56" s="307"/>
      <c r="AP56" s="309"/>
      <c r="AQ56" s="311"/>
      <c r="AR56" s="305"/>
      <c r="AS56" s="12">
        <f>+AS9</f>
        <v>45684.214792713632</v>
      </c>
      <c r="AT56" s="307"/>
      <c r="AU56" s="309"/>
      <c r="AV56" s="311"/>
      <c r="AW56" s="305"/>
      <c r="AX56" s="12">
        <f>+AX9</f>
        <v>48221.057189315405</v>
      </c>
      <c r="AY56" s="307"/>
      <c r="AZ56" s="309"/>
      <c r="BA56" s="311"/>
      <c r="BB56" s="305"/>
      <c r="BC56" s="12">
        <f>+BC9</f>
        <v>46577.298463612438</v>
      </c>
      <c r="BD56" s="307"/>
      <c r="BE56" s="309"/>
      <c r="BF56" s="311"/>
      <c r="BG56" s="305"/>
      <c r="BH56" s="12">
        <f>+BH9</f>
        <v>80617.303997791416</v>
      </c>
      <c r="BI56" s="307"/>
      <c r="BJ56" s="309"/>
      <c r="BK56" s="311"/>
      <c r="BL56" s="305"/>
      <c r="BM56" s="12">
        <f>+BM9</f>
        <v>86081.197080467988</v>
      </c>
      <c r="BN56" s="307"/>
      <c r="BO56" s="309"/>
      <c r="BP56" s="311"/>
      <c r="BQ56" s="305"/>
      <c r="BR56" s="12">
        <f>+BR9</f>
        <v>53042.841968269684</v>
      </c>
      <c r="BS56" s="307"/>
      <c r="BT56" s="309"/>
      <c r="BU56" s="311"/>
      <c r="BV56" s="305"/>
      <c r="BW56" s="12">
        <f>+BW9</f>
        <v>89893.21682627355</v>
      </c>
      <c r="BX56" s="307"/>
      <c r="BY56" s="309"/>
      <c r="BZ56" s="311"/>
      <c r="CA56" s="305"/>
      <c r="CB56" s="12">
        <f>+CB9</f>
        <v>59005.086002803757</v>
      </c>
      <c r="CC56" s="307"/>
      <c r="CD56" s="309"/>
      <c r="CE56" s="311"/>
      <c r="CF56" s="305"/>
      <c r="CG56" s="12">
        <f>+CG9</f>
        <v>77756.674858450788</v>
      </c>
      <c r="CH56" s="307"/>
      <c r="CI56" s="309"/>
      <c r="CJ56" s="311"/>
      <c r="CK56" s="305"/>
      <c r="CL56" s="12">
        <f>+CL9</f>
        <v>84560.407182722643</v>
      </c>
      <c r="CM56" s="307"/>
      <c r="CN56" s="309"/>
      <c r="CO56" s="311"/>
      <c r="CP56" s="305"/>
      <c r="CQ56" s="12">
        <f>+CQ9</f>
        <v>65996.174331808332</v>
      </c>
      <c r="CR56" s="307"/>
      <c r="CS56" s="309"/>
      <c r="CT56" s="311"/>
    </row>
    <row r="57" spans="1:98"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row>
    <row r="58" spans="1:98" ht="18" customHeight="1" x14ac:dyDescent="0.2">
      <c r="A58" s="20"/>
      <c r="B58" s="320" t="s">
        <v>160</v>
      </c>
      <c r="C58" s="322" t="s">
        <v>161</v>
      </c>
      <c r="D58" s="330"/>
      <c r="E58" s="331"/>
      <c r="F58" s="331"/>
      <c r="G58" s="331"/>
      <c r="H58" s="332"/>
      <c r="I58" s="304"/>
      <c r="J58" s="10">
        <f>+J12-E12</f>
        <v>49472.458753322484</v>
      </c>
      <c r="K58" s="306" t="s">
        <v>111</v>
      </c>
      <c r="L58" s="308">
        <v>100</v>
      </c>
      <c r="M58" s="310">
        <f>IF(J59=0,"-",(J58/J59)*L58)</f>
        <v>27.686185227673736</v>
      </c>
      <c r="N58" s="304"/>
      <c r="O58" s="10">
        <f>+O12-J12</f>
        <v>-42633.657222273032</v>
      </c>
      <c r="P58" s="306" t="s">
        <v>111</v>
      </c>
      <c r="Q58" s="308">
        <v>100</v>
      </c>
      <c r="R58" s="310">
        <f>IF(O59=0,"-",(O58/O59)*Q58)</f>
        <v>-18.685653966382812</v>
      </c>
      <c r="S58" s="304"/>
      <c r="T58" s="10">
        <f>+T12-O12</f>
        <v>-18130.34238741119</v>
      </c>
      <c r="U58" s="306" t="s">
        <v>111</v>
      </c>
      <c r="V58" s="308">
        <v>100</v>
      </c>
      <c r="W58" s="310">
        <f>IF(T59=0,"-",(T58/T59)*V58)</f>
        <v>-9.7722494651458085</v>
      </c>
      <c r="X58" s="304"/>
      <c r="Y58" s="10">
        <f>+Y12-T12</f>
        <v>5889.0656623656396</v>
      </c>
      <c r="Z58" s="306" t="s">
        <v>111</v>
      </c>
      <c r="AA58" s="308">
        <v>100</v>
      </c>
      <c r="AB58" s="310">
        <f>IF(Y59=0,"-",(Y58/Y59)*AA58)</f>
        <v>3.5179916628534995</v>
      </c>
      <c r="AC58" s="304"/>
      <c r="AD58" s="10">
        <f>+AD12-Y12</f>
        <v>4594.2720085488108</v>
      </c>
      <c r="AE58" s="306" t="s">
        <v>111</v>
      </c>
      <c r="AF58" s="308">
        <v>100</v>
      </c>
      <c r="AG58" s="310">
        <f>IF(AD59=0,"-",(AD58/AD59)*AF58)</f>
        <v>2.6512414194935605</v>
      </c>
      <c r="AH58" s="304"/>
      <c r="AI58" s="10">
        <f>+AI12-AD12</f>
        <v>-6166.2678255873034</v>
      </c>
      <c r="AJ58" s="306" t="s">
        <v>162</v>
      </c>
      <c r="AK58" s="308">
        <v>100</v>
      </c>
      <c r="AL58" s="310">
        <f>IF(AI59=0,"-",(AI58/AI59)*AK58)</f>
        <v>-3.4664963682575483</v>
      </c>
      <c r="AM58" s="304"/>
      <c r="AN58" s="10">
        <f>+AN12-AI12</f>
        <v>-21946.325717913744</v>
      </c>
      <c r="AO58" s="306" t="s">
        <v>162</v>
      </c>
      <c r="AP58" s="308">
        <v>100</v>
      </c>
      <c r="AQ58" s="310">
        <f>IF(AN59=0,"-",(AN58/AN59)*AP58)</f>
        <v>-12.780625732330412</v>
      </c>
      <c r="AR58" s="304"/>
      <c r="AS58" s="10">
        <f>+AS12-AN12</f>
        <v>7342.2934509951447</v>
      </c>
      <c r="AT58" s="306" t="s">
        <v>111</v>
      </c>
      <c r="AU58" s="308">
        <v>100</v>
      </c>
      <c r="AV58" s="310">
        <f>IF(AS59=0,"-",(AS58/AS59)*AU58)</f>
        <v>4.9024036625252894</v>
      </c>
      <c r="AW58" s="304"/>
      <c r="AX58" s="10">
        <f>+AX12-AS12</f>
        <v>-7093.123665511026</v>
      </c>
      <c r="AY58" s="306" t="s">
        <v>111</v>
      </c>
      <c r="AZ58" s="308">
        <v>100</v>
      </c>
      <c r="BA58" s="310">
        <f>IF(AX59=0,"-",(AX58/AX59)*AZ58)</f>
        <v>-4.5147054609167601</v>
      </c>
      <c r="BB58" s="304"/>
      <c r="BC58" s="10">
        <f>+BC12-AX12</f>
        <v>61.382587980740936</v>
      </c>
      <c r="BD58" s="306" t="s">
        <v>111</v>
      </c>
      <c r="BE58" s="308">
        <v>100</v>
      </c>
      <c r="BF58" s="310">
        <f>IF(BC59=0,"-",(BC58/BC59)*BE58)</f>
        <v>4.0916699396924681E-2</v>
      </c>
      <c r="BG58" s="304"/>
      <c r="BH58" s="10">
        <f>+BH12-BC12</f>
        <v>15465.618365216535</v>
      </c>
      <c r="BI58" s="306" t="s">
        <v>111</v>
      </c>
      <c r="BJ58" s="308">
        <v>100</v>
      </c>
      <c r="BK58" s="310">
        <f>IF(BH59=0,"-",(BH58/BH59)*BJ58)</f>
        <v>10.304929502463708</v>
      </c>
      <c r="BL58" s="304"/>
      <c r="BM58" s="10">
        <f>+BM12-BH12</f>
        <v>10586.581459091569</v>
      </c>
      <c r="BN58" s="306" t="s">
        <v>111</v>
      </c>
      <c r="BO58" s="308">
        <v>100</v>
      </c>
      <c r="BP58" s="310">
        <f>IF(BM59=0,"-",(BM58/BM59)*BO58)</f>
        <v>6.3949706859704918</v>
      </c>
      <c r="BQ58" s="304"/>
      <c r="BR58" s="10">
        <f>+BR12-BM12</f>
        <v>-7244.8933117362612</v>
      </c>
      <c r="BS58" s="306" t="s">
        <v>111</v>
      </c>
      <c r="BT58" s="308">
        <v>100</v>
      </c>
      <c r="BU58" s="310">
        <f>IF(BR59=0,"-",(BR58/BR59)*BT58)</f>
        <v>-4.1133314834919199</v>
      </c>
      <c r="BV58" s="304"/>
      <c r="BW58" s="10">
        <f>+BW12-BR12</f>
        <v>17935.182365051005</v>
      </c>
      <c r="BX58" s="306" t="s">
        <v>111</v>
      </c>
      <c r="BY58" s="308">
        <v>100</v>
      </c>
      <c r="BZ58" s="310">
        <f>IF(BW59=0,"-",(BW58/BW59)*BY58)</f>
        <v>10.619627474158708</v>
      </c>
      <c r="CA58" s="304"/>
      <c r="CB58" s="10">
        <f>+CB12-BW12</f>
        <v>-22373.112365009554</v>
      </c>
      <c r="CC58" s="306" t="s">
        <v>111</v>
      </c>
      <c r="CD58" s="308">
        <v>100</v>
      </c>
      <c r="CE58" s="310">
        <f>IF(CB59=0,"-",(CB58/CB59)*CD58)</f>
        <v>-11.975611473098938</v>
      </c>
      <c r="CF58" s="304"/>
      <c r="CG58" s="10">
        <f>+CG12-CB12</f>
        <v>46111.303832781123</v>
      </c>
      <c r="CH58" s="306" t="s">
        <v>155</v>
      </c>
      <c r="CI58" s="308">
        <v>100</v>
      </c>
      <c r="CJ58" s="310">
        <f>IF(CG59=0,"-",(CG58/CG59)*CI58)</f>
        <v>28.039849571943659</v>
      </c>
      <c r="CK58" s="304"/>
      <c r="CL58" s="10">
        <f>+CL12-CG12</f>
        <v>-21456.655570773059</v>
      </c>
      <c r="CM58" s="306" t="s">
        <v>111</v>
      </c>
      <c r="CN58" s="308">
        <v>100</v>
      </c>
      <c r="CO58" s="310">
        <f>IF(CL59=0,"-",(CL58/CL59)*CN58)</f>
        <v>-10.190257339104425</v>
      </c>
      <c r="CP58" s="304"/>
      <c r="CQ58" s="10">
        <f>+CQ12-CL12</f>
        <v>17002.97432354631</v>
      </c>
      <c r="CR58" s="306" t="s">
        <v>111</v>
      </c>
      <c r="CS58" s="308">
        <v>100</v>
      </c>
      <c r="CT58" s="310">
        <f>IF(CQ59=0,"-",(CQ58/CQ59)*CS58)</f>
        <v>8.9913430704944872</v>
      </c>
    </row>
    <row r="59" spans="1:98" ht="18" customHeight="1" x14ac:dyDescent="0.2">
      <c r="A59" s="20"/>
      <c r="B59" s="321"/>
      <c r="C59" s="323"/>
      <c r="D59" s="333"/>
      <c r="E59" s="334"/>
      <c r="F59" s="334"/>
      <c r="G59" s="334"/>
      <c r="H59" s="335"/>
      <c r="I59" s="305"/>
      <c r="J59" s="12">
        <f>+E12</f>
        <v>178690.05190311401</v>
      </c>
      <c r="K59" s="307"/>
      <c r="L59" s="309"/>
      <c r="M59" s="311"/>
      <c r="N59" s="305"/>
      <c r="O59" s="12">
        <f>+J12</f>
        <v>228162.5106564365</v>
      </c>
      <c r="P59" s="307"/>
      <c r="Q59" s="309"/>
      <c r="R59" s="311"/>
      <c r="S59" s="305"/>
      <c r="T59" s="12">
        <f>+O12</f>
        <v>185528.85343416347</v>
      </c>
      <c r="U59" s="307"/>
      <c r="V59" s="309"/>
      <c r="W59" s="311"/>
      <c r="X59" s="305"/>
      <c r="Y59" s="12">
        <f>+T12</f>
        <v>167398.51104675228</v>
      </c>
      <c r="Z59" s="307"/>
      <c r="AA59" s="309"/>
      <c r="AB59" s="311"/>
      <c r="AC59" s="305"/>
      <c r="AD59" s="12">
        <f>+Y12</f>
        <v>173287.57670911792</v>
      </c>
      <c r="AE59" s="307"/>
      <c r="AF59" s="309"/>
      <c r="AG59" s="311"/>
      <c r="AH59" s="305"/>
      <c r="AI59" s="12">
        <f>+AD12</f>
        <v>177881.84871766673</v>
      </c>
      <c r="AJ59" s="307"/>
      <c r="AK59" s="309"/>
      <c r="AL59" s="311"/>
      <c r="AM59" s="305"/>
      <c r="AN59" s="12">
        <f>+AI12</f>
        <v>171715.58089207942</v>
      </c>
      <c r="AO59" s="307"/>
      <c r="AP59" s="309"/>
      <c r="AQ59" s="311"/>
      <c r="AR59" s="305"/>
      <c r="AS59" s="12">
        <f>+AN12</f>
        <v>149769.25517416568</v>
      </c>
      <c r="AT59" s="307"/>
      <c r="AU59" s="309"/>
      <c r="AV59" s="311"/>
      <c r="AW59" s="305"/>
      <c r="AX59" s="12">
        <f>+AS12</f>
        <v>157111.54862516082</v>
      </c>
      <c r="AY59" s="307"/>
      <c r="AZ59" s="309"/>
      <c r="BA59" s="311"/>
      <c r="BB59" s="305"/>
      <c r="BC59" s="12">
        <f>+AX12</f>
        <v>150018.4249596498</v>
      </c>
      <c r="BD59" s="307"/>
      <c r="BE59" s="309"/>
      <c r="BF59" s="311"/>
      <c r="BG59" s="305"/>
      <c r="BH59" s="12">
        <f>+BC12</f>
        <v>150079.80754763054</v>
      </c>
      <c r="BI59" s="307"/>
      <c r="BJ59" s="309"/>
      <c r="BK59" s="311"/>
      <c r="BL59" s="305"/>
      <c r="BM59" s="12">
        <f>+BH12</f>
        <v>165545.42591284707</v>
      </c>
      <c r="BN59" s="307"/>
      <c r="BO59" s="309"/>
      <c r="BP59" s="311"/>
      <c r="BQ59" s="305"/>
      <c r="BR59" s="12">
        <f>+BM12</f>
        <v>176132.00737193864</v>
      </c>
      <c r="BS59" s="307"/>
      <c r="BT59" s="309"/>
      <c r="BU59" s="311"/>
      <c r="BV59" s="305"/>
      <c r="BW59" s="12">
        <f>+BR12</f>
        <v>168887.11406020238</v>
      </c>
      <c r="BX59" s="307"/>
      <c r="BY59" s="309"/>
      <c r="BZ59" s="311"/>
      <c r="CA59" s="305"/>
      <c r="CB59" s="12">
        <f>+BW12</f>
        <v>186822.29642525339</v>
      </c>
      <c r="CC59" s="307"/>
      <c r="CD59" s="309"/>
      <c r="CE59" s="311"/>
      <c r="CF59" s="305"/>
      <c r="CG59" s="12">
        <f>+CB12</f>
        <v>164449.18406024383</v>
      </c>
      <c r="CH59" s="307"/>
      <c r="CI59" s="309"/>
      <c r="CJ59" s="311"/>
      <c r="CK59" s="305"/>
      <c r="CL59" s="12">
        <f>+CG12</f>
        <v>210560.48789302495</v>
      </c>
      <c r="CM59" s="307"/>
      <c r="CN59" s="309"/>
      <c r="CO59" s="311"/>
      <c r="CP59" s="305"/>
      <c r="CQ59" s="12">
        <f>+CL12</f>
        <v>189103.8323222519</v>
      </c>
      <c r="CR59" s="307"/>
      <c r="CS59" s="309"/>
      <c r="CT59" s="311"/>
    </row>
    <row r="60" spans="1:98" ht="18" customHeight="1" x14ac:dyDescent="0.2">
      <c r="A60" s="20"/>
      <c r="B60" s="320" t="s">
        <v>163</v>
      </c>
      <c r="C60" s="322" t="s">
        <v>164</v>
      </c>
      <c r="D60" s="330"/>
      <c r="E60" s="331"/>
      <c r="F60" s="331"/>
      <c r="G60" s="331"/>
      <c r="H60" s="332"/>
      <c r="I60" s="304"/>
      <c r="J60" s="10">
        <f>+J15-E15</f>
        <v>-2845.8141696576276</v>
      </c>
      <c r="K60" s="306" t="s">
        <v>111</v>
      </c>
      <c r="L60" s="308">
        <v>100</v>
      </c>
      <c r="M60" s="310">
        <f>IF(J61=0,"-",(J60/J61)*L60)</f>
        <v>-266.38204550535454</v>
      </c>
      <c r="N60" s="304"/>
      <c r="O60" s="10">
        <f>+O15-J15</f>
        <v>3271.7439225949488</v>
      </c>
      <c r="P60" s="306" t="s">
        <v>111</v>
      </c>
      <c r="Q60" s="308">
        <v>100</v>
      </c>
      <c r="R60" s="310">
        <f>IF(O61=0,"-",(O60/O61)*Q60)</f>
        <v>-184.06501780354316</v>
      </c>
      <c r="S60" s="304"/>
      <c r="T60" s="10">
        <f>+T15-O15</f>
        <v>2937.7995237730956</v>
      </c>
      <c r="U60" s="306" t="s">
        <v>111</v>
      </c>
      <c r="V60" s="308">
        <v>100</v>
      </c>
      <c r="W60" s="310">
        <f>IF(T61=0,"-",(T60/T61)*V60)</f>
        <v>196.60691996634077</v>
      </c>
      <c r="X60" s="304"/>
      <c r="Y60" s="10">
        <f>+Y15-T15</f>
        <v>-2572.0119183740944</v>
      </c>
      <c r="Z60" s="306" t="s">
        <v>111</v>
      </c>
      <c r="AA60" s="308">
        <v>100</v>
      </c>
      <c r="AB60" s="310">
        <f>IF(Y61=0,"-",(Y60/Y61)*AA60)</f>
        <v>-58.032107288772202</v>
      </c>
      <c r="AC60" s="304"/>
      <c r="AD60" s="10">
        <f>+AD15-Y15</f>
        <v>-965.79938449207168</v>
      </c>
      <c r="AE60" s="306" t="s">
        <v>111</v>
      </c>
      <c r="AF60" s="308">
        <v>100</v>
      </c>
      <c r="AG60" s="310">
        <f>IF(AD61=0,"-",(AD60/AD61)*AF60)</f>
        <v>-51.923639466901328</v>
      </c>
      <c r="AH60" s="304"/>
      <c r="AI60" s="10">
        <f>+AI15-AD15</f>
        <v>-4048.4809756588211</v>
      </c>
      <c r="AJ60" s="306" t="s">
        <v>111</v>
      </c>
      <c r="AK60" s="308">
        <v>100</v>
      </c>
      <c r="AL60" s="310">
        <f>IF(AI61=0,"-",(AI60/AI61)*AK60)</f>
        <v>-452.72942358241517</v>
      </c>
      <c r="AM60" s="304"/>
      <c r="AN60" s="10">
        <f>+AN15-AI15</f>
        <v>3086.6954044566246</v>
      </c>
      <c r="AO60" s="306" t="s">
        <v>111</v>
      </c>
      <c r="AP60" s="308">
        <v>100</v>
      </c>
      <c r="AQ60" s="310">
        <f>IF(AN61=0,"-",(AN60/AN61)*AP60)</f>
        <v>-97.858533858452049</v>
      </c>
      <c r="AR60" s="304"/>
      <c r="AS60" s="10">
        <f>+AS15-AN15</f>
        <v>2608.7302563123289</v>
      </c>
      <c r="AT60" s="306" t="s">
        <v>111</v>
      </c>
      <c r="AU60" s="308">
        <v>100</v>
      </c>
      <c r="AV60" s="310">
        <f>IF(AS61=0,"-",(AS60/AS61)*AU60)</f>
        <v>-3862.0944667274316</v>
      </c>
      <c r="AW60" s="304"/>
      <c r="AX60" s="10">
        <f>+AX15-AN15</f>
        <v>2053.4443997134213</v>
      </c>
      <c r="AY60" s="306" t="s">
        <v>111</v>
      </c>
      <c r="AZ60" s="308">
        <v>100</v>
      </c>
      <c r="BA60" s="310">
        <f>IF(AX61=0,"-",(AX60/AX61)*AZ60)</f>
        <v>-3040.0215716730468</v>
      </c>
      <c r="BB60" s="304"/>
      <c r="BC60" s="10">
        <f>+BC15-AX15</f>
        <v>930.63866249892885</v>
      </c>
      <c r="BD60" s="306" t="s">
        <v>111</v>
      </c>
      <c r="BE60" s="308">
        <v>100</v>
      </c>
      <c r="BF60" s="310">
        <f>IF(BC61=0,"-",(BC60/BC61)*BE60)</f>
        <v>46.862374586457292</v>
      </c>
      <c r="BG60" s="304"/>
      <c r="BH60" s="10">
        <f>+BH15-BC15</f>
        <v>3583.0439846668114</v>
      </c>
      <c r="BI60" s="306" t="s">
        <v>111</v>
      </c>
      <c r="BJ60" s="308">
        <v>100</v>
      </c>
      <c r="BK60" s="310">
        <f>IF(BH61=0,"-",(BH60/BH61)*BJ60)</f>
        <v>122.85272493837456</v>
      </c>
      <c r="BL60" s="304"/>
      <c r="BM60" s="10">
        <f>+BM15-BH15</f>
        <v>111.27765880641527</v>
      </c>
      <c r="BN60" s="306" t="s">
        <v>111</v>
      </c>
      <c r="BO60" s="308">
        <v>100</v>
      </c>
      <c r="BP60" s="310">
        <f>IF(BM61=0,"-",(BM60/BM61)*BO60)</f>
        <v>1.7120746045613433</v>
      </c>
      <c r="BQ60" s="304"/>
      <c r="BR60" s="10">
        <f>+BR15-BM15</f>
        <v>-2001.0826748610771</v>
      </c>
      <c r="BS60" s="306" t="s">
        <v>111</v>
      </c>
      <c r="BT60" s="308">
        <v>100</v>
      </c>
      <c r="BU60" s="310">
        <f>IF(BR61=0,"-",(BR60/BR61)*BT60)</f>
        <v>-30.26963783205986</v>
      </c>
      <c r="BV60" s="304"/>
      <c r="BW60" s="10">
        <f>+BW15-BR15</f>
        <v>1349.8194797916267</v>
      </c>
      <c r="BX60" s="306" t="s">
        <v>111</v>
      </c>
      <c r="BY60" s="308">
        <v>100</v>
      </c>
      <c r="BZ60" s="310">
        <f>IF(BW61=0,"-",(BW60/BW61)*BY60)</f>
        <v>29.281678187637244</v>
      </c>
      <c r="CA60" s="304"/>
      <c r="CB60" s="10">
        <f>+CB15-BW15</f>
        <v>-1460.2388189223775</v>
      </c>
      <c r="CC60" s="306" t="s">
        <v>111</v>
      </c>
      <c r="CD60" s="308">
        <v>100</v>
      </c>
      <c r="CE60" s="310">
        <f>IF(CB61=0,"-",(CB60/CB61)*CD60)</f>
        <v>-24.50231848177555</v>
      </c>
      <c r="CF60" s="304"/>
      <c r="CG60" s="10">
        <f>+CG15-CB15</f>
        <v>1908.025139638954</v>
      </c>
      <c r="CH60" s="306" t="s">
        <v>111</v>
      </c>
      <c r="CI60" s="308">
        <v>100</v>
      </c>
      <c r="CJ60" s="310">
        <f>IF(CG61=0,"-",(CG60/CG61)*CI60)</f>
        <v>42.406630742954846</v>
      </c>
      <c r="CK60" s="304"/>
      <c r="CL60" s="10">
        <f>+CL15-CG15</f>
        <v>-2401.6551241140301</v>
      </c>
      <c r="CM60" s="306" t="s">
        <v>111</v>
      </c>
      <c r="CN60" s="308">
        <v>100</v>
      </c>
      <c r="CO60" s="310">
        <f>IF(CL61=0,"-",(CL60/CL61)*CN60)</f>
        <v>-37.482634480741972</v>
      </c>
      <c r="CP60" s="304"/>
      <c r="CQ60" s="10">
        <f>+CQ15-CL15</f>
        <v>474.06098686535779</v>
      </c>
      <c r="CR60" s="306" t="s">
        <v>111</v>
      </c>
      <c r="CS60" s="308">
        <v>100</v>
      </c>
      <c r="CT60" s="310">
        <f>IF(CQ61=0,"-",(CQ60/CQ61)*CS60)</f>
        <v>11.834584430374125</v>
      </c>
    </row>
    <row r="61" spans="1:98" ht="18" customHeight="1" x14ac:dyDescent="0.2">
      <c r="A61" s="20"/>
      <c r="B61" s="321"/>
      <c r="C61" s="323"/>
      <c r="D61" s="333"/>
      <c r="E61" s="334"/>
      <c r="F61" s="334"/>
      <c r="G61" s="334"/>
      <c r="H61" s="335"/>
      <c r="I61" s="305"/>
      <c r="J61" s="12">
        <f>+E15</f>
        <v>1068.32056351952</v>
      </c>
      <c r="K61" s="307"/>
      <c r="L61" s="309"/>
      <c r="M61" s="311"/>
      <c r="N61" s="305"/>
      <c r="O61" s="12">
        <f>+J15</f>
        <v>-1777.4936061381075</v>
      </c>
      <c r="P61" s="307"/>
      <c r="Q61" s="309"/>
      <c r="R61" s="311"/>
      <c r="S61" s="305"/>
      <c r="T61" s="12">
        <f>+O15</f>
        <v>1494.2503164568413</v>
      </c>
      <c r="U61" s="307"/>
      <c r="V61" s="309"/>
      <c r="W61" s="311"/>
      <c r="X61" s="305"/>
      <c r="Y61" s="12">
        <f>+T15</f>
        <v>4432.0498402299372</v>
      </c>
      <c r="Z61" s="307"/>
      <c r="AA61" s="309"/>
      <c r="AB61" s="311"/>
      <c r="AC61" s="305"/>
      <c r="AD61" s="12">
        <f>+Y15</f>
        <v>1860.0379218558428</v>
      </c>
      <c r="AE61" s="307"/>
      <c r="AF61" s="309"/>
      <c r="AG61" s="311"/>
      <c r="AH61" s="305"/>
      <c r="AI61" s="12">
        <f>+AD15</f>
        <v>894.23853736377112</v>
      </c>
      <c r="AJ61" s="307"/>
      <c r="AK61" s="309"/>
      <c r="AL61" s="311"/>
      <c r="AM61" s="305"/>
      <c r="AN61" s="12">
        <f>+AI15</f>
        <v>-3154.2424382950499</v>
      </c>
      <c r="AO61" s="307"/>
      <c r="AP61" s="309"/>
      <c r="AQ61" s="311"/>
      <c r="AR61" s="305"/>
      <c r="AS61" s="12">
        <f>+AN15</f>
        <v>-67.547033838425293</v>
      </c>
      <c r="AT61" s="307"/>
      <c r="AU61" s="309"/>
      <c r="AV61" s="311"/>
      <c r="AW61" s="305"/>
      <c r="AX61" s="12">
        <f>+AN15</f>
        <v>-67.547033838425293</v>
      </c>
      <c r="AY61" s="307"/>
      <c r="AZ61" s="309"/>
      <c r="BA61" s="311"/>
      <c r="BB61" s="305"/>
      <c r="BC61" s="12">
        <f>+AX15</f>
        <v>1985.8973658749958</v>
      </c>
      <c r="BD61" s="307"/>
      <c r="BE61" s="309"/>
      <c r="BF61" s="311"/>
      <c r="BG61" s="305"/>
      <c r="BH61" s="12">
        <f>+BC15</f>
        <v>2916.5360283739246</v>
      </c>
      <c r="BI61" s="307"/>
      <c r="BJ61" s="309"/>
      <c r="BK61" s="311"/>
      <c r="BL61" s="305"/>
      <c r="BM61" s="12">
        <f>+BH15</f>
        <v>6499.580013040736</v>
      </c>
      <c r="BN61" s="307"/>
      <c r="BO61" s="309"/>
      <c r="BP61" s="311"/>
      <c r="BQ61" s="305"/>
      <c r="BR61" s="12">
        <f>+BM15</f>
        <v>6610.8576718471513</v>
      </c>
      <c r="BS61" s="307"/>
      <c r="BT61" s="309"/>
      <c r="BU61" s="311"/>
      <c r="BV61" s="305"/>
      <c r="BW61" s="12">
        <f>+BR15</f>
        <v>4609.7749969860743</v>
      </c>
      <c r="BX61" s="307"/>
      <c r="BY61" s="309"/>
      <c r="BZ61" s="311"/>
      <c r="CA61" s="305"/>
      <c r="CB61" s="12">
        <f>+BW15</f>
        <v>5959.5944767777009</v>
      </c>
      <c r="CC61" s="307"/>
      <c r="CD61" s="309"/>
      <c r="CE61" s="311"/>
      <c r="CF61" s="305"/>
      <c r="CG61" s="12">
        <f>+CB15</f>
        <v>4499.3556578553234</v>
      </c>
      <c r="CH61" s="307"/>
      <c r="CI61" s="309"/>
      <c r="CJ61" s="311"/>
      <c r="CK61" s="305"/>
      <c r="CL61" s="12">
        <f>+CG15</f>
        <v>6407.3807974942774</v>
      </c>
      <c r="CM61" s="307"/>
      <c r="CN61" s="309"/>
      <c r="CO61" s="311"/>
      <c r="CP61" s="305"/>
      <c r="CQ61" s="12">
        <f>+CL15</f>
        <v>4005.7256733802474</v>
      </c>
      <c r="CR61" s="307"/>
      <c r="CS61" s="309"/>
      <c r="CT61" s="311"/>
    </row>
    <row r="62" spans="1:98" ht="18" customHeight="1" x14ac:dyDescent="0.2">
      <c r="A62" s="20"/>
      <c r="B62" s="320" t="s">
        <v>165</v>
      </c>
      <c r="C62" s="322" t="s">
        <v>149</v>
      </c>
      <c r="D62" s="330"/>
      <c r="E62" s="331"/>
      <c r="F62" s="331"/>
      <c r="G62" s="331"/>
      <c r="H62" s="332"/>
      <c r="I62" s="304"/>
      <c r="J62" s="10">
        <f>+J19-E19</f>
        <v>11082.146564508177</v>
      </c>
      <c r="K62" s="306" t="s">
        <v>111</v>
      </c>
      <c r="L62" s="308">
        <v>100</v>
      </c>
      <c r="M62" s="310">
        <f>IF(J63=0,"-",(J62/J63)*L62)</f>
        <v>25.116065914376527</v>
      </c>
      <c r="N62" s="304"/>
      <c r="O62" s="10">
        <f>+O19-J19</f>
        <v>-10312.47704433668</v>
      </c>
      <c r="P62" s="306" t="s">
        <v>111</v>
      </c>
      <c r="Q62" s="308">
        <v>100</v>
      </c>
      <c r="R62" s="310">
        <f>IF(O63=0,"-",(O62/O63)*Q62)</f>
        <v>-18.680033005191643</v>
      </c>
      <c r="S62" s="304"/>
      <c r="T62" s="10">
        <f>+T19-O19</f>
        <v>-4017.5333406425198</v>
      </c>
      <c r="U62" s="306" t="s">
        <v>111</v>
      </c>
      <c r="V62" s="308">
        <v>100</v>
      </c>
      <c r="W62" s="310">
        <f>IF(T63=0,"-",(T62/T63)*V62)</f>
        <v>-8.9490501177742008</v>
      </c>
      <c r="X62" s="304"/>
      <c r="Y62" s="10">
        <f>+Y19-T19</f>
        <v>1675.1314839959086</v>
      </c>
      <c r="Z62" s="306" t="s">
        <v>111</v>
      </c>
      <c r="AA62" s="308">
        <v>100</v>
      </c>
      <c r="AB62" s="310">
        <f>IF(Y63=0,"-",(Y62/Y63)*AA62)</f>
        <v>4.0980935778173899</v>
      </c>
      <c r="AC62" s="304"/>
      <c r="AD62" s="10">
        <f>+AD19-Y19</f>
        <v>3547.2383550096638</v>
      </c>
      <c r="AE62" s="306" t="s">
        <v>111</v>
      </c>
      <c r="AF62" s="308">
        <v>100</v>
      </c>
      <c r="AG62" s="310">
        <f>IF(AD63=0,"-",(AD62/AD63)*AF62)</f>
        <v>8.3364387846097809</v>
      </c>
      <c r="AH62" s="304"/>
      <c r="AI62" s="10">
        <f>+AI19-AD19</f>
        <v>-1057.3137535974893</v>
      </c>
      <c r="AJ62" s="306" t="s">
        <v>150</v>
      </c>
      <c r="AK62" s="308">
        <v>100</v>
      </c>
      <c r="AL62" s="310">
        <f>IF(AI63=0,"-",(AI62/AI63)*AK62)</f>
        <v>-2.2936097173182879</v>
      </c>
      <c r="AM62" s="304"/>
      <c r="AN62" s="10">
        <f>+AN19-AI19</f>
        <v>-5325.2077130004327</v>
      </c>
      <c r="AO62" s="306" t="s">
        <v>150</v>
      </c>
      <c r="AP62" s="308">
        <v>100</v>
      </c>
      <c r="AQ62" s="310">
        <f>IF(AN63=0,"-",(AN62/AN63)*AP62)</f>
        <v>-11.823041715948811</v>
      </c>
      <c r="AR62" s="304"/>
      <c r="AS62" s="10">
        <f>+AS19-AN19</f>
        <v>-2604.8134232273296</v>
      </c>
      <c r="AT62" s="306" t="s">
        <v>111</v>
      </c>
      <c r="AU62" s="308">
        <v>100</v>
      </c>
      <c r="AV62" s="310">
        <f>IF(AS63=0,"-",(AS62/AS63)*AU62)</f>
        <v>-6.5586457979452257</v>
      </c>
      <c r="AW62" s="304"/>
      <c r="AX62" s="10">
        <f>+AX19-AS19</f>
        <v>-988.53556269261753</v>
      </c>
      <c r="AY62" s="306" t="s">
        <v>111</v>
      </c>
      <c r="AZ62" s="308">
        <v>100</v>
      </c>
      <c r="BA62" s="310">
        <f>IF(AX63=0,"-",(AX62/AX63)*AZ62)</f>
        <v>-2.6637332385859653</v>
      </c>
      <c r="BB62" s="304"/>
      <c r="BC62" s="10">
        <f>+BC19-AX19</f>
        <v>1301.3380386561112</v>
      </c>
      <c r="BD62" s="306" t="s">
        <v>111</v>
      </c>
      <c r="BE62" s="308">
        <v>100</v>
      </c>
      <c r="BF62" s="310">
        <f>IF(BC63=0,"-",(BC62/BC63)*BE62)</f>
        <v>3.6025819730570037</v>
      </c>
      <c r="BG62" s="304"/>
      <c r="BH62" s="10">
        <f>+BH19-BC19</f>
        <v>6840.4056177249295</v>
      </c>
      <c r="BI62" s="306" t="s">
        <v>111</v>
      </c>
      <c r="BJ62" s="308">
        <v>100</v>
      </c>
      <c r="BK62" s="310">
        <f>IF(BH63=0,"-",(BH62/BH63)*BJ62)</f>
        <v>18.278267249972476</v>
      </c>
      <c r="BL62" s="304"/>
      <c r="BM62" s="10">
        <f>+BM19-BH19</f>
        <v>-3191.2462231491809</v>
      </c>
      <c r="BN62" s="306" t="s">
        <v>111</v>
      </c>
      <c r="BO62" s="308">
        <v>100</v>
      </c>
      <c r="BP62" s="310">
        <f>IF(BM63=0,"-",(BM62/BM63)*BO62)</f>
        <v>-7.2095561435450231</v>
      </c>
      <c r="BQ62" s="304"/>
      <c r="BR62" s="10">
        <f>+BR19-BM19</f>
        <v>1820.2822711968256</v>
      </c>
      <c r="BS62" s="306" t="s">
        <v>111</v>
      </c>
      <c r="BT62" s="308">
        <v>100</v>
      </c>
      <c r="BU62" s="310">
        <f>IF(BR63=0,"-",(BR62/BR63)*BT62)</f>
        <v>4.4318362094608776</v>
      </c>
      <c r="BV62" s="304"/>
      <c r="BW62" s="10">
        <f>+BW19-BR19</f>
        <v>-6354.4347934734833</v>
      </c>
      <c r="BX62" s="306" t="s">
        <v>111</v>
      </c>
      <c r="BY62" s="308">
        <v>100</v>
      </c>
      <c r="BZ62" s="310">
        <f>IF(BW63=0,"-",(BW62/BW63)*BY62)</f>
        <v>-14.814567446329388</v>
      </c>
      <c r="CA62" s="304"/>
      <c r="CB62" s="10">
        <f>+CB19-BW19</f>
        <v>3946.8086105795592</v>
      </c>
      <c r="CC62" s="306" t="s">
        <v>111</v>
      </c>
      <c r="CD62" s="308">
        <v>100</v>
      </c>
      <c r="CE62" s="310">
        <f>IF(CB63=0,"-",(CB62/CB63)*CD62)</f>
        <v>10.801716682959729</v>
      </c>
      <c r="CF62" s="304"/>
      <c r="CG62" s="10">
        <f>+CG19-CB19</f>
        <v>9489.1731122097553</v>
      </c>
      <c r="CH62" s="306" t="s">
        <v>150</v>
      </c>
      <c r="CI62" s="308">
        <v>100</v>
      </c>
      <c r="CJ62" s="310">
        <f>IF(CG63=0,"-",(CG62/CG63)*CI62)</f>
        <v>23.438434208960018</v>
      </c>
      <c r="CK62" s="304"/>
      <c r="CL62" s="10">
        <f>+CL19-CG19</f>
        <v>-1642.2649622296231</v>
      </c>
      <c r="CM62" s="306" t="s">
        <v>111</v>
      </c>
      <c r="CN62" s="308">
        <v>100</v>
      </c>
      <c r="CO62" s="310">
        <f>IF(CL63=0,"-",(CL62/CL63)*CN62)</f>
        <v>-3.2861928702752432</v>
      </c>
      <c r="CP62" s="304"/>
      <c r="CQ62" s="10">
        <f>+CQ19-CL19</f>
        <v>-6548.2859034025678</v>
      </c>
      <c r="CR62" s="306" t="s">
        <v>111</v>
      </c>
      <c r="CS62" s="308">
        <v>100</v>
      </c>
      <c r="CT62" s="310">
        <f>IF(CQ63=0,"-",(CQ62/CQ63)*CS62)</f>
        <v>-13.548430098449163</v>
      </c>
    </row>
    <row r="63" spans="1:98" ht="18" customHeight="1" x14ac:dyDescent="0.2">
      <c r="A63" s="20"/>
      <c r="B63" s="321"/>
      <c r="C63" s="323"/>
      <c r="D63" s="333"/>
      <c r="E63" s="334"/>
      <c r="F63" s="334"/>
      <c r="G63" s="334"/>
      <c r="H63" s="335"/>
      <c r="I63" s="305"/>
      <c r="J63" s="12">
        <f>+E19</f>
        <v>44123.735788432998</v>
      </c>
      <c r="K63" s="307"/>
      <c r="L63" s="309"/>
      <c r="M63" s="311"/>
      <c r="N63" s="305"/>
      <c r="O63" s="12">
        <f>+J19</f>
        <v>55205.882352941175</v>
      </c>
      <c r="P63" s="307"/>
      <c r="Q63" s="309"/>
      <c r="R63" s="311"/>
      <c r="S63" s="305"/>
      <c r="T63" s="12">
        <f>+O19</f>
        <v>44893.405308604495</v>
      </c>
      <c r="U63" s="307"/>
      <c r="V63" s="309"/>
      <c r="W63" s="311"/>
      <c r="X63" s="305"/>
      <c r="Y63" s="12">
        <f>+T19</f>
        <v>40875.871967961975</v>
      </c>
      <c r="Z63" s="307"/>
      <c r="AA63" s="309"/>
      <c r="AB63" s="311"/>
      <c r="AC63" s="305"/>
      <c r="AD63" s="12">
        <f>+Y19</f>
        <v>42551.003451957884</v>
      </c>
      <c r="AE63" s="307"/>
      <c r="AF63" s="309"/>
      <c r="AG63" s="311"/>
      <c r="AH63" s="305"/>
      <c r="AI63" s="12">
        <f>+AD19</f>
        <v>46098.241806967548</v>
      </c>
      <c r="AJ63" s="307"/>
      <c r="AK63" s="309"/>
      <c r="AL63" s="311"/>
      <c r="AM63" s="305"/>
      <c r="AN63" s="12">
        <f>+AI19</f>
        <v>45040.928053370058</v>
      </c>
      <c r="AO63" s="307"/>
      <c r="AP63" s="309"/>
      <c r="AQ63" s="311"/>
      <c r="AR63" s="305"/>
      <c r="AS63" s="12">
        <f>+AN19</f>
        <v>39715.720340369626</v>
      </c>
      <c r="AT63" s="307"/>
      <c r="AU63" s="309"/>
      <c r="AV63" s="311"/>
      <c r="AW63" s="305"/>
      <c r="AX63" s="12">
        <f>+AS19</f>
        <v>37110.906917142296</v>
      </c>
      <c r="AY63" s="307"/>
      <c r="AZ63" s="309"/>
      <c r="BA63" s="311"/>
      <c r="BB63" s="305"/>
      <c r="BC63" s="12">
        <f>+AX19</f>
        <v>36122.371354449679</v>
      </c>
      <c r="BD63" s="307"/>
      <c r="BE63" s="309"/>
      <c r="BF63" s="311"/>
      <c r="BG63" s="305"/>
      <c r="BH63" s="12">
        <f>+BC19</f>
        <v>37423.70939310579</v>
      </c>
      <c r="BI63" s="307"/>
      <c r="BJ63" s="309"/>
      <c r="BK63" s="311"/>
      <c r="BL63" s="305"/>
      <c r="BM63" s="12">
        <f>+BH19</f>
        <v>44264.115010830719</v>
      </c>
      <c r="BN63" s="307"/>
      <c r="BO63" s="309"/>
      <c r="BP63" s="311"/>
      <c r="BQ63" s="305"/>
      <c r="BR63" s="12">
        <f>+BM19</f>
        <v>41072.868787681538</v>
      </c>
      <c r="BS63" s="307"/>
      <c r="BT63" s="309"/>
      <c r="BU63" s="311"/>
      <c r="BV63" s="305"/>
      <c r="BW63" s="12">
        <f>+BR19</f>
        <v>42893.151058878364</v>
      </c>
      <c r="BX63" s="307"/>
      <c r="BY63" s="309"/>
      <c r="BZ63" s="311"/>
      <c r="CA63" s="305"/>
      <c r="CB63" s="12">
        <f>+BW19</f>
        <v>36538.716265404881</v>
      </c>
      <c r="CC63" s="307"/>
      <c r="CD63" s="309"/>
      <c r="CE63" s="311"/>
      <c r="CF63" s="305"/>
      <c r="CG63" s="12">
        <f>+CB19</f>
        <v>40485.52487598444</v>
      </c>
      <c r="CH63" s="307"/>
      <c r="CI63" s="309"/>
      <c r="CJ63" s="311"/>
      <c r="CK63" s="305"/>
      <c r="CL63" s="12">
        <f>+CG19</f>
        <v>49974.697988194195</v>
      </c>
      <c r="CM63" s="307"/>
      <c r="CN63" s="309"/>
      <c r="CO63" s="311"/>
      <c r="CP63" s="305"/>
      <c r="CQ63" s="12">
        <f>+CL19</f>
        <v>48332.433025964572</v>
      </c>
      <c r="CR63" s="307"/>
      <c r="CS63" s="309"/>
      <c r="CT63" s="311"/>
    </row>
    <row r="64" spans="1:98" ht="18" customHeight="1" x14ac:dyDescent="0.2">
      <c r="A64" s="20"/>
      <c r="B64" s="320" t="s">
        <v>166</v>
      </c>
      <c r="C64" s="322" t="s">
        <v>167</v>
      </c>
      <c r="D64" s="330"/>
      <c r="E64" s="331"/>
      <c r="F64" s="331"/>
      <c r="G64" s="331"/>
      <c r="H64" s="332"/>
      <c r="I64" s="304"/>
      <c r="J64" s="237">
        <f>+BS!L5-BS!K5</f>
        <v>1.0416935316325571</v>
      </c>
      <c r="K64" s="306" t="s">
        <v>111</v>
      </c>
      <c r="L64" s="308">
        <v>100</v>
      </c>
      <c r="M64" s="310">
        <f>IF(J65=0,"-",(J64/J65)*L64)</f>
        <v>8.3110349206998553</v>
      </c>
      <c r="N64" s="304"/>
      <c r="O64" s="237">
        <f>+BS!M5-BS!L5</f>
        <v>-1.3413921730028484</v>
      </c>
      <c r="P64" s="306" t="s">
        <v>111</v>
      </c>
      <c r="Q64" s="308">
        <v>100</v>
      </c>
      <c r="R64" s="310">
        <f>IF(O65=0,"-",(O64/O65)*Q64)</f>
        <v>-9.8809386319960524</v>
      </c>
      <c r="S64" s="304"/>
      <c r="T64" s="237">
        <f>+BS!N5-BS!M5</f>
        <v>0.81536311403507788</v>
      </c>
      <c r="U64" s="306" t="s">
        <v>111</v>
      </c>
      <c r="V64" s="308">
        <v>100</v>
      </c>
      <c r="W64" s="310">
        <f>IF(T65=0,"-",(T64/T65)*V64)</f>
        <v>6.6646421437610668</v>
      </c>
      <c r="X64" s="304"/>
      <c r="Y64" s="237">
        <f>+BS!O5-BS!N5</f>
        <v>-1.0070234718010802</v>
      </c>
      <c r="Z64" s="306" t="s">
        <v>111</v>
      </c>
      <c r="AA64" s="308">
        <v>100</v>
      </c>
      <c r="AB64" s="310">
        <f>IF(Y65=0,"-",(Y64/Y65)*AA64)</f>
        <v>-7.7169357961847389</v>
      </c>
      <c r="AC64" s="304"/>
      <c r="AD64" s="237">
        <f>+BS!P5-BS!O5</f>
        <v>0.61415141458447309</v>
      </c>
      <c r="AE64" s="306" t="s">
        <v>111</v>
      </c>
      <c r="AF64" s="308">
        <v>100</v>
      </c>
      <c r="AG64" s="310">
        <f>IF(AD65=0,"-",(AD64/AD65)*AF64)</f>
        <v>5.0998657486923191</v>
      </c>
      <c r="AH64" s="304"/>
      <c r="AI64" s="237">
        <f>+BS!Q5-BS!P5</f>
        <v>0.23437169811225544</v>
      </c>
      <c r="AJ64" s="306" t="s">
        <v>168</v>
      </c>
      <c r="AK64" s="308">
        <v>100</v>
      </c>
      <c r="AL64" s="310">
        <f>IF(AI65=0,"-",(AI64/AI65)*AK64)</f>
        <v>1.8517667962409827</v>
      </c>
      <c r="AM64" s="304"/>
      <c r="AN64" s="237">
        <f>+BS!R5-BS!Q5</f>
        <v>-1.5213093203946926</v>
      </c>
      <c r="AO64" s="306" t="s">
        <v>168</v>
      </c>
      <c r="AP64" s="308">
        <v>100</v>
      </c>
      <c r="AQ64" s="310">
        <f>IF(AN65=0,"-",(AN64/AN65)*AP64)</f>
        <v>-11.801306364983519</v>
      </c>
      <c r="AR64" s="304"/>
      <c r="AS64" s="237">
        <f>+BS!S5-BS!R5</f>
        <v>0.45320328476573124</v>
      </c>
      <c r="AT64" s="306" t="s">
        <v>111</v>
      </c>
      <c r="AU64" s="308">
        <v>100</v>
      </c>
      <c r="AV64" s="310">
        <f>IF(AS65=0,"-",(AS64/AS65)*AU64)</f>
        <v>3.9860565455841046</v>
      </c>
      <c r="AW64" s="304"/>
      <c r="AX64" s="237">
        <f>+BS!T5-BS!S5</f>
        <v>-0.60616227611661699</v>
      </c>
      <c r="AY64" s="306" t="s">
        <v>111</v>
      </c>
      <c r="AZ64" s="308">
        <v>100</v>
      </c>
      <c r="BA64" s="310">
        <f>IF(AX65=0,"-",(AX64/AX65)*AZ64)</f>
        <v>-5.1270104487053612</v>
      </c>
      <c r="BB64" s="304"/>
      <c r="BC64" s="237">
        <f>+BS!U5-BS!T5</f>
        <v>4.2769901801969823E-2</v>
      </c>
      <c r="BD64" s="306" t="s">
        <v>111</v>
      </c>
      <c r="BE64" s="308">
        <v>100</v>
      </c>
      <c r="BF64" s="310">
        <f>IF(BC65=0,"-",(BC64/BC65)*BE64)</f>
        <v>0.38130365194846805</v>
      </c>
      <c r="BG64" s="304"/>
      <c r="BH64" s="237">
        <f>+BS!V5-BS!U5</f>
        <v>-3.9486235266588565E-2</v>
      </c>
      <c r="BI64" s="306" t="s">
        <v>111</v>
      </c>
      <c r="BJ64" s="308">
        <v>100</v>
      </c>
      <c r="BK64" s="310">
        <f>IF(BH65=0,"-",(BH64/BH65)*BJ64)</f>
        <v>-0.35069179813680657</v>
      </c>
      <c r="BL64" s="304"/>
      <c r="BM64" s="237">
        <f>+BS!W5-BS!V5</f>
        <v>0.67170829620310535</v>
      </c>
      <c r="BN64" s="306" t="s">
        <v>111</v>
      </c>
      <c r="BO64" s="308">
        <v>100</v>
      </c>
      <c r="BP64" s="310">
        <f>IF(BM65=0,"-",(BM64/BM65)*BO64)</f>
        <v>5.9866835762413775</v>
      </c>
      <c r="BQ64" s="304"/>
      <c r="BR64" s="237">
        <f>+BS!X5-BS!W5</f>
        <v>-5.0334884649652523E-2</v>
      </c>
      <c r="BS64" s="306" t="s">
        <v>111</v>
      </c>
      <c r="BT64" s="308">
        <v>100</v>
      </c>
      <c r="BU64" s="310">
        <f>IF(BR65=0,"-",(BR64/BR65)*BT64)</f>
        <v>-0.423275729468991</v>
      </c>
      <c r="BV64" s="304"/>
      <c r="BW64" s="237">
        <f>+BS!Y5-BS!X5</f>
        <v>0.31733771391140486</v>
      </c>
      <c r="BX64" s="306" t="s">
        <v>111</v>
      </c>
      <c r="BY64" s="308">
        <v>100</v>
      </c>
      <c r="BZ64" s="310">
        <f>IF(BW65=0,"-",(BW64/BW65)*BY64)</f>
        <v>2.6798972467926383</v>
      </c>
      <c r="CA64" s="304"/>
      <c r="CB64" s="237">
        <f>+BS!Z5-BS!Y5</f>
        <v>-0.14391516355039968</v>
      </c>
      <c r="CC64" s="306" t="s">
        <v>111</v>
      </c>
      <c r="CD64" s="308">
        <v>100</v>
      </c>
      <c r="CE64" s="310">
        <f>IF(CB65=0,"-",(CB64/CB65)*CD64)</f>
        <v>-1.1836344145879907</v>
      </c>
      <c r="CF64" s="304"/>
      <c r="CG64" s="237">
        <f>+BS!AA5-BS!Z5</f>
        <v>1.0681660146165335</v>
      </c>
      <c r="CH64" s="306" t="s">
        <v>169</v>
      </c>
      <c r="CI64" s="308">
        <v>100</v>
      </c>
      <c r="CJ64" s="310">
        <f>IF(CG65=0,"-",(CG64/CG65)*CI64)</f>
        <v>8.8903919425401288</v>
      </c>
      <c r="CK64" s="304"/>
      <c r="CL64" s="237">
        <f>+BS!AB5-BS!AA5</f>
        <v>-0.61090789604115159</v>
      </c>
      <c r="CM64" s="306" t="s">
        <v>111</v>
      </c>
      <c r="CN64" s="308">
        <v>100</v>
      </c>
      <c r="CO64" s="310">
        <f>IF(CL65=0,"-",(CL64/CL65)*CN64)</f>
        <v>-4.6694779516377221</v>
      </c>
      <c r="CP64" s="304"/>
      <c r="CQ64" s="237">
        <f>+BS!AC5-BS!AB5</f>
        <v>-9.6943658285807643E-2</v>
      </c>
      <c r="CR64" s="306" t="s">
        <v>111</v>
      </c>
      <c r="CS64" s="308">
        <v>100</v>
      </c>
      <c r="CT64" s="310">
        <f>IF(CQ65=0,"-",(CQ64/CQ65)*CS64)</f>
        <v>-0.77728452900591138</v>
      </c>
    </row>
    <row r="65" spans="1:98" ht="18" customHeight="1" x14ac:dyDescent="0.2">
      <c r="A65" s="20"/>
      <c r="B65" s="321"/>
      <c r="C65" s="323"/>
      <c r="D65" s="333"/>
      <c r="E65" s="334"/>
      <c r="F65" s="334"/>
      <c r="G65" s="334"/>
      <c r="H65" s="335"/>
      <c r="I65" s="305"/>
      <c r="J65" s="238">
        <f>+BS!K5</f>
        <v>12.533860603064801</v>
      </c>
      <c r="K65" s="307"/>
      <c r="L65" s="309"/>
      <c r="M65" s="311"/>
      <c r="N65" s="305"/>
      <c r="O65" s="238">
        <f>+BS!L5</f>
        <v>13.575554134697358</v>
      </c>
      <c r="P65" s="307"/>
      <c r="Q65" s="309"/>
      <c r="R65" s="311"/>
      <c r="S65" s="305"/>
      <c r="T65" s="238">
        <f>+BS!M5</f>
        <v>12.234161961694509</v>
      </c>
      <c r="U65" s="307"/>
      <c r="V65" s="309"/>
      <c r="W65" s="311"/>
      <c r="X65" s="305"/>
      <c r="Y65" s="238">
        <f>+BS!N5</f>
        <v>13.049525075729587</v>
      </c>
      <c r="Z65" s="307"/>
      <c r="AA65" s="309"/>
      <c r="AB65" s="311"/>
      <c r="AC65" s="305"/>
      <c r="AD65" s="238">
        <f>+BS!O5</f>
        <v>12.042501603928507</v>
      </c>
      <c r="AE65" s="307"/>
      <c r="AF65" s="309"/>
      <c r="AG65" s="311"/>
      <c r="AH65" s="305"/>
      <c r="AI65" s="238">
        <f>+BS!P5</f>
        <v>12.65665301851298</v>
      </c>
      <c r="AJ65" s="307"/>
      <c r="AK65" s="309"/>
      <c r="AL65" s="311"/>
      <c r="AM65" s="305"/>
      <c r="AN65" s="238">
        <f>+BS!Q5</f>
        <v>12.891024716625235</v>
      </c>
      <c r="AO65" s="307"/>
      <c r="AP65" s="309"/>
      <c r="AQ65" s="311"/>
      <c r="AR65" s="305"/>
      <c r="AS65" s="238">
        <f>+BS!R5</f>
        <v>11.369715396230543</v>
      </c>
      <c r="AT65" s="307"/>
      <c r="AU65" s="309"/>
      <c r="AV65" s="311"/>
      <c r="AW65" s="305"/>
      <c r="AX65" s="238">
        <f>+BS!S5</f>
        <v>11.822918680996274</v>
      </c>
      <c r="AY65" s="307"/>
      <c r="AZ65" s="309"/>
      <c r="BA65" s="311"/>
      <c r="BB65" s="305"/>
      <c r="BC65" s="238">
        <f>+BS!T5</f>
        <v>11.216756404879657</v>
      </c>
      <c r="BD65" s="307"/>
      <c r="BE65" s="309"/>
      <c r="BF65" s="311"/>
      <c r="BG65" s="305"/>
      <c r="BH65" s="238">
        <f>+BS!U5</f>
        <v>11.259526306681627</v>
      </c>
      <c r="BI65" s="307"/>
      <c r="BJ65" s="309"/>
      <c r="BK65" s="311"/>
      <c r="BL65" s="305"/>
      <c r="BM65" s="238">
        <f>+BS!V5</f>
        <v>11.220040071415038</v>
      </c>
      <c r="BN65" s="307"/>
      <c r="BO65" s="309"/>
      <c r="BP65" s="311"/>
      <c r="BQ65" s="305"/>
      <c r="BR65" s="238">
        <f>+BS!W5</f>
        <v>11.891748367618144</v>
      </c>
      <c r="BS65" s="307"/>
      <c r="BT65" s="309"/>
      <c r="BU65" s="311"/>
      <c r="BV65" s="305"/>
      <c r="BW65" s="238">
        <f>+BS!X5</f>
        <v>11.841413482968491</v>
      </c>
      <c r="BX65" s="307"/>
      <c r="BY65" s="309"/>
      <c r="BZ65" s="311"/>
      <c r="CA65" s="305"/>
      <c r="CB65" s="238">
        <f>+BS!Y5</f>
        <v>12.158751196879896</v>
      </c>
      <c r="CC65" s="307"/>
      <c r="CD65" s="309"/>
      <c r="CE65" s="311"/>
      <c r="CF65" s="305"/>
      <c r="CG65" s="238">
        <f>+BS!Z5</f>
        <v>12.014836033329496</v>
      </c>
      <c r="CH65" s="307"/>
      <c r="CI65" s="309"/>
      <c r="CJ65" s="311"/>
      <c r="CK65" s="305"/>
      <c r="CL65" s="238">
        <f>+BS!AA5</f>
        <v>13.08300204794603</v>
      </c>
      <c r="CM65" s="307"/>
      <c r="CN65" s="309"/>
      <c r="CO65" s="311"/>
      <c r="CP65" s="305"/>
      <c r="CQ65" s="238">
        <f>+BS!AB5</f>
        <v>12.472094151904878</v>
      </c>
      <c r="CR65" s="307"/>
      <c r="CS65" s="309"/>
      <c r="CT65" s="311"/>
    </row>
    <row r="66" spans="1:98" ht="18" customHeight="1" x14ac:dyDescent="0.2">
      <c r="A66" s="20"/>
      <c r="B66" s="320" t="s">
        <v>303</v>
      </c>
      <c r="C66" s="322" t="s">
        <v>149</v>
      </c>
      <c r="D66" s="330"/>
      <c r="E66" s="331"/>
      <c r="F66" s="331"/>
      <c r="G66" s="331"/>
      <c r="H66" s="332"/>
      <c r="I66" s="304"/>
      <c r="J66" s="10">
        <f>+J7-E7</f>
        <v>40431.416428463446</v>
      </c>
      <c r="K66" s="306" t="s">
        <v>111</v>
      </c>
      <c r="L66" s="308">
        <v>100</v>
      </c>
      <c r="M66" s="310">
        <f>IF(J67=0,"-",(J66/J67)*L66)</f>
        <v>23.504036826668614</v>
      </c>
      <c r="N66" s="304"/>
      <c r="O66" s="10">
        <f>+O7-J7</f>
        <v>-57870.346237264923</v>
      </c>
      <c r="P66" s="306" t="s">
        <v>111</v>
      </c>
      <c r="Q66" s="308">
        <v>100</v>
      </c>
      <c r="R66" s="310">
        <f>IF(O67=0,"-",(O66/O67)*Q66)</f>
        <v>-27.239456023318915</v>
      </c>
      <c r="S66" s="304"/>
      <c r="T66" s="10">
        <f>+T7-O7</f>
        <v>17194.766535433097</v>
      </c>
      <c r="U66" s="306" t="s">
        <v>111</v>
      </c>
      <c r="V66" s="308">
        <v>100</v>
      </c>
      <c r="W66" s="310">
        <f>IF(T67=0,"-",(T66/T67)*V66)</f>
        <v>11.123531675260208</v>
      </c>
      <c r="X66" s="304"/>
      <c r="Y66" s="10">
        <f>+Y7-T7</f>
        <v>-8662.866433635063</v>
      </c>
      <c r="Z66" s="306" t="s">
        <v>111</v>
      </c>
      <c r="AA66" s="308">
        <v>100</v>
      </c>
      <c r="AB66" s="310">
        <f>IF(Y67=0,"-",(Y66/Y67)*AA66)</f>
        <v>-5.04315127185356</v>
      </c>
      <c r="AC66" s="304"/>
      <c r="AD66" s="10">
        <f>+AD7-Y7</f>
        <v>36842.097709018009</v>
      </c>
      <c r="AE66" s="306" t="s">
        <v>111</v>
      </c>
      <c r="AF66" s="308">
        <v>100</v>
      </c>
      <c r="AG66" s="310">
        <f>IF(AD67=0,"-",(AD66/AD67)*AF66)</f>
        <v>22.586993835478079</v>
      </c>
      <c r="AH66" s="304"/>
      <c r="AI66" s="10">
        <f>+AI7-AD7</f>
        <v>37789.225706498662</v>
      </c>
      <c r="AJ66" s="306" t="s">
        <v>150</v>
      </c>
      <c r="AK66" s="308">
        <v>100</v>
      </c>
      <c r="AL66" s="310">
        <f>IF(AI67=0,"-",(AI66/AI67)*AK66)</f>
        <v>18.898950243228661</v>
      </c>
      <c r="AM66" s="304"/>
      <c r="AN66" s="10">
        <f>+AN7-AI7</f>
        <v>-79853.858952998184</v>
      </c>
      <c r="AO66" s="306" t="s">
        <v>150</v>
      </c>
      <c r="AP66" s="308">
        <v>100</v>
      </c>
      <c r="AQ66" s="310">
        <f>IF(AN67=0,"-",(AN66/AN67)*AP66)</f>
        <v>-33.588265413235973</v>
      </c>
      <c r="AR66" s="304"/>
      <c r="AS66" s="10">
        <f>+AS7-AN7</f>
        <v>-5220.7506907094212</v>
      </c>
      <c r="AT66" s="306" t="s">
        <v>111</v>
      </c>
      <c r="AU66" s="308">
        <v>100</v>
      </c>
      <c r="AV66" s="310">
        <f>IF(AS67=0,"-",(AS66/AS67)*AU66)</f>
        <v>-3.3065858200460978</v>
      </c>
      <c r="AW66" s="304"/>
      <c r="AX66" s="10">
        <f>+AX7-AS7</f>
        <v>-18560.459149133269</v>
      </c>
      <c r="AY66" s="306" t="s">
        <v>111</v>
      </c>
      <c r="AZ66" s="308">
        <v>100</v>
      </c>
      <c r="BA66" s="310">
        <f>IF(AX67=0,"-",(AX66/AX67)*AZ66)</f>
        <v>-12.157342860983093</v>
      </c>
      <c r="BB66" s="304"/>
      <c r="BC66" s="10">
        <f>+BC7-AX7</f>
        <v>2944.6202315547562</v>
      </c>
      <c r="BD66" s="306" t="s">
        <v>111</v>
      </c>
      <c r="BE66" s="308">
        <v>100</v>
      </c>
      <c r="BF66" s="310">
        <f>IF(BC67=0,"-",(BC66/BC67)*BE66)</f>
        <v>2.1957039172079891</v>
      </c>
      <c r="BG66" s="304"/>
      <c r="BH66" s="10">
        <f>+BH7-BC7</f>
        <v>46166.413811202568</v>
      </c>
      <c r="BI66" s="306" t="s">
        <v>111</v>
      </c>
      <c r="BJ66" s="308">
        <v>100</v>
      </c>
      <c r="BK66" s="310">
        <f>IF(BH67=0,"-",(BH66/BH67)*BJ66)</f>
        <v>33.685111222197342</v>
      </c>
      <c r="BL66" s="304"/>
      <c r="BM66" s="10">
        <f>+BM7-BH7</f>
        <v>7475.2049801897374</v>
      </c>
      <c r="BN66" s="306" t="s">
        <v>111</v>
      </c>
      <c r="BO66" s="308">
        <v>100</v>
      </c>
      <c r="BP66" s="310">
        <f>IF(BM67=0,"-",(BM66/BM67)*BO66)</f>
        <v>4.0799224667324214</v>
      </c>
      <c r="BQ66" s="304"/>
      <c r="BR66" s="10">
        <f>+BR7-BM7</f>
        <v>-38501.601505255036</v>
      </c>
      <c r="BS66" s="306" t="s">
        <v>111</v>
      </c>
      <c r="BT66" s="308">
        <v>100</v>
      </c>
      <c r="BU66" s="310">
        <f>IF(BR67=0,"-",(BR66/BR67)*BT66)</f>
        <v>-20.190200817807696</v>
      </c>
      <c r="BV66" s="304"/>
      <c r="BW66" s="10">
        <f>+BW7-BR7</f>
        <v>42133.210740035138</v>
      </c>
      <c r="BX66" s="306" t="s">
        <v>111</v>
      </c>
      <c r="BY66" s="308">
        <v>100</v>
      </c>
      <c r="BZ66" s="310">
        <f>IF(BW67=0,"-",(BW66/BW67)*BY66)</f>
        <v>27.684085472234916</v>
      </c>
      <c r="CA66" s="304"/>
      <c r="CB66" s="10">
        <f>+CB7-BW7</f>
        <v>-29957.610773516062</v>
      </c>
      <c r="CC66" s="306" t="s">
        <v>111</v>
      </c>
      <c r="CD66" s="308">
        <v>100</v>
      </c>
      <c r="CE66" s="310">
        <f>IF(CB67=0,"-",(CB66/CB67)*CD66)</f>
        <v>-15.416153624380685</v>
      </c>
      <c r="CF66" s="304"/>
      <c r="CG66" s="10">
        <f>+CG7-CB7</f>
        <v>37620.732696050196</v>
      </c>
      <c r="CH66" s="306" t="s">
        <v>170</v>
      </c>
      <c r="CI66" s="308">
        <v>100</v>
      </c>
      <c r="CJ66" s="310">
        <f>IF(CG67=0,"-",(CG66/CG67)*CI66)</f>
        <v>22.888043739656148</v>
      </c>
      <c r="CK66" s="304"/>
      <c r="CL66" s="10">
        <f>+CL7-CG7</f>
        <v>-6481.2342455677863</v>
      </c>
      <c r="CM66" s="306" t="s">
        <v>111</v>
      </c>
      <c r="CN66" s="308">
        <v>100</v>
      </c>
      <c r="CO66" s="310">
        <f>IF(CL67=0,"-",(CL66/CL67)*CN66)</f>
        <v>-3.2087029423724829</v>
      </c>
      <c r="CP66" s="304"/>
      <c r="CQ66" s="10">
        <f>+CQ7-CL7</f>
        <v>-16705.860882193956</v>
      </c>
      <c r="CR66" s="306" t="s">
        <v>111</v>
      </c>
      <c r="CS66" s="308">
        <v>100</v>
      </c>
      <c r="CT66" s="310">
        <f>IF(CQ67=0,"-",(CQ66/CQ67)*CS66)</f>
        <v>-8.5448480708949592</v>
      </c>
    </row>
    <row r="67" spans="1:98" ht="18" customHeight="1" x14ac:dyDescent="0.2">
      <c r="A67" s="22"/>
      <c r="B67" s="321"/>
      <c r="C67" s="323"/>
      <c r="D67" s="333"/>
      <c r="E67" s="334"/>
      <c r="F67" s="334"/>
      <c r="G67" s="334"/>
      <c r="H67" s="335"/>
      <c r="I67" s="305"/>
      <c r="J67" s="12">
        <f>+E7</f>
        <v>172019.03114186903</v>
      </c>
      <c r="K67" s="307"/>
      <c r="L67" s="309"/>
      <c r="M67" s="311"/>
      <c r="N67" s="305"/>
      <c r="O67" s="12">
        <f>+J7</f>
        <v>212450.44757033247</v>
      </c>
      <c r="P67" s="307"/>
      <c r="Q67" s="309"/>
      <c r="R67" s="311"/>
      <c r="S67" s="305"/>
      <c r="T67" s="12">
        <f>+O7</f>
        <v>154580.10133306755</v>
      </c>
      <c r="U67" s="307"/>
      <c r="V67" s="309"/>
      <c r="W67" s="311"/>
      <c r="X67" s="305"/>
      <c r="Y67" s="12">
        <f>+T7</f>
        <v>171774.86786850065</v>
      </c>
      <c r="Z67" s="307"/>
      <c r="AA67" s="309"/>
      <c r="AB67" s="311"/>
      <c r="AC67" s="305"/>
      <c r="AD67" s="12">
        <f>+Y7</f>
        <v>163112.00143486558</v>
      </c>
      <c r="AE67" s="307"/>
      <c r="AF67" s="309"/>
      <c r="AG67" s="311"/>
      <c r="AH67" s="305"/>
      <c r="AI67" s="12">
        <f>+AD7</f>
        <v>199954.09914388359</v>
      </c>
      <c r="AJ67" s="307"/>
      <c r="AK67" s="309"/>
      <c r="AL67" s="311"/>
      <c r="AM67" s="305"/>
      <c r="AN67" s="12">
        <f>+AI7</f>
        <v>237743.32485038225</v>
      </c>
      <c r="AO67" s="307"/>
      <c r="AP67" s="309"/>
      <c r="AQ67" s="311"/>
      <c r="AR67" s="305"/>
      <c r="AS67" s="12">
        <f>+AN7</f>
        <v>157889.46589738407</v>
      </c>
      <c r="AT67" s="307"/>
      <c r="AU67" s="309"/>
      <c r="AV67" s="311"/>
      <c r="AW67" s="305"/>
      <c r="AX67" s="12">
        <f>+AS7</f>
        <v>152668.71520667465</v>
      </c>
      <c r="AY67" s="307"/>
      <c r="AZ67" s="309"/>
      <c r="BA67" s="311"/>
      <c r="BB67" s="305"/>
      <c r="BC67" s="12">
        <f>+AX7</f>
        <v>134108.25605754138</v>
      </c>
      <c r="BD67" s="307"/>
      <c r="BE67" s="309"/>
      <c r="BF67" s="311"/>
      <c r="BG67" s="305"/>
      <c r="BH67" s="12">
        <f>+BC7</f>
        <v>137052.87628909614</v>
      </c>
      <c r="BI67" s="307"/>
      <c r="BJ67" s="309"/>
      <c r="BK67" s="311"/>
      <c r="BL67" s="305"/>
      <c r="BM67" s="12">
        <f>+BH7</f>
        <v>183219.29010029871</v>
      </c>
      <c r="BN67" s="307"/>
      <c r="BO67" s="309"/>
      <c r="BP67" s="311"/>
      <c r="BQ67" s="305"/>
      <c r="BR67" s="12">
        <f>+BM7</f>
        <v>190694.49508048844</v>
      </c>
      <c r="BS67" s="307"/>
      <c r="BT67" s="309"/>
      <c r="BU67" s="311"/>
      <c r="BV67" s="305"/>
      <c r="BW67" s="12">
        <f>+BR7</f>
        <v>152192.89357523341</v>
      </c>
      <c r="BX67" s="307"/>
      <c r="BY67" s="309"/>
      <c r="BZ67" s="311"/>
      <c r="CA67" s="305"/>
      <c r="CB67" s="12">
        <f>+BW7</f>
        <v>194326.10431526855</v>
      </c>
      <c r="CC67" s="307"/>
      <c r="CD67" s="309"/>
      <c r="CE67" s="311"/>
      <c r="CF67" s="305"/>
      <c r="CG67" s="12">
        <f>+CB7</f>
        <v>164368.49354175248</v>
      </c>
      <c r="CH67" s="307"/>
      <c r="CI67" s="309"/>
      <c r="CJ67" s="311"/>
      <c r="CK67" s="305"/>
      <c r="CL67" s="12">
        <f>+CG7</f>
        <v>201989.22623780268</v>
      </c>
      <c r="CM67" s="307"/>
      <c r="CN67" s="309"/>
      <c r="CO67" s="311"/>
      <c r="CP67" s="305"/>
      <c r="CQ67" s="12">
        <f>+CL7</f>
        <v>195507.99199223489</v>
      </c>
      <c r="CR67" s="307"/>
      <c r="CS67" s="309"/>
      <c r="CT67" s="311"/>
    </row>
    <row r="68" spans="1:98"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row>
    <row r="69" spans="1:98" ht="18" customHeight="1" x14ac:dyDescent="0.2">
      <c r="A69" s="17"/>
      <c r="B69" s="320" t="s">
        <v>172</v>
      </c>
      <c r="C69" s="322" t="s">
        <v>149</v>
      </c>
      <c r="D69" s="304"/>
      <c r="E69" s="24">
        <f>+PL!K47</f>
        <v>80211.725160652306</v>
      </c>
      <c r="F69" s="306" t="s">
        <v>118</v>
      </c>
      <c r="G69" s="308">
        <v>100</v>
      </c>
      <c r="H69" s="310">
        <f>IF(E70=0,"-",(E69/E70)*G69)</f>
        <v>44.88874691476569</v>
      </c>
      <c r="I69" s="304"/>
      <c r="J69" s="24">
        <f>+PL!L47</f>
        <v>98201.513213981249</v>
      </c>
      <c r="K69" s="306" t="s">
        <v>111</v>
      </c>
      <c r="L69" s="308">
        <v>100</v>
      </c>
      <c r="M69" s="310">
        <f>IF(J70=0,"-",(J69/J70)*L69)</f>
        <v>43.04016156354956</v>
      </c>
      <c r="N69" s="304"/>
      <c r="O69" s="24">
        <f>+PL!M47</f>
        <v>83971.303673487389</v>
      </c>
      <c r="P69" s="306" t="s">
        <v>111</v>
      </c>
      <c r="Q69" s="308">
        <v>100</v>
      </c>
      <c r="R69" s="310">
        <f>IF(O70=0,"-",(O69/O70)*Q69)</f>
        <v>45.260509144085958</v>
      </c>
      <c r="S69" s="304"/>
      <c r="T69" s="24">
        <f>+PL!N47</f>
        <v>85362.729767710145</v>
      </c>
      <c r="U69" s="306" t="s">
        <v>111</v>
      </c>
      <c r="V69" s="308">
        <v>100</v>
      </c>
      <c r="W69" s="310">
        <f>IF(T70=0,"-",(T69/T70)*V69)</f>
        <v>50.993721051598499</v>
      </c>
      <c r="X69" s="304"/>
      <c r="Y69" s="24">
        <f>+PL!O47</f>
        <v>76259.072636423647</v>
      </c>
      <c r="Z69" s="306" t="s">
        <v>111</v>
      </c>
      <c r="AA69" s="308">
        <v>100</v>
      </c>
      <c r="AB69" s="310">
        <f>IF(Y70=0,"-",(Y69/Y70)*AA69)</f>
        <v>44.007235881907917</v>
      </c>
      <c r="AC69" s="304"/>
      <c r="AD69" s="24">
        <f>+PL!P47</f>
        <v>88500.241430049398</v>
      </c>
      <c r="AE69" s="306" t="s">
        <v>111</v>
      </c>
      <c r="AF69" s="308">
        <v>100</v>
      </c>
      <c r="AG69" s="310">
        <f>IF(AD70=0,"-",(AD69/AD70)*AF69)</f>
        <v>49.75226087880197</v>
      </c>
      <c r="AH69" s="304"/>
      <c r="AI69" s="24">
        <f>+PL!Q47</f>
        <v>87932.049582930806</v>
      </c>
      <c r="AJ69" s="306" t="s">
        <v>118</v>
      </c>
      <c r="AK69" s="308">
        <v>100</v>
      </c>
      <c r="AL69" s="310">
        <f>IF(AI70=0,"-",(AI69/AI70)*AK69)</f>
        <v>51.207962099953377</v>
      </c>
      <c r="AM69" s="304"/>
      <c r="AN69" s="24">
        <f>+PL!R47</f>
        <v>66941.244476116583</v>
      </c>
      <c r="AO69" s="306" t="s">
        <v>173</v>
      </c>
      <c r="AP69" s="308">
        <v>100</v>
      </c>
      <c r="AQ69" s="310">
        <f>IF(AN70=0,"-",(AN69/AN70)*AP69)</f>
        <v>44.696252510751322</v>
      </c>
      <c r="AR69" s="304"/>
      <c r="AS69" s="24">
        <f>+PL!S47</f>
        <v>71458.905409387327</v>
      </c>
      <c r="AT69" s="306" t="s">
        <v>111</v>
      </c>
      <c r="AU69" s="308">
        <v>100</v>
      </c>
      <c r="AV69" s="310">
        <f>IF(AS70=0,"-",(AS69/AS70)*AU69)</f>
        <v>45.482910731072415</v>
      </c>
      <c r="AW69" s="304"/>
      <c r="AX69" s="24">
        <f>+PL!T47</f>
        <v>77021.811781065553</v>
      </c>
      <c r="AY69" s="306" t="s">
        <v>111</v>
      </c>
      <c r="AZ69" s="308">
        <v>100</v>
      </c>
      <c r="BA69" s="310">
        <f>IF(AX70=0,"-",(AX69/AX70)*AZ69)</f>
        <v>51.341568078575669</v>
      </c>
      <c r="BB69" s="304"/>
      <c r="BC69" s="24">
        <f>+PL!U47</f>
        <v>69510.304427645198</v>
      </c>
      <c r="BD69" s="306" t="s">
        <v>111</v>
      </c>
      <c r="BE69" s="308">
        <v>100</v>
      </c>
      <c r="BF69" s="310">
        <f>IF(BC70=0,"-",(BC69/BC70)*BE69)</f>
        <v>46.315560742963271</v>
      </c>
      <c r="BG69" s="304"/>
      <c r="BH69" s="24">
        <f>+PL!V47</f>
        <v>77270.38332064182</v>
      </c>
      <c r="BI69" s="306" t="s">
        <v>111</v>
      </c>
      <c r="BJ69" s="308">
        <v>100</v>
      </c>
      <c r="BK69" s="310">
        <f>IF(BH70=0,"-",(BH69/BH70)*BJ69)</f>
        <v>46.676241819765849</v>
      </c>
      <c r="BL69" s="304"/>
      <c r="BM69" s="24">
        <f>+PL!W47</f>
        <v>79365.106414770606</v>
      </c>
      <c r="BN69" s="306" t="s">
        <v>111</v>
      </c>
      <c r="BO69" s="308">
        <v>100</v>
      </c>
      <c r="BP69" s="310">
        <f>IF(BM70=0,"-",(BM69/BM70)*BO69)</f>
        <v>45.0600135653794</v>
      </c>
      <c r="BQ69" s="304"/>
      <c r="BR69" s="24">
        <f>+PL!X47</f>
        <v>91170.264708581686</v>
      </c>
      <c r="BS69" s="306" t="s">
        <v>111</v>
      </c>
      <c r="BT69" s="308">
        <v>100</v>
      </c>
      <c r="BU69" s="310">
        <f>IF(BR70=0,"-",(BR69/BR70)*BT69)</f>
        <v>53.982960876507526</v>
      </c>
      <c r="BV69" s="304"/>
      <c r="BW69" s="24">
        <f>+PL!Y47</f>
        <v>89794.266168461036</v>
      </c>
      <c r="BX69" s="306" t="s">
        <v>111</v>
      </c>
      <c r="BY69" s="308">
        <v>100</v>
      </c>
      <c r="BZ69" s="310">
        <f>IF(BW70=0,"-",(BW69/BW70)*BY69)</f>
        <v>48.063998723186259</v>
      </c>
      <c r="CA69" s="304"/>
      <c r="CB69" s="24">
        <f>+PL!Z47</f>
        <v>86085.09306395911</v>
      </c>
      <c r="CC69" s="306" t="s">
        <v>111</v>
      </c>
      <c r="CD69" s="308">
        <v>100</v>
      </c>
      <c r="CE69" s="310">
        <f>IF(CB70=0,"-",(CB69/CB70)*CD69)</f>
        <v>52.347534319430224</v>
      </c>
      <c r="CF69" s="304"/>
      <c r="CG69" s="24">
        <f>+PL!AA47</f>
        <v>109442.12046741358</v>
      </c>
      <c r="CH69" s="306" t="s">
        <v>173</v>
      </c>
      <c r="CI69" s="308">
        <v>100</v>
      </c>
      <c r="CJ69" s="310">
        <f>IF(CG70=0,"-",(CG69/CG70)*CI69)</f>
        <v>51.97657051545945</v>
      </c>
      <c r="CK69" s="304"/>
      <c r="CL69" s="24">
        <f>+PL!AB47</f>
        <v>96421.310118903202</v>
      </c>
      <c r="CM69" s="306" t="s">
        <v>111</v>
      </c>
      <c r="CN69" s="308">
        <v>100</v>
      </c>
      <c r="CO69" s="310">
        <f>IF(CL70=0,"-",(CL69/CL70)*CN69)</f>
        <v>50.988554242830794</v>
      </c>
      <c r="CP69" s="304"/>
      <c r="CQ69" s="24">
        <f>+PL!AC47</f>
        <v>110811.72261016131</v>
      </c>
      <c r="CR69" s="306" t="s">
        <v>111</v>
      </c>
      <c r="CS69" s="308">
        <v>100</v>
      </c>
      <c r="CT69" s="310">
        <f>IF(CQ70=0,"-",(CQ69/CQ70)*CS69)</f>
        <v>53.764222741364939</v>
      </c>
    </row>
    <row r="70" spans="1:98" ht="18" customHeight="1" x14ac:dyDescent="0.2">
      <c r="A70" s="17"/>
      <c r="B70" s="321"/>
      <c r="C70" s="323"/>
      <c r="D70" s="305"/>
      <c r="E70" s="25">
        <f>+E12</f>
        <v>178690.05190311401</v>
      </c>
      <c r="F70" s="307"/>
      <c r="G70" s="309"/>
      <c r="H70" s="311"/>
      <c r="I70" s="305"/>
      <c r="J70" s="25">
        <f>+J12</f>
        <v>228162.5106564365</v>
      </c>
      <c r="K70" s="307"/>
      <c r="L70" s="309"/>
      <c r="M70" s="311"/>
      <c r="N70" s="305"/>
      <c r="O70" s="25">
        <f>+O12</f>
        <v>185528.85343416347</v>
      </c>
      <c r="P70" s="307"/>
      <c r="Q70" s="309"/>
      <c r="R70" s="311"/>
      <c r="S70" s="305"/>
      <c r="T70" s="25">
        <f>+T12</f>
        <v>167398.51104675228</v>
      </c>
      <c r="U70" s="307"/>
      <c r="V70" s="309"/>
      <c r="W70" s="311"/>
      <c r="X70" s="305"/>
      <c r="Y70" s="25">
        <f>+Y12</f>
        <v>173287.57670911792</v>
      </c>
      <c r="Z70" s="307"/>
      <c r="AA70" s="309"/>
      <c r="AB70" s="311"/>
      <c r="AC70" s="305"/>
      <c r="AD70" s="25">
        <f>+AD12</f>
        <v>177881.84871766673</v>
      </c>
      <c r="AE70" s="307"/>
      <c r="AF70" s="309"/>
      <c r="AG70" s="311"/>
      <c r="AH70" s="305"/>
      <c r="AI70" s="25">
        <f>+AI12</f>
        <v>171715.58089207942</v>
      </c>
      <c r="AJ70" s="307"/>
      <c r="AK70" s="309"/>
      <c r="AL70" s="311"/>
      <c r="AM70" s="305"/>
      <c r="AN70" s="25">
        <f>+AN12</f>
        <v>149769.25517416568</v>
      </c>
      <c r="AO70" s="307"/>
      <c r="AP70" s="309"/>
      <c r="AQ70" s="311"/>
      <c r="AR70" s="305"/>
      <c r="AS70" s="25">
        <f>+AS12</f>
        <v>157111.54862516082</v>
      </c>
      <c r="AT70" s="307"/>
      <c r="AU70" s="309"/>
      <c r="AV70" s="311"/>
      <c r="AW70" s="305"/>
      <c r="AX70" s="25">
        <f>+AX12</f>
        <v>150018.4249596498</v>
      </c>
      <c r="AY70" s="307"/>
      <c r="AZ70" s="309"/>
      <c r="BA70" s="311"/>
      <c r="BB70" s="305"/>
      <c r="BC70" s="25">
        <f>+BC12</f>
        <v>150079.80754763054</v>
      </c>
      <c r="BD70" s="307"/>
      <c r="BE70" s="309"/>
      <c r="BF70" s="311"/>
      <c r="BG70" s="305"/>
      <c r="BH70" s="25">
        <f>+BH12</f>
        <v>165545.42591284707</v>
      </c>
      <c r="BI70" s="307"/>
      <c r="BJ70" s="309"/>
      <c r="BK70" s="311"/>
      <c r="BL70" s="305"/>
      <c r="BM70" s="25">
        <f>+BM12</f>
        <v>176132.00737193864</v>
      </c>
      <c r="BN70" s="307"/>
      <c r="BO70" s="309"/>
      <c r="BP70" s="311"/>
      <c r="BQ70" s="305"/>
      <c r="BR70" s="25">
        <f>+BR12</f>
        <v>168887.11406020238</v>
      </c>
      <c r="BS70" s="307"/>
      <c r="BT70" s="309"/>
      <c r="BU70" s="311"/>
      <c r="BV70" s="305"/>
      <c r="BW70" s="25">
        <f>+BW12</f>
        <v>186822.29642525339</v>
      </c>
      <c r="BX70" s="307"/>
      <c r="BY70" s="309"/>
      <c r="BZ70" s="311"/>
      <c r="CA70" s="305"/>
      <c r="CB70" s="25">
        <f>+CB12</f>
        <v>164449.18406024383</v>
      </c>
      <c r="CC70" s="307"/>
      <c r="CD70" s="309"/>
      <c r="CE70" s="311"/>
      <c r="CF70" s="305"/>
      <c r="CG70" s="25">
        <f>+CG12</f>
        <v>210560.48789302495</v>
      </c>
      <c r="CH70" s="307"/>
      <c r="CI70" s="309"/>
      <c r="CJ70" s="311"/>
      <c r="CK70" s="305"/>
      <c r="CL70" s="25">
        <f>+CL12</f>
        <v>189103.8323222519</v>
      </c>
      <c r="CM70" s="307"/>
      <c r="CN70" s="309"/>
      <c r="CO70" s="311"/>
      <c r="CP70" s="305"/>
      <c r="CQ70" s="25">
        <f>+CQ12</f>
        <v>206106.80664579821</v>
      </c>
      <c r="CR70" s="307"/>
      <c r="CS70" s="309"/>
      <c r="CT70" s="311"/>
    </row>
    <row r="71" spans="1:98" ht="18" customHeight="1" x14ac:dyDescent="0.2">
      <c r="A71" s="17"/>
      <c r="B71" s="320" t="s">
        <v>174</v>
      </c>
      <c r="C71" s="322" t="s">
        <v>175</v>
      </c>
      <c r="D71" s="304"/>
      <c r="E71" s="24">
        <f>+PL!K11+PL!K17</f>
        <v>41282.926347009401</v>
      </c>
      <c r="F71" s="306" t="s">
        <v>118</v>
      </c>
      <c r="G71" s="308">
        <v>100</v>
      </c>
      <c r="H71" s="310">
        <f>IF(E72=0,"-",(E71/E72)*G71)</f>
        <v>51.467446017805706</v>
      </c>
      <c r="I71" s="304"/>
      <c r="J71" s="24">
        <f>+PL!L11+PL!L17</f>
        <v>57942.242114237</v>
      </c>
      <c r="K71" s="306" t="s">
        <v>111</v>
      </c>
      <c r="L71" s="308">
        <v>100</v>
      </c>
      <c r="M71" s="310">
        <f>IF(J72=0,"-",(J71/J72)*L71)</f>
        <v>59.003410658225562</v>
      </c>
      <c r="N71" s="304"/>
      <c r="O71" s="24">
        <f>+PL!M11+PL!M17</f>
        <v>49273.13682023478</v>
      </c>
      <c r="P71" s="306" t="s">
        <v>111</v>
      </c>
      <c r="Q71" s="308">
        <v>100</v>
      </c>
      <c r="R71" s="310">
        <f>IF(O72=0,"-",(O71/O72)*Q71)</f>
        <v>58.678542150337002</v>
      </c>
      <c r="S71" s="304"/>
      <c r="T71" s="24">
        <f>+PL!N11+PL!N17</f>
        <v>47022.069056764842</v>
      </c>
      <c r="U71" s="306" t="s">
        <v>111</v>
      </c>
      <c r="V71" s="308">
        <v>100</v>
      </c>
      <c r="W71" s="310">
        <f>IF(T72=0,"-",(T71/T72)*V71)</f>
        <v>55.085010969918294</v>
      </c>
      <c r="X71" s="304"/>
      <c r="Y71" s="24">
        <f>+PL!O11+PL!O17</f>
        <v>44734.921455186668</v>
      </c>
      <c r="Z71" s="306" t="s">
        <v>111</v>
      </c>
      <c r="AA71" s="308">
        <v>100</v>
      </c>
      <c r="AB71" s="310">
        <f>IF(Y72=0,"-",(Y71/Y72)*AA71)</f>
        <v>58.661769555560937</v>
      </c>
      <c r="AC71" s="304"/>
      <c r="AD71" s="24">
        <f>+PL!P11+PL!P17</f>
        <v>44061.812659746138</v>
      </c>
      <c r="AE71" s="306" t="s">
        <v>111</v>
      </c>
      <c r="AF71" s="308">
        <v>100</v>
      </c>
      <c r="AG71" s="310">
        <f>IF(AD72=0,"-",(AD71/AD72)*AF71)</f>
        <v>49.787223116868667</v>
      </c>
      <c r="AH71" s="304"/>
      <c r="AI71" s="24">
        <f>+PL!Q11+PL!Q17</f>
        <v>48927.956304329447</v>
      </c>
      <c r="AJ71" s="306" t="s">
        <v>118</v>
      </c>
      <c r="AK71" s="308">
        <v>100</v>
      </c>
      <c r="AL71" s="310">
        <f>IF(AI72=0,"-",(AI71/AI72)*AK71)</f>
        <v>55.642915792818329</v>
      </c>
      <c r="AM71" s="304"/>
      <c r="AN71" s="24">
        <f>+PL!R11+PL!R17</f>
        <v>40183.98649872285</v>
      </c>
      <c r="AO71" s="306" t="s">
        <v>112</v>
      </c>
      <c r="AP71" s="308">
        <v>100</v>
      </c>
      <c r="AQ71" s="310">
        <f>IF(AN72=0,"-",(AN71/AN72)*AP71)</f>
        <v>60.028741343552049</v>
      </c>
      <c r="AR71" s="304"/>
      <c r="AS71" s="24">
        <f>+PL!S11+PL!S17</f>
        <v>38763.814006318964</v>
      </c>
      <c r="AT71" s="306" t="s">
        <v>111</v>
      </c>
      <c r="AU71" s="308">
        <v>100</v>
      </c>
      <c r="AV71" s="310">
        <f>IF(AS72=0,"-",(AS71/AS72)*AU71)</f>
        <v>54.24630252064663</v>
      </c>
      <c r="AW71" s="304"/>
      <c r="AX71" s="24">
        <f>+PL!T11+PL!T17</f>
        <v>45222.703016577274</v>
      </c>
      <c r="AY71" s="306" t="s">
        <v>111</v>
      </c>
      <c r="AZ71" s="308">
        <v>100</v>
      </c>
      <c r="BA71" s="310">
        <f>IF(AX72=0,"-",(AX71/AX72)*AZ71)</f>
        <v>58.714151187617837</v>
      </c>
      <c r="BB71" s="304"/>
      <c r="BC71" s="24">
        <f>+PL!U11+PL!U17</f>
        <v>35977.006246720179</v>
      </c>
      <c r="BD71" s="306" t="s">
        <v>111</v>
      </c>
      <c r="BE71" s="308">
        <v>100</v>
      </c>
      <c r="BF71" s="310">
        <f>IF(BC72=0,"-",(BC71/BC72)*BE71)</f>
        <v>51.757802735807942</v>
      </c>
      <c r="BG71" s="304"/>
      <c r="BH71" s="24">
        <f>+PL!V11+PL!V17</f>
        <v>40893.944432825039</v>
      </c>
      <c r="BI71" s="306" t="s">
        <v>111</v>
      </c>
      <c r="BJ71" s="308">
        <v>100</v>
      </c>
      <c r="BK71" s="310">
        <f>IF(BH72=0,"-",(BH71/BH72)*BJ71)</f>
        <v>52.923180493529053</v>
      </c>
      <c r="BL71" s="304"/>
      <c r="BM71" s="24">
        <f>+PL!W11+PL!W17</f>
        <v>39900.558203611188</v>
      </c>
      <c r="BN71" s="306" t="s">
        <v>111</v>
      </c>
      <c r="BO71" s="308">
        <v>100</v>
      </c>
      <c r="BP71" s="310">
        <f>IF(BM72=0,"-",(BM71/BM72)*BO71)</f>
        <v>50.274686201624384</v>
      </c>
      <c r="BQ71" s="304"/>
      <c r="BR71" s="24">
        <f>+PL!X11+PL!X17</f>
        <v>46795.682186697471</v>
      </c>
      <c r="BS71" s="306" t="s">
        <v>111</v>
      </c>
      <c r="BT71" s="308">
        <v>100</v>
      </c>
      <c r="BU71" s="310">
        <f>IF(BR72=0,"-",(BR71/BR72)*BT71)</f>
        <v>51.32779019154551</v>
      </c>
      <c r="BV71" s="304"/>
      <c r="BW71" s="24">
        <f>+PL!Y11+PL!Y17</f>
        <v>44187.334096149054</v>
      </c>
      <c r="BX71" s="306" t="s">
        <v>111</v>
      </c>
      <c r="BY71" s="308">
        <v>100</v>
      </c>
      <c r="BZ71" s="310">
        <f>IF(BW72=0,"-",(BW71/BW72)*BY71)</f>
        <v>49.209527491711079</v>
      </c>
      <c r="CA71" s="304"/>
      <c r="CB71" s="24">
        <f>+PL!Z11+PL!Z17</f>
        <v>45798.151345496059</v>
      </c>
      <c r="CC71" s="306" t="s">
        <v>111</v>
      </c>
      <c r="CD71" s="308">
        <v>100</v>
      </c>
      <c r="CE71" s="310">
        <f>IF(CB72=0,"-",(CB71/CB72)*CD71)</f>
        <v>53.201024376507512</v>
      </c>
      <c r="CF71" s="304"/>
      <c r="CG71" s="24">
        <f>+PL!AA11+PL!AA17</f>
        <v>49033.847006384771</v>
      </c>
      <c r="CH71" s="306" t="s">
        <v>112</v>
      </c>
      <c r="CI71" s="308">
        <v>100</v>
      </c>
      <c r="CJ71" s="310">
        <f>IF(CG72=0,"-",(CG71/CG72)*CI71)</f>
        <v>44.803451173065142</v>
      </c>
      <c r="CK71" s="304"/>
      <c r="CL71" s="24">
        <f>+PL!AB11+PL!AB17</f>
        <v>46981.922348944427</v>
      </c>
      <c r="CM71" s="306" t="s">
        <v>111</v>
      </c>
      <c r="CN71" s="308">
        <v>100</v>
      </c>
      <c r="CO71" s="310">
        <f>IF(CL72=0,"-",(CL71/CL72)*CN71)</f>
        <v>48.725662709838787</v>
      </c>
      <c r="CP71" s="304"/>
      <c r="CQ71" s="24">
        <f>+PL!AC11+PL!AC17</f>
        <v>49018.605225138454</v>
      </c>
      <c r="CR71" s="306" t="s">
        <v>111</v>
      </c>
      <c r="CS71" s="308">
        <v>100</v>
      </c>
      <c r="CT71" s="310">
        <f>IF(CQ72=0,"-",(CQ71/CQ72)*CS71)</f>
        <v>44.235938283882888</v>
      </c>
    </row>
    <row r="72" spans="1:98" ht="18" customHeight="1" x14ac:dyDescent="0.2">
      <c r="A72" s="17"/>
      <c r="B72" s="321"/>
      <c r="C72" s="323"/>
      <c r="D72" s="305"/>
      <c r="E72" s="25">
        <f>+E69</f>
        <v>80211.725160652306</v>
      </c>
      <c r="F72" s="307"/>
      <c r="G72" s="309"/>
      <c r="H72" s="311"/>
      <c r="I72" s="305"/>
      <c r="J72" s="25">
        <f>+J69</f>
        <v>98201.513213981249</v>
      </c>
      <c r="K72" s="307"/>
      <c r="L72" s="309"/>
      <c r="M72" s="311"/>
      <c r="N72" s="305"/>
      <c r="O72" s="25">
        <f>+O69</f>
        <v>83971.303673487389</v>
      </c>
      <c r="P72" s="307"/>
      <c r="Q72" s="309"/>
      <c r="R72" s="311"/>
      <c r="S72" s="305"/>
      <c r="T72" s="25">
        <f>+T69</f>
        <v>85362.729767710145</v>
      </c>
      <c r="U72" s="307"/>
      <c r="V72" s="309"/>
      <c r="W72" s="311"/>
      <c r="X72" s="305"/>
      <c r="Y72" s="25">
        <f>+Y69</f>
        <v>76259.072636423647</v>
      </c>
      <c r="Z72" s="307"/>
      <c r="AA72" s="309"/>
      <c r="AB72" s="311"/>
      <c r="AC72" s="305"/>
      <c r="AD72" s="25">
        <f>+AD69</f>
        <v>88500.241430049398</v>
      </c>
      <c r="AE72" s="307"/>
      <c r="AF72" s="309"/>
      <c r="AG72" s="311"/>
      <c r="AH72" s="305"/>
      <c r="AI72" s="25">
        <f>+AI69</f>
        <v>87932.049582930806</v>
      </c>
      <c r="AJ72" s="307"/>
      <c r="AK72" s="309"/>
      <c r="AL72" s="311"/>
      <c r="AM72" s="305"/>
      <c r="AN72" s="25">
        <f>+AN69</f>
        <v>66941.244476116583</v>
      </c>
      <c r="AO72" s="307"/>
      <c r="AP72" s="309"/>
      <c r="AQ72" s="311"/>
      <c r="AR72" s="305"/>
      <c r="AS72" s="25">
        <f>+AS69</f>
        <v>71458.905409387327</v>
      </c>
      <c r="AT72" s="307"/>
      <c r="AU72" s="309"/>
      <c r="AV72" s="311"/>
      <c r="AW72" s="305"/>
      <c r="AX72" s="25">
        <f>+AX69</f>
        <v>77021.811781065553</v>
      </c>
      <c r="AY72" s="307"/>
      <c r="AZ72" s="309"/>
      <c r="BA72" s="311"/>
      <c r="BB72" s="305"/>
      <c r="BC72" s="25">
        <f>+BC69</f>
        <v>69510.304427645198</v>
      </c>
      <c r="BD72" s="307"/>
      <c r="BE72" s="309"/>
      <c r="BF72" s="311"/>
      <c r="BG72" s="305"/>
      <c r="BH72" s="25">
        <f>+BH69</f>
        <v>77270.38332064182</v>
      </c>
      <c r="BI72" s="307"/>
      <c r="BJ72" s="309"/>
      <c r="BK72" s="311"/>
      <c r="BL72" s="305"/>
      <c r="BM72" s="25">
        <f>+BM69</f>
        <v>79365.106414770606</v>
      </c>
      <c r="BN72" s="307"/>
      <c r="BO72" s="309"/>
      <c r="BP72" s="311"/>
      <c r="BQ72" s="305"/>
      <c r="BR72" s="25">
        <f>+BR69</f>
        <v>91170.264708581686</v>
      </c>
      <c r="BS72" s="307"/>
      <c r="BT72" s="309"/>
      <c r="BU72" s="311"/>
      <c r="BV72" s="305"/>
      <c r="BW72" s="25">
        <f>+BW69</f>
        <v>89794.266168461036</v>
      </c>
      <c r="BX72" s="307"/>
      <c r="BY72" s="309"/>
      <c r="BZ72" s="311"/>
      <c r="CA72" s="305"/>
      <c r="CB72" s="25">
        <f>+CB69</f>
        <v>86085.09306395911</v>
      </c>
      <c r="CC72" s="307"/>
      <c r="CD72" s="309"/>
      <c r="CE72" s="311"/>
      <c r="CF72" s="305"/>
      <c r="CG72" s="25">
        <f>+CG69</f>
        <v>109442.12046741358</v>
      </c>
      <c r="CH72" s="307"/>
      <c r="CI72" s="309"/>
      <c r="CJ72" s="311"/>
      <c r="CK72" s="305"/>
      <c r="CL72" s="25">
        <f>+CL69</f>
        <v>96421.310118903202</v>
      </c>
      <c r="CM72" s="307"/>
      <c r="CN72" s="309"/>
      <c r="CO72" s="311"/>
      <c r="CP72" s="305"/>
      <c r="CQ72" s="25">
        <f>+CQ69</f>
        <v>110811.72261016131</v>
      </c>
      <c r="CR72" s="307"/>
      <c r="CS72" s="309"/>
      <c r="CT72" s="311"/>
    </row>
    <row r="73" spans="1:98" ht="18" customHeight="1" x14ac:dyDescent="0.2">
      <c r="A73" s="17"/>
      <c r="B73" s="320" t="s">
        <v>288</v>
      </c>
      <c r="C73" s="322" t="s">
        <v>176</v>
      </c>
      <c r="D73" s="304"/>
      <c r="E73" s="24">
        <f>+E69</f>
        <v>80211.725160652306</v>
      </c>
      <c r="F73" s="306" t="s">
        <v>177</v>
      </c>
      <c r="G73" s="308">
        <v>100</v>
      </c>
      <c r="H73" s="310">
        <f>IF(E74=0,"-",(E73/E74)*G73)</f>
        <v>46.629564547715304</v>
      </c>
      <c r="I73" s="304"/>
      <c r="J73" s="24">
        <f>+J69</f>
        <v>98201.513213981249</v>
      </c>
      <c r="K73" s="306" t="s">
        <v>111</v>
      </c>
      <c r="L73" s="308">
        <v>100</v>
      </c>
      <c r="M73" s="310">
        <f>IF(J74=0,"-",(J73/J74)*L73)</f>
        <v>46.223255510662689</v>
      </c>
      <c r="N73" s="304"/>
      <c r="O73" s="24">
        <f>+O69</f>
        <v>83971.303673487389</v>
      </c>
      <c r="P73" s="306" t="s">
        <v>111</v>
      </c>
      <c r="Q73" s="308">
        <v>100</v>
      </c>
      <c r="R73" s="310">
        <f>IF(O74=0,"-",(O73/O74)*Q73)</f>
        <v>54.322194738737942</v>
      </c>
      <c r="S73" s="304"/>
      <c r="T73" s="24">
        <f>+T69</f>
        <v>85362.729767710145</v>
      </c>
      <c r="U73" s="306" t="s">
        <v>111</v>
      </c>
      <c r="V73" s="308">
        <v>100</v>
      </c>
      <c r="W73" s="310">
        <f>IF(T74=0,"-",(T73/T74)*V73)</f>
        <v>49.694539618600167</v>
      </c>
      <c r="X73" s="304"/>
      <c r="Y73" s="24">
        <f>+Y69</f>
        <v>76259.072636423647</v>
      </c>
      <c r="Z73" s="306" t="s">
        <v>111</v>
      </c>
      <c r="AA73" s="308">
        <v>100</v>
      </c>
      <c r="AB73" s="310">
        <f>IF(Y74=0,"-",(Y73/Y74)*AA73)</f>
        <v>46.752582253658183</v>
      </c>
      <c r="AC73" s="304"/>
      <c r="AD73" s="24">
        <f>+AD69</f>
        <v>88500.241430049398</v>
      </c>
      <c r="AE73" s="306" t="s">
        <v>111</v>
      </c>
      <c r="AF73" s="308">
        <v>100</v>
      </c>
      <c r="AG73" s="310">
        <f>IF(AD74=0,"-",(AD73/AD74)*AF73)</f>
        <v>44.26027863843197</v>
      </c>
      <c r="AH73" s="304"/>
      <c r="AI73" s="24">
        <f>+AI69</f>
        <v>87932.049582930806</v>
      </c>
      <c r="AJ73" s="306" t="s">
        <v>177</v>
      </c>
      <c r="AK73" s="308">
        <v>100</v>
      </c>
      <c r="AL73" s="310">
        <f>IF(AI74=0,"-",(AI73/AI74)*AK73)</f>
        <v>36.986127639238084</v>
      </c>
      <c r="AM73" s="304"/>
      <c r="AN73" s="24">
        <f>+AN69</f>
        <v>66941.244476116583</v>
      </c>
      <c r="AO73" s="306" t="s">
        <v>178</v>
      </c>
      <c r="AP73" s="308">
        <v>100</v>
      </c>
      <c r="AQ73" s="310">
        <f>IF(AN74=0,"-",(AN73/AN74)*AP73)</f>
        <v>42.397536843669613</v>
      </c>
      <c r="AR73" s="304"/>
      <c r="AS73" s="24">
        <f>+AS69</f>
        <v>71458.905409387327</v>
      </c>
      <c r="AT73" s="306" t="s">
        <v>111</v>
      </c>
      <c r="AU73" s="308">
        <v>100</v>
      </c>
      <c r="AV73" s="310">
        <f>IF(AS74=0,"-",(AS73/AS74)*AU73)</f>
        <v>46.80651521344771</v>
      </c>
      <c r="AW73" s="304"/>
      <c r="AX73" s="24">
        <f>+AX69</f>
        <v>77021.811781065553</v>
      </c>
      <c r="AY73" s="306" t="s">
        <v>111</v>
      </c>
      <c r="AZ73" s="308">
        <v>100</v>
      </c>
      <c r="BA73" s="310">
        <f>IF(AX74=0,"-",(AX73/AX74)*AZ73)</f>
        <v>57.432565335886601</v>
      </c>
      <c r="BB73" s="304"/>
      <c r="BC73" s="24">
        <f>+BC69</f>
        <v>69510.304427645198</v>
      </c>
      <c r="BD73" s="306" t="s">
        <v>111</v>
      </c>
      <c r="BE73" s="308">
        <v>100</v>
      </c>
      <c r="BF73" s="310">
        <f>IF(BC74=0,"-",(BC73/BC74)*BE73)</f>
        <v>50.717873502356703</v>
      </c>
      <c r="BG73" s="304"/>
      <c r="BH73" s="24">
        <f>+BH69</f>
        <v>77270.38332064182</v>
      </c>
      <c r="BI73" s="306" t="s">
        <v>111</v>
      </c>
      <c r="BJ73" s="308">
        <v>100</v>
      </c>
      <c r="BK73" s="310">
        <f>IF(BH74=0,"-",(BH73/BH74)*BJ73)</f>
        <v>42.173716140010221</v>
      </c>
      <c r="BL73" s="304"/>
      <c r="BM73" s="24">
        <f>+BM69</f>
        <v>79365.106414770606</v>
      </c>
      <c r="BN73" s="306" t="s">
        <v>111</v>
      </c>
      <c r="BO73" s="308">
        <v>100</v>
      </c>
      <c r="BP73" s="310">
        <f>IF(BM74=0,"-",(BM73/BM74)*BO73)</f>
        <v>41.618981387623244</v>
      </c>
      <c r="BQ73" s="304"/>
      <c r="BR73" s="24">
        <f>+BR69</f>
        <v>91170.264708581686</v>
      </c>
      <c r="BS73" s="306" t="s">
        <v>111</v>
      </c>
      <c r="BT73" s="308">
        <v>100</v>
      </c>
      <c r="BU73" s="310">
        <f>IF(BR74=0,"-",(BR73/BR74)*BT73)</f>
        <v>59.904416406613322</v>
      </c>
      <c r="BV73" s="304"/>
      <c r="BW73" s="24">
        <f>+BW69</f>
        <v>89794.266168461036</v>
      </c>
      <c r="BX73" s="306" t="s">
        <v>111</v>
      </c>
      <c r="BY73" s="308">
        <v>100</v>
      </c>
      <c r="BZ73" s="310">
        <f>IF(BW74=0,"-",(BW73/BW74)*BY73)</f>
        <v>46.208030817507492</v>
      </c>
      <c r="CA73" s="304"/>
      <c r="CB73" s="24">
        <f>+CB69</f>
        <v>86085.09306395911</v>
      </c>
      <c r="CC73" s="306" t="s">
        <v>111</v>
      </c>
      <c r="CD73" s="308">
        <v>100</v>
      </c>
      <c r="CE73" s="310">
        <f>IF(CB74=0,"-",(CB73/CB74)*CD73)</f>
        <v>52.373232368946653</v>
      </c>
      <c r="CF73" s="304"/>
      <c r="CG73" s="24">
        <f>+CG69</f>
        <v>109442.12046741358</v>
      </c>
      <c r="CH73" s="306" t="s">
        <v>178</v>
      </c>
      <c r="CI73" s="308">
        <v>100</v>
      </c>
      <c r="CJ73" s="310">
        <f>IF(CG74=0,"-",(CG73/CG74)*CI73)</f>
        <v>54.182157388219785</v>
      </c>
      <c r="CK73" s="304"/>
      <c r="CL73" s="24">
        <f>+CL69</f>
        <v>96421.310118903202</v>
      </c>
      <c r="CM73" s="306" t="s">
        <v>111</v>
      </c>
      <c r="CN73" s="308">
        <v>100</v>
      </c>
      <c r="CO73" s="310">
        <f>IF(CL74=0,"-",(CL73/CL74)*CN73)</f>
        <v>49.318347110195283</v>
      </c>
      <c r="CP73" s="304"/>
      <c r="CQ73" s="24">
        <f>+CQ69</f>
        <v>110811.72261016131</v>
      </c>
      <c r="CR73" s="306" t="s">
        <v>111</v>
      </c>
      <c r="CS73" s="308">
        <v>100</v>
      </c>
      <c r="CT73" s="310">
        <f>IF(CQ74=0,"-",(CQ73/CQ74)*CS73)</f>
        <v>61.974497687594109</v>
      </c>
    </row>
    <row r="74" spans="1:98" ht="18" customHeight="1" x14ac:dyDescent="0.2">
      <c r="A74" s="17"/>
      <c r="B74" s="321"/>
      <c r="C74" s="323"/>
      <c r="D74" s="305"/>
      <c r="E74" s="25">
        <f>+E7</f>
        <v>172019.03114186903</v>
      </c>
      <c r="F74" s="307"/>
      <c r="G74" s="309"/>
      <c r="H74" s="311"/>
      <c r="I74" s="305"/>
      <c r="J74" s="25">
        <f>+J7</f>
        <v>212450.44757033247</v>
      </c>
      <c r="K74" s="307"/>
      <c r="L74" s="309"/>
      <c r="M74" s="311"/>
      <c r="N74" s="305"/>
      <c r="O74" s="25">
        <f>+O7</f>
        <v>154580.10133306755</v>
      </c>
      <c r="P74" s="307"/>
      <c r="Q74" s="309"/>
      <c r="R74" s="311"/>
      <c r="S74" s="305"/>
      <c r="T74" s="25">
        <f>+T7</f>
        <v>171774.86786850065</v>
      </c>
      <c r="U74" s="307"/>
      <c r="V74" s="309"/>
      <c r="W74" s="311"/>
      <c r="X74" s="305"/>
      <c r="Y74" s="25">
        <f>+Y7</f>
        <v>163112.00143486558</v>
      </c>
      <c r="Z74" s="307"/>
      <c r="AA74" s="309"/>
      <c r="AB74" s="311"/>
      <c r="AC74" s="305"/>
      <c r="AD74" s="25">
        <f>+AD7</f>
        <v>199954.09914388359</v>
      </c>
      <c r="AE74" s="307"/>
      <c r="AF74" s="309"/>
      <c r="AG74" s="311"/>
      <c r="AH74" s="305"/>
      <c r="AI74" s="25">
        <f>+AI7</f>
        <v>237743.32485038225</v>
      </c>
      <c r="AJ74" s="307"/>
      <c r="AK74" s="309"/>
      <c r="AL74" s="311"/>
      <c r="AM74" s="305"/>
      <c r="AN74" s="25">
        <f>+AN7</f>
        <v>157889.46589738407</v>
      </c>
      <c r="AO74" s="307"/>
      <c r="AP74" s="309"/>
      <c r="AQ74" s="311"/>
      <c r="AR74" s="305"/>
      <c r="AS74" s="25">
        <f>+AS7</f>
        <v>152668.71520667465</v>
      </c>
      <c r="AT74" s="307"/>
      <c r="AU74" s="309"/>
      <c r="AV74" s="311"/>
      <c r="AW74" s="305"/>
      <c r="AX74" s="25">
        <f>+AX7</f>
        <v>134108.25605754138</v>
      </c>
      <c r="AY74" s="307"/>
      <c r="AZ74" s="309"/>
      <c r="BA74" s="311"/>
      <c r="BB74" s="305"/>
      <c r="BC74" s="25">
        <f>+BC7</f>
        <v>137052.87628909614</v>
      </c>
      <c r="BD74" s="307"/>
      <c r="BE74" s="309"/>
      <c r="BF74" s="311"/>
      <c r="BG74" s="305"/>
      <c r="BH74" s="25">
        <f>+BH7</f>
        <v>183219.29010029871</v>
      </c>
      <c r="BI74" s="307"/>
      <c r="BJ74" s="309"/>
      <c r="BK74" s="311"/>
      <c r="BL74" s="305"/>
      <c r="BM74" s="25">
        <f>+BM7</f>
        <v>190694.49508048844</v>
      </c>
      <c r="BN74" s="307"/>
      <c r="BO74" s="309"/>
      <c r="BP74" s="311"/>
      <c r="BQ74" s="305"/>
      <c r="BR74" s="25">
        <f>+BR7</f>
        <v>152192.89357523341</v>
      </c>
      <c r="BS74" s="307"/>
      <c r="BT74" s="309"/>
      <c r="BU74" s="311"/>
      <c r="BV74" s="305"/>
      <c r="BW74" s="25">
        <f>+BW7</f>
        <v>194326.10431526855</v>
      </c>
      <c r="BX74" s="307"/>
      <c r="BY74" s="309"/>
      <c r="BZ74" s="311"/>
      <c r="CA74" s="305"/>
      <c r="CB74" s="25">
        <f>+CB7</f>
        <v>164368.49354175248</v>
      </c>
      <c r="CC74" s="307"/>
      <c r="CD74" s="309"/>
      <c r="CE74" s="311"/>
      <c r="CF74" s="305"/>
      <c r="CG74" s="25">
        <f>+CG7</f>
        <v>201989.22623780268</v>
      </c>
      <c r="CH74" s="307"/>
      <c r="CI74" s="309"/>
      <c r="CJ74" s="311"/>
      <c r="CK74" s="305"/>
      <c r="CL74" s="25">
        <f>+CL7</f>
        <v>195507.99199223489</v>
      </c>
      <c r="CM74" s="307"/>
      <c r="CN74" s="309"/>
      <c r="CO74" s="311"/>
      <c r="CP74" s="305"/>
      <c r="CQ74" s="25">
        <f>+CQ7</f>
        <v>178802.13111004094</v>
      </c>
      <c r="CR74" s="307"/>
      <c r="CS74" s="309"/>
      <c r="CT74" s="311"/>
    </row>
    <row r="75" spans="1:98" ht="18" customHeight="1" x14ac:dyDescent="0.2">
      <c r="A75" s="17"/>
      <c r="B75" s="320" t="s">
        <v>179</v>
      </c>
      <c r="C75" s="322" t="s">
        <v>130</v>
      </c>
      <c r="D75" s="304"/>
      <c r="E75" s="24">
        <f>+E73</f>
        <v>80211.725160652306</v>
      </c>
      <c r="F75" s="306"/>
      <c r="G75" s="308"/>
      <c r="H75" s="312">
        <f>IF(E76=0,"-",(E75/E76))</f>
        <v>6399.6024609559481</v>
      </c>
      <c r="I75" s="304"/>
      <c r="J75" s="24">
        <f>+J73</f>
        <v>98201.513213981249</v>
      </c>
      <c r="K75" s="306"/>
      <c r="L75" s="308"/>
      <c r="M75" s="312">
        <f>IF(J76=0,"-",(J75/J76))</f>
        <v>7233.7020087445935</v>
      </c>
      <c r="N75" s="304"/>
      <c r="O75" s="24">
        <f>+O73</f>
        <v>83971.303673487389</v>
      </c>
      <c r="P75" s="306"/>
      <c r="Q75" s="308"/>
      <c r="R75" s="312">
        <f>IF(O76=0,"-",(O75/O76))</f>
        <v>6863.6743519011607</v>
      </c>
      <c r="S75" s="304"/>
      <c r="T75" s="24">
        <f>+T73</f>
        <v>85362.729767710145</v>
      </c>
      <c r="U75" s="306"/>
      <c r="V75" s="308"/>
      <c r="W75" s="312">
        <f>IF(T76=0,"-",(T75/T76))</f>
        <v>6541.4434067392749</v>
      </c>
      <c r="X75" s="304"/>
      <c r="Y75" s="24">
        <f>+Y73</f>
        <v>76259.072636423647</v>
      </c>
      <c r="Z75" s="306"/>
      <c r="AA75" s="308"/>
      <c r="AB75" s="312">
        <f>IF(Y76=0,"-",(Y75/Y76))</f>
        <v>6332.4942893548296</v>
      </c>
      <c r="AC75" s="304"/>
      <c r="AD75" s="24">
        <f>+AD73</f>
        <v>88500.241430049398</v>
      </c>
      <c r="AE75" s="306"/>
      <c r="AF75" s="308"/>
      <c r="AG75" s="312">
        <f>IF(AD76=0,"-",(AD75/AD76))</f>
        <v>6992.3890068408637</v>
      </c>
      <c r="AH75" s="304"/>
      <c r="AI75" s="24">
        <f>+AI73</f>
        <v>87932.049582930806</v>
      </c>
      <c r="AJ75" s="306"/>
      <c r="AK75" s="308"/>
      <c r="AL75" s="312">
        <f>IF(AI76=0,"-",(AI75/AI76))</f>
        <v>6821.1838481332688</v>
      </c>
      <c r="AM75" s="304"/>
      <c r="AN75" s="24">
        <f>+AN73</f>
        <v>66941.244476116583</v>
      </c>
      <c r="AO75" s="306"/>
      <c r="AP75" s="308"/>
      <c r="AQ75" s="312">
        <f>IF(AN76=0,"-",(AN75/AN76))</f>
        <v>5887.679870888408</v>
      </c>
      <c r="AR75" s="304"/>
      <c r="AS75" s="24">
        <f>+AS73</f>
        <v>71458.905409387327</v>
      </c>
      <c r="AT75" s="306"/>
      <c r="AU75" s="308"/>
      <c r="AV75" s="312">
        <f>IF(AS76=0,"-",(AS75/AS76))</f>
        <v>6044.1002207219426</v>
      </c>
      <c r="AW75" s="304"/>
      <c r="AX75" s="24">
        <f>+AX73</f>
        <v>77021.811781065553</v>
      </c>
      <c r="AY75" s="306"/>
      <c r="AZ75" s="308"/>
      <c r="BA75" s="312">
        <f>IF(AX76=0,"-",(AX75/AX76))</f>
        <v>6866.6741971465653</v>
      </c>
      <c r="BB75" s="304"/>
      <c r="BC75" s="24">
        <f>+BC73</f>
        <v>69510.304427645198</v>
      </c>
      <c r="BD75" s="306"/>
      <c r="BE75" s="308"/>
      <c r="BF75" s="312">
        <f>IF(BC76=0,"-",(BC75/BC76))</f>
        <v>6173.4661418568203</v>
      </c>
      <c r="BG75" s="304"/>
      <c r="BH75" s="24">
        <f>+BH73</f>
        <v>77270.38332064182</v>
      </c>
      <c r="BI75" s="306"/>
      <c r="BJ75" s="308"/>
      <c r="BK75" s="312">
        <f>IF(BH76=0,"-",(BH75/BH76))</f>
        <v>6886.8188374390302</v>
      </c>
      <c r="BL75" s="304"/>
      <c r="BM75" s="24">
        <f>+BM73</f>
        <v>79365.106414770606</v>
      </c>
      <c r="BN75" s="306"/>
      <c r="BO75" s="308"/>
      <c r="BP75" s="312">
        <f>IF(BM76=0,"-",(BM75/BM76))</f>
        <v>6673.9644971706612</v>
      </c>
      <c r="BQ75" s="304"/>
      <c r="BR75" s="24">
        <f>+BR73</f>
        <v>91170.264708581686</v>
      </c>
      <c r="BS75" s="306"/>
      <c r="BT75" s="308"/>
      <c r="BU75" s="312">
        <f>IF(BR76=0,"-",(BR75/BR76))</f>
        <v>7699.2721215006804</v>
      </c>
      <c r="BV75" s="304"/>
      <c r="BW75" s="24">
        <f>+BW73</f>
        <v>89794.266168461036</v>
      </c>
      <c r="BX75" s="306"/>
      <c r="BY75" s="308"/>
      <c r="BZ75" s="312">
        <f>IF(BW76=0,"-",(BW75/BW76))</f>
        <v>7385.155326766082</v>
      </c>
      <c r="CA75" s="304"/>
      <c r="CB75" s="24">
        <f>+CB73</f>
        <v>86085.09306395911</v>
      </c>
      <c r="CC75" s="306"/>
      <c r="CD75" s="308"/>
      <c r="CE75" s="312">
        <f>IF(CB76=0,"-",(CB75/CB76))</f>
        <v>7164.8995313091764</v>
      </c>
      <c r="CF75" s="304"/>
      <c r="CG75" s="24">
        <f>+CG73</f>
        <v>109442.12046741358</v>
      </c>
      <c r="CH75" s="306"/>
      <c r="CI75" s="308"/>
      <c r="CJ75" s="312">
        <f>IF(CG76=0,"-",(CG75/CG76))</f>
        <v>8365.2146553470484</v>
      </c>
      <c r="CK75" s="304"/>
      <c r="CL75" s="24">
        <f>+CL73</f>
        <v>96421.310118903202</v>
      </c>
      <c r="CM75" s="306"/>
      <c r="CN75" s="308"/>
      <c r="CO75" s="312">
        <f>IF(CL76=0,"-",(CL75/CL76))</f>
        <v>7730.9639379347254</v>
      </c>
      <c r="CP75" s="304"/>
      <c r="CQ75" s="24">
        <f>+CQ73</f>
        <v>110811.72261016131</v>
      </c>
      <c r="CR75" s="306"/>
      <c r="CS75" s="308"/>
      <c r="CT75" s="312">
        <f>IF(CQ76=0,"-",(CQ75/CQ76))</f>
        <v>8954.3737401253038</v>
      </c>
    </row>
    <row r="76" spans="1:98" ht="18" customHeight="1" x14ac:dyDescent="0.2">
      <c r="A76" s="21"/>
      <c r="B76" s="321"/>
      <c r="C76" s="323"/>
      <c r="D76" s="305"/>
      <c r="E76" s="25">
        <f>+PL!K5</f>
        <v>12.533860603064801</v>
      </c>
      <c r="F76" s="307"/>
      <c r="G76" s="309"/>
      <c r="H76" s="313"/>
      <c r="I76" s="305"/>
      <c r="J76" s="25">
        <f>+PL!L5</f>
        <v>13.575554134697358</v>
      </c>
      <c r="K76" s="307"/>
      <c r="L76" s="309"/>
      <c r="M76" s="313"/>
      <c r="N76" s="305"/>
      <c r="O76" s="25">
        <f>+PL!M5</f>
        <v>12.234161961694509</v>
      </c>
      <c r="P76" s="307"/>
      <c r="Q76" s="309"/>
      <c r="R76" s="313"/>
      <c r="S76" s="305"/>
      <c r="T76" s="25">
        <f>+PL!N5</f>
        <v>13.049525075729587</v>
      </c>
      <c r="U76" s="307"/>
      <c r="V76" s="309"/>
      <c r="W76" s="313"/>
      <c r="X76" s="305"/>
      <c r="Y76" s="25">
        <f>+PL!O5</f>
        <v>12.042501603928507</v>
      </c>
      <c r="Z76" s="307"/>
      <c r="AA76" s="309"/>
      <c r="AB76" s="313"/>
      <c r="AC76" s="305"/>
      <c r="AD76" s="25">
        <f>+PL!P5</f>
        <v>12.65665301851298</v>
      </c>
      <c r="AE76" s="307"/>
      <c r="AF76" s="309"/>
      <c r="AG76" s="313"/>
      <c r="AH76" s="305"/>
      <c r="AI76" s="25">
        <f>+PL!Q5</f>
        <v>12.891024716625235</v>
      </c>
      <c r="AJ76" s="307"/>
      <c r="AK76" s="309"/>
      <c r="AL76" s="313"/>
      <c r="AM76" s="305"/>
      <c r="AN76" s="25">
        <f>+PL!R5</f>
        <v>11.369715396230543</v>
      </c>
      <c r="AO76" s="307"/>
      <c r="AP76" s="309"/>
      <c r="AQ76" s="313"/>
      <c r="AR76" s="305"/>
      <c r="AS76" s="25">
        <f>+PL!S5</f>
        <v>11.822918680996302</v>
      </c>
      <c r="AT76" s="307"/>
      <c r="AU76" s="309"/>
      <c r="AV76" s="313"/>
      <c r="AW76" s="305"/>
      <c r="AX76" s="25">
        <f>+PL!T5</f>
        <v>11.216756404879648</v>
      </c>
      <c r="AY76" s="307"/>
      <c r="AZ76" s="309"/>
      <c r="BA76" s="313"/>
      <c r="BB76" s="305"/>
      <c r="BC76" s="25">
        <f>+PL!U5</f>
        <v>11.259526306681627</v>
      </c>
      <c r="BD76" s="307"/>
      <c r="BE76" s="309"/>
      <c r="BF76" s="313"/>
      <c r="BG76" s="305"/>
      <c r="BH76" s="25">
        <f>+PL!V5</f>
        <v>11.220040071415035</v>
      </c>
      <c r="BI76" s="307"/>
      <c r="BJ76" s="309"/>
      <c r="BK76" s="313"/>
      <c r="BL76" s="305"/>
      <c r="BM76" s="25">
        <f>+PL!W5</f>
        <v>11.891748367618137</v>
      </c>
      <c r="BN76" s="307"/>
      <c r="BO76" s="309"/>
      <c r="BP76" s="313"/>
      <c r="BQ76" s="305"/>
      <c r="BR76" s="25">
        <f>+PL!X5</f>
        <v>11.841413482968505</v>
      </c>
      <c r="BS76" s="307"/>
      <c r="BT76" s="309"/>
      <c r="BU76" s="313"/>
      <c r="BV76" s="305"/>
      <c r="BW76" s="25">
        <f>+PL!Y5</f>
        <v>12.158751196879896</v>
      </c>
      <c r="BX76" s="307"/>
      <c r="BY76" s="309"/>
      <c r="BZ76" s="313"/>
      <c r="CA76" s="305"/>
      <c r="CB76" s="25">
        <f>+PL!Z5</f>
        <v>12.014836033329496</v>
      </c>
      <c r="CC76" s="307"/>
      <c r="CD76" s="309"/>
      <c r="CE76" s="313"/>
      <c r="CF76" s="305"/>
      <c r="CG76" s="25">
        <f>+PL!AA5</f>
        <v>13.08300204794603</v>
      </c>
      <c r="CH76" s="307"/>
      <c r="CI76" s="309"/>
      <c r="CJ76" s="313"/>
      <c r="CK76" s="305"/>
      <c r="CL76" s="25">
        <f>+PL!AB5</f>
        <v>12.472094151904878</v>
      </c>
      <c r="CM76" s="307"/>
      <c r="CN76" s="309"/>
      <c r="CO76" s="313"/>
      <c r="CP76" s="305"/>
      <c r="CQ76" s="25">
        <f>+PL!AC5</f>
        <v>12.375150493619071</v>
      </c>
      <c r="CR76" s="307"/>
      <c r="CS76" s="309"/>
      <c r="CT76" s="313"/>
    </row>
    <row r="77" spans="1:98"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row>
    <row r="78" spans="1:98" ht="18" customHeight="1" x14ac:dyDescent="0.2">
      <c r="A78" s="20"/>
      <c r="B78" s="320" t="s">
        <v>181</v>
      </c>
      <c r="C78" s="322" t="s">
        <v>167</v>
      </c>
      <c r="D78" s="304"/>
      <c r="E78" s="24">
        <f>+BS!K33+BS!K34+BS!K38+BS!K39+BS!K40</f>
        <v>72652.496292634722</v>
      </c>
      <c r="F78" s="306" t="s">
        <v>168</v>
      </c>
      <c r="G78" s="308">
        <v>100</v>
      </c>
      <c r="H78" s="310">
        <f>IF(E79=0,"-",(E78/E79)*G78)</f>
        <v>42.23515026817941</v>
      </c>
      <c r="I78" s="304"/>
      <c r="J78" s="24">
        <f>+BS!L33+BS!L34+BS!L38+BS!L39+BS!L40</f>
        <v>117627.45098039215</v>
      </c>
      <c r="K78" s="306" t="s">
        <v>111</v>
      </c>
      <c r="L78" s="308">
        <v>100</v>
      </c>
      <c r="M78" s="310">
        <f>IF(J79=0,"-",(J78/J79)*L78)</f>
        <v>55.367005494987801</v>
      </c>
      <c r="N78" s="304"/>
      <c r="O78" s="24">
        <f>+BS!M33+BS!M34+BS!M38+BS!M39+BS!M40</f>
        <v>64068.006326697665</v>
      </c>
      <c r="P78" s="306" t="s">
        <v>111</v>
      </c>
      <c r="Q78" s="308">
        <v>100</v>
      </c>
      <c r="R78" s="310">
        <f>IF(O79=0,"-",(O78/O79)*Q78)</f>
        <v>41.44647711716329</v>
      </c>
      <c r="S78" s="304"/>
      <c r="T78" s="24">
        <f>+BS!N33+BS!N34+BS!N38+BS!N39+BS!N40</f>
        <v>65672.914169468117</v>
      </c>
      <c r="U78" s="306" t="s">
        <v>111</v>
      </c>
      <c r="V78" s="308">
        <v>100</v>
      </c>
      <c r="W78" s="310">
        <f>IF(T79=0,"-",(T78/T79)*V78)</f>
        <v>38.231968962853699</v>
      </c>
      <c r="X78" s="304"/>
      <c r="Y78" s="24">
        <f>+BS!O33+BS!O34+BS!O38+BS!O39+BS!O40</f>
        <v>79867.005217781363</v>
      </c>
      <c r="Z78" s="306" t="s">
        <v>111</v>
      </c>
      <c r="AA78" s="308">
        <v>100</v>
      </c>
      <c r="AB78" s="310">
        <f>IF(Y79=0,"-",(Y78/Y79)*AA78)</f>
        <v>48.964517947916981</v>
      </c>
      <c r="AC78" s="304"/>
      <c r="AD78" s="24">
        <f>+BS!P33+BS!P34+BS!P38+BS!P39+BS!P40</f>
        <v>86256.354903642408</v>
      </c>
      <c r="AE78" s="306" t="s">
        <v>111</v>
      </c>
      <c r="AF78" s="308">
        <v>100</v>
      </c>
      <c r="AG78" s="310">
        <f>IF(AD79=0,"-",(AD78/AD79)*AF78)</f>
        <v>43.1380778253382</v>
      </c>
      <c r="AH78" s="304"/>
      <c r="AI78" s="24">
        <f>+BS!Q33+BS!Q34+BS!Q38+BS!Q39+BS!Q40</f>
        <v>97370.448415401261</v>
      </c>
      <c r="AJ78" s="306" t="s">
        <v>168</v>
      </c>
      <c r="AK78" s="308">
        <v>100</v>
      </c>
      <c r="AL78" s="310">
        <f>IF(AI79=0,"-",(AI78/AI79)*AK78)</f>
        <v>40.956122943379754</v>
      </c>
      <c r="AM78" s="304"/>
      <c r="AN78" s="24">
        <f>+BS!R33+BS!R34+BS!R38+BS!R39+BS!R40</f>
        <v>82397.102769942721</v>
      </c>
      <c r="AO78" s="306" t="s">
        <v>168</v>
      </c>
      <c r="AP78" s="308">
        <v>100</v>
      </c>
      <c r="AQ78" s="310">
        <f>IF(AN79=0,"-",(AN78/AN79)*AP78)</f>
        <v>52.186573880422436</v>
      </c>
      <c r="AR78" s="304"/>
      <c r="AS78" s="24">
        <f>+BS!S33+BS!S34+BS!S38+BS!S39+BS!S40</f>
        <v>72055.796425449676</v>
      </c>
      <c r="AT78" s="306" t="s">
        <v>111</v>
      </c>
      <c r="AU78" s="308">
        <v>100</v>
      </c>
      <c r="AV78" s="310">
        <f>IF(AS79=0,"-",(AS78/AS79)*AU78)</f>
        <v>47.197486615318951</v>
      </c>
      <c r="AW78" s="304"/>
      <c r="AX78" s="24">
        <f>+BS!T33+BS!T34+BS!T38+BS!T39+BS!T40</f>
        <v>61452.090927936428</v>
      </c>
      <c r="AY78" s="306" t="s">
        <v>111</v>
      </c>
      <c r="AZ78" s="308">
        <v>100</v>
      </c>
      <c r="BA78" s="310">
        <f>IF(AX79=0,"-",(AX78/AX79)*AZ78)</f>
        <v>45.822750018887263</v>
      </c>
      <c r="BB78" s="304"/>
      <c r="BC78" s="24">
        <f>+BS!U33+BS!U34+BS!U38+BS!U39+BS!U40</f>
        <v>55993.422923187849</v>
      </c>
      <c r="BD78" s="306" t="s">
        <v>111</v>
      </c>
      <c r="BE78" s="308">
        <v>100</v>
      </c>
      <c r="BF78" s="310">
        <f>IF(BC79=0,"-",(BC78/BC79)*BE78)</f>
        <v>40.855343163376325</v>
      </c>
      <c r="BG78" s="304"/>
      <c r="BH78" s="24">
        <f>+BS!V33+BS!V34+BS!V38+BS!V39+BS!V40</f>
        <v>66064.574578398751</v>
      </c>
      <c r="BI78" s="306" t="s">
        <v>111</v>
      </c>
      <c r="BJ78" s="308">
        <v>100</v>
      </c>
      <c r="BK78" s="310">
        <f>IF(BH79=0,"-",(BH78/BH79)*BJ78)</f>
        <v>36.057652304096031</v>
      </c>
      <c r="BL78" s="304"/>
      <c r="BM78" s="24">
        <f>+BS!W33+BS!W34+BS!W38+BS!W39+BS!W40</f>
        <v>60418.381980535967</v>
      </c>
      <c r="BN78" s="306" t="s">
        <v>111</v>
      </c>
      <c r="BO78" s="308">
        <v>100</v>
      </c>
      <c r="BP78" s="310">
        <f>IF(BM79=0,"-",(BM78/BM79)*BO78)</f>
        <v>31.683338291980867</v>
      </c>
      <c r="BQ78" s="304"/>
      <c r="BR78" s="24">
        <f>+BS!X33+BS!X34+BS!X38+BS!X39+BS!X40</f>
        <v>66117.477752073173</v>
      </c>
      <c r="BS78" s="306" t="s">
        <v>111</v>
      </c>
      <c r="BT78" s="308">
        <v>100</v>
      </c>
      <c r="BU78" s="310">
        <f>IF(BR79=0,"-",(BR78/BR79)*BT78)</f>
        <v>43.443209599920884</v>
      </c>
      <c r="BV78" s="304"/>
      <c r="BW78" s="24">
        <f>+BS!Y33+BS!Y34+BS!Y38+BS!Y39+BS!Y40</f>
        <v>62361.556420184221</v>
      </c>
      <c r="BX78" s="306" t="s">
        <v>111</v>
      </c>
      <c r="BY78" s="308">
        <v>100</v>
      </c>
      <c r="BZ78" s="310">
        <f>IF(BW79=0,"-",(BW78/BW79)*BY78)</f>
        <v>32.091188489535504</v>
      </c>
      <c r="CA78" s="304"/>
      <c r="CB78" s="24">
        <f>+BS!Z33+BS!Z34+BS!Z38+BS!Z39+BS!Z40</f>
        <v>71954.064098286035</v>
      </c>
      <c r="CC78" s="306" t="s">
        <v>111</v>
      </c>
      <c r="CD78" s="308">
        <v>100</v>
      </c>
      <c r="CE78" s="310">
        <f>IF(CB79=0,"-",(CB78/CB79)*CD78)</f>
        <v>43.77606836191417</v>
      </c>
      <c r="CF78" s="304"/>
      <c r="CG78" s="24">
        <f>+BS!AA33+BS!AA34+BS!AA38+BS!AA39+BS!AA40</f>
        <v>79868.8801349235</v>
      </c>
      <c r="CH78" s="306" t="s">
        <v>168</v>
      </c>
      <c r="CI78" s="308">
        <v>100</v>
      </c>
      <c r="CJ78" s="310">
        <f>IF(CG79=0,"-",(CG78/CG79)*CI78)</f>
        <v>39.541158517481307</v>
      </c>
      <c r="CK78" s="304"/>
      <c r="CL78" s="24">
        <f>+BS!AB33+BS!AB34+BS!AB38+BS!AB39+BS!AB40</f>
        <v>73848.169133705407</v>
      </c>
      <c r="CM78" s="306" t="s">
        <v>111</v>
      </c>
      <c r="CN78" s="308">
        <v>100</v>
      </c>
      <c r="CO78" s="310">
        <f>IF(CL79=0,"-",(CL78/CL79)*CN78)</f>
        <v>37.772455428133334</v>
      </c>
      <c r="CP78" s="304"/>
      <c r="CQ78" s="24">
        <f>+BS!AC33+BS!AC34+BS!AC38+BS!AC39+BS!AC40</f>
        <v>72264.589092222493</v>
      </c>
      <c r="CR78" s="306" t="s">
        <v>111</v>
      </c>
      <c r="CS78" s="308">
        <v>100</v>
      </c>
      <c r="CT78" s="310">
        <f>IF(CQ79=0,"-",(CQ78/CQ79)*CS78)</f>
        <v>40.415955136322395</v>
      </c>
    </row>
    <row r="79" spans="1:98" ht="18" customHeight="1" x14ac:dyDescent="0.2">
      <c r="A79" s="22"/>
      <c r="B79" s="321"/>
      <c r="C79" s="323"/>
      <c r="D79" s="305"/>
      <c r="E79" s="25">
        <f>+E7</f>
        <v>172019.03114186903</v>
      </c>
      <c r="F79" s="307"/>
      <c r="G79" s="309"/>
      <c r="H79" s="311"/>
      <c r="I79" s="305"/>
      <c r="J79" s="25">
        <f>+J7</f>
        <v>212450.44757033247</v>
      </c>
      <c r="K79" s="307"/>
      <c r="L79" s="309"/>
      <c r="M79" s="311"/>
      <c r="N79" s="305"/>
      <c r="O79" s="25">
        <f>+O7</f>
        <v>154580.10133306755</v>
      </c>
      <c r="P79" s="307"/>
      <c r="Q79" s="309"/>
      <c r="R79" s="311"/>
      <c r="S79" s="305"/>
      <c r="T79" s="25">
        <f>+T7</f>
        <v>171774.86786850065</v>
      </c>
      <c r="U79" s="307"/>
      <c r="V79" s="309"/>
      <c r="W79" s="311"/>
      <c r="X79" s="305"/>
      <c r="Y79" s="25">
        <f>+Y7</f>
        <v>163112.00143486558</v>
      </c>
      <c r="Z79" s="307"/>
      <c r="AA79" s="309"/>
      <c r="AB79" s="311"/>
      <c r="AC79" s="305"/>
      <c r="AD79" s="25">
        <f>+AD7</f>
        <v>199954.09914388359</v>
      </c>
      <c r="AE79" s="307"/>
      <c r="AF79" s="309"/>
      <c r="AG79" s="311"/>
      <c r="AH79" s="305"/>
      <c r="AI79" s="25">
        <f>+AI7</f>
        <v>237743.32485038225</v>
      </c>
      <c r="AJ79" s="307"/>
      <c r="AK79" s="309"/>
      <c r="AL79" s="311"/>
      <c r="AM79" s="305"/>
      <c r="AN79" s="25">
        <f>+AN7</f>
        <v>157889.46589738407</v>
      </c>
      <c r="AO79" s="307"/>
      <c r="AP79" s="309"/>
      <c r="AQ79" s="311"/>
      <c r="AR79" s="305"/>
      <c r="AS79" s="25">
        <f>+AS7</f>
        <v>152668.71520667465</v>
      </c>
      <c r="AT79" s="307"/>
      <c r="AU79" s="309"/>
      <c r="AV79" s="311"/>
      <c r="AW79" s="305"/>
      <c r="AX79" s="25">
        <f>+AX7</f>
        <v>134108.25605754138</v>
      </c>
      <c r="AY79" s="307"/>
      <c r="AZ79" s="309"/>
      <c r="BA79" s="311"/>
      <c r="BB79" s="305"/>
      <c r="BC79" s="25">
        <f>+BC7</f>
        <v>137052.87628909614</v>
      </c>
      <c r="BD79" s="307"/>
      <c r="BE79" s="309"/>
      <c r="BF79" s="311"/>
      <c r="BG79" s="305"/>
      <c r="BH79" s="25">
        <f>+BH7</f>
        <v>183219.29010029871</v>
      </c>
      <c r="BI79" s="307"/>
      <c r="BJ79" s="309"/>
      <c r="BK79" s="311"/>
      <c r="BL79" s="305"/>
      <c r="BM79" s="25">
        <f>+BM7</f>
        <v>190694.49508048844</v>
      </c>
      <c r="BN79" s="307"/>
      <c r="BO79" s="309"/>
      <c r="BP79" s="311"/>
      <c r="BQ79" s="305"/>
      <c r="BR79" s="25">
        <f>+BR7</f>
        <v>152192.89357523341</v>
      </c>
      <c r="BS79" s="307"/>
      <c r="BT79" s="309"/>
      <c r="BU79" s="311"/>
      <c r="BV79" s="305"/>
      <c r="BW79" s="25">
        <f>+BW7</f>
        <v>194326.10431526855</v>
      </c>
      <c r="BX79" s="307"/>
      <c r="BY79" s="309"/>
      <c r="BZ79" s="311"/>
      <c r="CA79" s="305"/>
      <c r="CB79" s="25">
        <f>+CB7</f>
        <v>164368.49354175248</v>
      </c>
      <c r="CC79" s="307"/>
      <c r="CD79" s="309"/>
      <c r="CE79" s="311"/>
      <c r="CF79" s="305"/>
      <c r="CG79" s="25">
        <f>+CG7</f>
        <v>201989.22623780268</v>
      </c>
      <c r="CH79" s="307"/>
      <c r="CI79" s="309"/>
      <c r="CJ79" s="311"/>
      <c r="CK79" s="305"/>
      <c r="CL79" s="25">
        <f>+CL7</f>
        <v>195507.99199223489</v>
      </c>
      <c r="CM79" s="307"/>
      <c r="CN79" s="309"/>
      <c r="CO79" s="311"/>
      <c r="CP79" s="305"/>
      <c r="CQ79" s="25">
        <f>+CQ7</f>
        <v>178802.13111004094</v>
      </c>
      <c r="CR79" s="307"/>
      <c r="CS79" s="309"/>
      <c r="CT79" s="311"/>
    </row>
    <row r="80" spans="1:98" ht="18" customHeight="1" x14ac:dyDescent="0.2">
      <c r="A80" s="20"/>
      <c r="B80" s="320" t="s">
        <v>573</v>
      </c>
      <c r="C80" s="322" t="s">
        <v>441</v>
      </c>
      <c r="D80" s="304"/>
      <c r="E80" s="24">
        <f>E78-BS!K10</f>
        <v>43101.334651507721</v>
      </c>
      <c r="F80" s="306"/>
      <c r="G80" s="308">
        <v>1</v>
      </c>
      <c r="H80" s="310">
        <f>IF(E81=0,"-",(E80/E81)*G80)</f>
        <v>10.103580413000678</v>
      </c>
      <c r="I80" s="304"/>
      <c r="J80" s="24">
        <f>J78-BS!L10</f>
        <v>91122.868712702475</v>
      </c>
      <c r="K80" s="306" t="s">
        <v>111</v>
      </c>
      <c r="L80" s="308">
        <v>1</v>
      </c>
      <c r="M80" s="310">
        <f>IF(J81=0,"-",(J80/J81)*L80)</f>
        <v>25.780005426753899</v>
      </c>
      <c r="N80" s="304"/>
      <c r="O80" s="24">
        <f>O78-BS!M10</f>
        <v>28741.54145326314</v>
      </c>
      <c r="P80" s="306" t="s">
        <v>111</v>
      </c>
      <c r="Q80" s="308">
        <v>1</v>
      </c>
      <c r="R80" s="310">
        <f>IF(O81=0,"-",(O80/O81)*Q80)</f>
        <v>10.664359978691746</v>
      </c>
      <c r="S80" s="304"/>
      <c r="T80" s="24">
        <f>T78-BS!N9</f>
        <v>-29519.570632038987</v>
      </c>
      <c r="U80" s="306" t="s">
        <v>111</v>
      </c>
      <c r="V80" s="308">
        <v>1</v>
      </c>
      <c r="W80" s="310">
        <f>IF(T81=0,"-",(T80/T81)*V80)</f>
        <v>-8.6458431721032341</v>
      </c>
      <c r="X80" s="304"/>
      <c r="Y80" s="24">
        <f>Y78-BS!O10</f>
        <v>50132.45052173359</v>
      </c>
      <c r="Z80" s="306" t="s">
        <v>111</v>
      </c>
      <c r="AA80" s="308">
        <v>1</v>
      </c>
      <c r="AB80" s="310">
        <f>IF(Y81=0,"-",(Y80/Y81)*AA80)</f>
        <v>15.608045732903689</v>
      </c>
      <c r="AC80" s="304"/>
      <c r="AD80" s="24">
        <f>AD78-BS!P10</f>
        <v>60366.504129442415</v>
      </c>
      <c r="AE80" s="306" t="s">
        <v>111</v>
      </c>
      <c r="AF80" s="308">
        <v>1</v>
      </c>
      <c r="AG80" s="310">
        <f>IF(AD81=0,"-",(AD80/AD81)*AF80)</f>
        <v>14.195253051942791</v>
      </c>
      <c r="AH80" s="304"/>
      <c r="AI80" s="24">
        <f>AI78-BS!Q10</f>
        <v>66080.841272293066</v>
      </c>
      <c r="AJ80" s="306" t="s">
        <v>111</v>
      </c>
      <c r="AK80" s="308">
        <v>1</v>
      </c>
      <c r="AL80" s="310">
        <f>IF(AI81=0,"-",(AI80/AI81)*AK80)</f>
        <v>118.1339361557358</v>
      </c>
      <c r="AM80" s="304"/>
      <c r="AN80" s="24">
        <f>AN78-BS!R10</f>
        <v>60684.274503030952</v>
      </c>
      <c r="AO80" s="306" t="s">
        <v>111</v>
      </c>
      <c r="AP80" s="308">
        <v>1</v>
      </c>
      <c r="AQ80" s="310">
        <f>IF(AN81=0,"-",(AN80/AN81)*AP80)</f>
        <v>32.557447329308701</v>
      </c>
      <c r="AR80" s="304"/>
      <c r="AS80" s="24">
        <f>AS78-BS!S10</f>
        <v>48926.395320860356</v>
      </c>
      <c r="AT80" s="306" t="s">
        <v>111</v>
      </c>
      <c r="AU80" s="308">
        <v>1</v>
      </c>
      <c r="AV80" s="310">
        <f>IF(AS81=0,"-",(AS80/AS81)*AU80)</f>
        <v>9.4915323008197205</v>
      </c>
      <c r="AW80" s="304"/>
      <c r="AX80" s="24">
        <f>AX78-BS!T10</f>
        <v>38102.266211255468</v>
      </c>
      <c r="AY80" s="306" t="s">
        <v>111</v>
      </c>
      <c r="AZ80" s="308">
        <v>1</v>
      </c>
      <c r="BA80" s="310">
        <f>IF(AX81=0,"-",(AX80/AX81)*AZ80)</f>
        <v>8.0390856030978579</v>
      </c>
      <c r="BB80" s="304"/>
      <c r="BC80" s="24">
        <f>BC78-BS!U10</f>
        <v>28319.206957667015</v>
      </c>
      <c r="BD80" s="306" t="s">
        <v>111</v>
      </c>
      <c r="BE80" s="308">
        <v>1</v>
      </c>
      <c r="BF80" s="310">
        <f>IF(BC81=0,"-",(BC80/BC81)*BE80)</f>
        <v>4.9242625097930244</v>
      </c>
      <c r="BG80" s="304"/>
      <c r="BH80" s="24">
        <f>BH78-BS!V10</f>
        <v>29587.91999330098</v>
      </c>
      <c r="BI80" s="306" t="s">
        <v>111</v>
      </c>
      <c r="BJ80" s="308">
        <v>1</v>
      </c>
      <c r="BK80" s="310">
        <f>IF(BH81=0,"-",(BH80/BH81)*BJ80)</f>
        <v>3.8181900605926375</v>
      </c>
      <c r="BL80" s="304"/>
      <c r="BM80" s="24">
        <f>BM78-BS!W10</f>
        <v>24759.606901469073</v>
      </c>
      <c r="BN80" s="306" t="s">
        <v>111</v>
      </c>
      <c r="BO80" s="308">
        <v>1</v>
      </c>
      <c r="BP80" s="310">
        <f>IF(BM81=0,"-",(BM80/BM81)*BO80)</f>
        <v>2.9674015573369865</v>
      </c>
      <c r="BQ80" s="304"/>
      <c r="BR80" s="24">
        <f>BR78-BS!X10</f>
        <v>36309.94069005952</v>
      </c>
      <c r="BS80" s="306" t="s">
        <v>111</v>
      </c>
      <c r="BT80" s="308">
        <v>1</v>
      </c>
      <c r="BU80" s="310">
        <f>IF(BR81=0,"-",(BR80/BR81)*BT80)</f>
        <v>4.6691573262253492</v>
      </c>
      <c r="BV80" s="304"/>
      <c r="BW80" s="24">
        <f>BW78-BS!Y10</f>
        <v>23626.036481704206</v>
      </c>
      <c r="BX80" s="306" t="s">
        <v>111</v>
      </c>
      <c r="BY80" s="308">
        <v>1</v>
      </c>
      <c r="BZ80" s="310">
        <f>IF(BW81=0,"-",(BW80/BW81)*BY80)</f>
        <v>2.5159627644492235</v>
      </c>
      <c r="CA80" s="304"/>
      <c r="CB80" s="24">
        <f>CB78-BS!Z10</f>
        <v>36688.839456233844</v>
      </c>
      <c r="CC80" s="306" t="s">
        <v>111</v>
      </c>
      <c r="CD80" s="308">
        <v>1</v>
      </c>
      <c r="CE80" s="310">
        <f>IF(CB81=0,"-",(CB80/CB81)*CD80)</f>
        <v>5.1365478667158442</v>
      </c>
      <c r="CF80" s="304"/>
      <c r="CG80" s="24">
        <f>CG78-BS!AA10</f>
        <v>37338.439103722441</v>
      </c>
      <c r="CH80" s="306" t="s">
        <v>111</v>
      </c>
      <c r="CI80" s="308">
        <v>1</v>
      </c>
      <c r="CJ80" s="310">
        <f>IF(CG81=0,"-",(CG80/CG81)*CI80)</f>
        <v>4.2458216695732744</v>
      </c>
      <c r="CK80" s="304"/>
      <c r="CL80" s="24">
        <f>CL78-BS!AB10</f>
        <v>21883.091967968932</v>
      </c>
      <c r="CM80" s="306" t="s">
        <v>111</v>
      </c>
      <c r="CN80" s="308">
        <v>1</v>
      </c>
      <c r="CO80" s="310">
        <f>IF(CL81=0,"-",(CL80/CL81)*CN80)</f>
        <v>4.1625275129790156</v>
      </c>
      <c r="CP80" s="304"/>
      <c r="CQ80" s="24">
        <f>CQ78-BS!AC10</f>
        <v>28442.906212376598</v>
      </c>
      <c r="CR80" s="306" t="s">
        <v>111</v>
      </c>
      <c r="CS80" s="308">
        <v>1</v>
      </c>
      <c r="CT80" s="310">
        <f>IF(CQ81=0,"-",(CQ80/CQ81)*CS80)</f>
        <v>4.8950496170029876</v>
      </c>
    </row>
    <row r="81" spans="1:98" ht="18" customHeight="1" x14ac:dyDescent="0.2">
      <c r="A81" s="22"/>
      <c r="B81" s="321"/>
      <c r="C81" s="323"/>
      <c r="D81" s="305"/>
      <c r="E81" s="25">
        <f>PL!K28+PL!K13+PL!K24</f>
        <v>4265.9466139397</v>
      </c>
      <c r="F81" s="307"/>
      <c r="G81" s="309"/>
      <c r="H81" s="311"/>
      <c r="I81" s="305"/>
      <c r="J81" s="25">
        <f>PL!L28+PL!L13+PL!L24</f>
        <v>3534.633418584825</v>
      </c>
      <c r="K81" s="307"/>
      <c r="L81" s="309"/>
      <c r="M81" s="311"/>
      <c r="N81" s="305"/>
      <c r="O81" s="25">
        <f>PL!M28+PL!M13+PL!M24</f>
        <v>2695.1023325066922</v>
      </c>
      <c r="P81" s="307"/>
      <c r="Q81" s="309"/>
      <c r="R81" s="311"/>
      <c r="S81" s="305"/>
      <c r="T81" s="25">
        <f>PL!N28+PL!N13+PL!N24</f>
        <v>3414.3078985387028</v>
      </c>
      <c r="U81" s="307"/>
      <c r="V81" s="309"/>
      <c r="W81" s="311"/>
      <c r="X81" s="305"/>
      <c r="Y81" s="25">
        <f>PL!O28+PL!O13+PL!O24</f>
        <v>3211.9620469876118</v>
      </c>
      <c r="Z81" s="307"/>
      <c r="AA81" s="309"/>
      <c r="AB81" s="311"/>
      <c r="AC81" s="305"/>
      <c r="AD81" s="25">
        <f>PL!P28+PL!P13+PL!P24</f>
        <v>4252.5838678994551</v>
      </c>
      <c r="AE81" s="307"/>
      <c r="AF81" s="309"/>
      <c r="AG81" s="311"/>
      <c r="AH81" s="305"/>
      <c r="AI81" s="25">
        <f>PL!Q28+PL!Q13+PL!Q24</f>
        <v>559.37221278379138</v>
      </c>
      <c r="AJ81" s="307"/>
      <c r="AK81" s="309"/>
      <c r="AL81" s="311"/>
      <c r="AM81" s="305"/>
      <c r="AN81" s="25">
        <f>PL!R28+PL!R13+PL!R24</f>
        <v>1863.9137733750417</v>
      </c>
      <c r="AO81" s="307"/>
      <c r="AP81" s="309"/>
      <c r="AQ81" s="311"/>
      <c r="AR81" s="305"/>
      <c r="AS81" s="25">
        <f>PL!S28+PL!S13+PL!S24</f>
        <v>5154.7414864336406</v>
      </c>
      <c r="AT81" s="307"/>
      <c r="AU81" s="309"/>
      <c r="AV81" s="311"/>
      <c r="AW81" s="305"/>
      <c r="AX81" s="25">
        <f>PL!T28+PL!T13+PL!T24</f>
        <v>4739.6268795262959</v>
      </c>
      <c r="AY81" s="307"/>
      <c r="AZ81" s="309"/>
      <c r="BA81" s="311"/>
      <c r="BB81" s="305"/>
      <c r="BC81" s="25">
        <f>PL!U28+PL!U13+PL!U24</f>
        <v>5750.9539553075783</v>
      </c>
      <c r="BD81" s="307"/>
      <c r="BE81" s="309"/>
      <c r="BF81" s="311"/>
      <c r="BG81" s="305"/>
      <c r="BH81" s="25">
        <f>PL!V28+PL!W13+PL!W24</f>
        <v>7749.2004126972433</v>
      </c>
      <c r="BI81" s="307"/>
      <c r="BJ81" s="309"/>
      <c r="BK81" s="311"/>
      <c r="BL81" s="305"/>
      <c r="BM81" s="25">
        <f>PL!W28+PL!W13+PL!W24</f>
        <v>8343.8680013664562</v>
      </c>
      <c r="BN81" s="307"/>
      <c r="BO81" s="309"/>
      <c r="BP81" s="311"/>
      <c r="BQ81" s="305"/>
      <c r="BR81" s="25">
        <f>PL!X28+PL!X13+PL!X24</f>
        <v>7776.55113185344</v>
      </c>
      <c r="BS81" s="307"/>
      <c r="BT81" s="309"/>
      <c r="BU81" s="311"/>
      <c r="BV81" s="305"/>
      <c r="BW81" s="25">
        <f>PL!Y28+PL!Y13+PL!Y24</f>
        <v>9390.4555407346215</v>
      </c>
      <c r="BX81" s="307"/>
      <c r="BY81" s="309"/>
      <c r="BZ81" s="311"/>
      <c r="CA81" s="305"/>
      <c r="CB81" s="25">
        <f>PL!Z28+PL!Z13+PL!Z24</f>
        <v>7142.7037006649362</v>
      </c>
      <c r="CC81" s="307"/>
      <c r="CD81" s="309"/>
      <c r="CE81" s="311"/>
      <c r="CF81" s="305"/>
      <c r="CG81" s="25">
        <f>PL!AA28+PL!AA13+PL!AA24</f>
        <v>8794.1609444645219</v>
      </c>
      <c r="CH81" s="307"/>
      <c r="CI81" s="309"/>
      <c r="CJ81" s="311"/>
      <c r="CK81" s="305"/>
      <c r="CL81" s="25">
        <f>PL!AB28+PL!AB13+PL!AB24</f>
        <v>5257.1645231739876</v>
      </c>
      <c r="CM81" s="307"/>
      <c r="CN81" s="309"/>
      <c r="CO81" s="311"/>
      <c r="CP81" s="305"/>
      <c r="CQ81" s="25">
        <f>PL!AC28+PL!AC13+PL!AC24</f>
        <v>5810.5450276908268</v>
      </c>
      <c r="CR81" s="307"/>
      <c r="CS81" s="309"/>
      <c r="CT81" s="311"/>
    </row>
    <row r="82" spans="1:98" x14ac:dyDescent="0.2">
      <c r="B82" s="76" t="s">
        <v>582</v>
      </c>
    </row>
  </sheetData>
  <sheetProtection algorithmName="SHA-512" hashValue="3lTcxiQUBOdSRpIi2tgHONPP3FgQQgg50X8owu810Tn+9uOQ/CjaDJu21SiTXC1dYxoVE1Zfg3dTaKN3k7OwHA==" saltValue="a1uwMoVcOJVAyffpgI9UbQ==" spinCount="100000" sheet="1" objects="1" scenarios="1"/>
  <mergeCells count="2611">
    <mergeCell ref="CF3:CJ3"/>
    <mergeCell ref="CP3:CT3"/>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P62:CP63"/>
    <mergeCell ref="CP38:CP39"/>
    <mergeCell ref="CP27:CP28"/>
    <mergeCell ref="CP15:CP16"/>
    <mergeCell ref="CP4:CT4"/>
    <mergeCell ref="CP6:CP7"/>
    <mergeCell ref="CR6:CR7"/>
    <mergeCell ref="CS6:CS7"/>
    <mergeCell ref="CT6:CT7"/>
    <mergeCell ref="CP8:CP9"/>
    <mergeCell ref="CR8:CR9"/>
    <mergeCell ref="CS8:CS9"/>
    <mergeCell ref="CT8:CT9"/>
    <mergeCell ref="CP11:CP12"/>
    <mergeCell ref="CR11:CR12"/>
    <mergeCell ref="CS11:CS12"/>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T11:CT12"/>
    <mergeCell ref="CP13:CP14"/>
    <mergeCell ref="CR13:CR14"/>
    <mergeCell ref="CS13:CS14"/>
    <mergeCell ref="CT13:CT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72"/>
  <sheetViews>
    <sheetView workbookViewId="0"/>
  </sheetViews>
  <sheetFormatPr defaultColWidth="9" defaultRowHeight="10.8" x14ac:dyDescent="0.2"/>
  <cols>
    <col min="1" max="2" width="2.77734375" style="76" customWidth="1"/>
    <col min="3" max="3" width="29.44140625" style="76" customWidth="1"/>
    <col min="4" max="4" width="5.77734375" style="201" customWidth="1"/>
    <col min="5" max="23" width="9.5546875" style="76" customWidth="1"/>
    <col min="24" max="16384" width="9" style="76"/>
  </cols>
  <sheetData>
    <row r="1" spans="1:23" ht="16.2" x14ac:dyDescent="0.2">
      <c r="A1" s="6" t="s">
        <v>385</v>
      </c>
    </row>
    <row r="2" spans="1:23" ht="14.4" x14ac:dyDescent="0.2">
      <c r="A2" s="75" t="str">
        <f>BS!A2</f>
        <v>１３　家具・装備品製造業</v>
      </c>
    </row>
    <row r="3" spans="1:23"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580</v>
      </c>
    </row>
    <row r="4" spans="1:23" x14ac:dyDescent="0.2">
      <c r="A4" s="339" t="s">
        <v>395</v>
      </c>
      <c r="B4" s="339" t="s">
        <v>397</v>
      </c>
      <c r="C4" s="155" t="s">
        <v>386</v>
      </c>
      <c r="D4" s="203" t="s">
        <v>254</v>
      </c>
      <c r="E4" s="156">
        <f>BS!K9</f>
        <v>93052.150271873514</v>
      </c>
      <c r="F4" s="156">
        <f>BS!L9</f>
        <v>120076.93947144075</v>
      </c>
      <c r="G4" s="156">
        <f>BS!M9</f>
        <v>99252.025378439183</v>
      </c>
      <c r="H4" s="156">
        <f>BS!N9</f>
        <v>95192.484801507104</v>
      </c>
      <c r="I4" s="156">
        <f>BS!O9</f>
        <v>95395.828214968264</v>
      </c>
      <c r="J4" s="156">
        <f>BS!P9</f>
        <v>107140.09009290635</v>
      </c>
      <c r="K4" s="156">
        <f>BS!Q9</f>
        <v>120884.41984691765</v>
      </c>
      <c r="L4" s="156">
        <f>BS!R9</f>
        <v>81053.56271476316</v>
      </c>
      <c r="M4" s="156">
        <f>BS!S9</f>
        <v>89963.932836828622</v>
      </c>
      <c r="N4" s="156">
        <f>BS!T9</f>
        <v>73968.673083067697</v>
      </c>
      <c r="O4" s="156">
        <f>BS!U9</f>
        <v>78573.487896815408</v>
      </c>
      <c r="P4" s="156">
        <f>BS!V9</f>
        <v>110160.4696158704</v>
      </c>
      <c r="Q4" s="156">
        <f>BS!W9</f>
        <v>109555.28674669142</v>
      </c>
      <c r="R4" s="156">
        <f>BS!X9</f>
        <v>83864.83564920268</v>
      </c>
      <c r="S4" s="156">
        <f>BS!Y9</f>
        <v>102204.69344756007</v>
      </c>
      <c r="T4" s="156">
        <f>BS!Z9</f>
        <v>93274.378375935543</v>
      </c>
      <c r="U4" s="156">
        <f>BS!AA9</f>
        <v>117523.45572822551</v>
      </c>
      <c r="V4" s="156">
        <f>BS!AB9</f>
        <v>115967.39856830866</v>
      </c>
      <c r="W4" s="156">
        <f>BS!AC9</f>
        <v>111197.8044786901</v>
      </c>
    </row>
    <row r="5" spans="1:23" x14ac:dyDescent="0.2">
      <c r="A5" s="339"/>
      <c r="B5" s="339"/>
      <c r="C5" s="157" t="s">
        <v>387</v>
      </c>
      <c r="D5" s="204" t="s">
        <v>254</v>
      </c>
      <c r="E5" s="158">
        <f>BS!K15</f>
        <v>78422.763222936206</v>
      </c>
      <c r="F5" s="158">
        <f>BS!L15</f>
        <v>92275.895140664958</v>
      </c>
      <c r="G5" s="158">
        <f>BS!M15</f>
        <v>55054.604132235909</v>
      </c>
      <c r="H5" s="158">
        <f>BS!N15</f>
        <v>76456.304621388685</v>
      </c>
      <c r="I5" s="158">
        <f>BS!O15</f>
        <v>67377.820117776937</v>
      </c>
      <c r="J5" s="158">
        <f>BS!P15</f>
        <v>92643.730909809034</v>
      </c>
      <c r="K5" s="158">
        <f>BS!Q15</f>
        <v>116721.95267130555</v>
      </c>
      <c r="L5" s="158">
        <f>BS!R15</f>
        <v>76810.998297142214</v>
      </c>
      <c r="M5" s="158">
        <f>BS!S15</f>
        <v>61793.223185692266</v>
      </c>
      <c r="N5" s="158">
        <f>BS!T15</f>
        <v>60010.636288864138</v>
      </c>
      <c r="O5" s="158">
        <f>BS!U15</f>
        <v>58363.310072639426</v>
      </c>
      <c r="P5" s="158">
        <f>BS!V15</f>
        <v>72609.115931508844</v>
      </c>
      <c r="Q5" s="158">
        <f>BS!W15</f>
        <v>80659.66759834504</v>
      </c>
      <c r="R5" s="158">
        <f>BS!X15</f>
        <v>67791.462308240763</v>
      </c>
      <c r="S5" s="158">
        <f>BS!Y15</f>
        <v>92068.569778016463</v>
      </c>
      <c r="T5" s="158">
        <f>BS!Z15</f>
        <v>70846.15594365068</v>
      </c>
      <c r="U5" s="158">
        <f>BS!AA15</f>
        <v>84272.693289965056</v>
      </c>
      <c r="V5" s="158">
        <f>BS!AB15</f>
        <v>79271.706624605664</v>
      </c>
      <c r="W5" s="158">
        <f>BS!AC15</f>
        <v>66958.220563448107</v>
      </c>
    </row>
    <row r="6" spans="1:23" x14ac:dyDescent="0.2">
      <c r="A6" s="339"/>
      <c r="B6" s="339"/>
      <c r="C6" s="157" t="s">
        <v>388</v>
      </c>
      <c r="D6" s="204" t="s">
        <v>254</v>
      </c>
      <c r="E6" s="158">
        <f>BS!K8</f>
        <v>172019.03114186903</v>
      </c>
      <c r="F6" s="158">
        <f>BS!L8</f>
        <v>212450.44757033247</v>
      </c>
      <c r="G6" s="158">
        <f>BS!M8</f>
        <v>154580.10133306755</v>
      </c>
      <c r="H6" s="158">
        <f>BS!N8</f>
        <v>171774.86786850065</v>
      </c>
      <c r="I6" s="158">
        <f>BS!O8</f>
        <v>163112.00143486558</v>
      </c>
      <c r="J6" s="158">
        <f>BS!P8</f>
        <v>199954.09914388359</v>
      </c>
      <c r="K6" s="158">
        <f>BS!Q8</f>
        <v>237743.32485038225</v>
      </c>
      <c r="L6" s="158">
        <f>BS!R8</f>
        <v>157889.46589738407</v>
      </c>
      <c r="M6" s="158">
        <f>BS!S8</f>
        <v>152668.71520667465</v>
      </c>
      <c r="N6" s="158">
        <f>BS!T8</f>
        <v>134108.25605754138</v>
      </c>
      <c r="O6" s="158">
        <f>BS!U8</f>
        <v>137052.87628909614</v>
      </c>
      <c r="P6" s="158">
        <f>BS!V8</f>
        <v>183219.29010029871</v>
      </c>
      <c r="Q6" s="158">
        <f>BS!W8</f>
        <v>190694.49508048844</v>
      </c>
      <c r="R6" s="158">
        <f>BS!X8</f>
        <v>152192.89357523341</v>
      </c>
      <c r="S6" s="158">
        <f>BS!Y8</f>
        <v>194326.10431526855</v>
      </c>
      <c r="T6" s="158">
        <f>BS!Z8</f>
        <v>164368.49354175248</v>
      </c>
      <c r="U6" s="158">
        <f>BS!AA8</f>
        <v>201989.22623780268</v>
      </c>
      <c r="V6" s="158">
        <f>BS!AB8</f>
        <v>195507.99199223489</v>
      </c>
      <c r="W6" s="158">
        <f>BS!AC8</f>
        <v>178802.13111004094</v>
      </c>
    </row>
    <row r="7" spans="1:23" x14ac:dyDescent="0.2">
      <c r="A7" s="339"/>
      <c r="B7" s="339"/>
      <c r="C7" s="157" t="s">
        <v>389</v>
      </c>
      <c r="D7" s="204" t="s">
        <v>254</v>
      </c>
      <c r="E7" s="158">
        <f>BS!K31</f>
        <v>67522.614928324299</v>
      </c>
      <c r="F7" s="158">
        <f>BS!L31</f>
        <v>87102.514919011082</v>
      </c>
      <c r="G7" s="158">
        <f>BS!M31</f>
        <v>51867.200044395555</v>
      </c>
      <c r="H7" s="158">
        <f>BS!N31</f>
        <v>55272.38538641356</v>
      </c>
      <c r="I7" s="158">
        <f>BS!O31</f>
        <v>51772.88909532586</v>
      </c>
      <c r="J7" s="158">
        <f>BS!P31</f>
        <v>71997.924791516474</v>
      </c>
      <c r="K7" s="158">
        <f>BS!Q31</f>
        <v>77318.812339039374</v>
      </c>
      <c r="L7" s="158">
        <f>BS!R31</f>
        <v>59287.241770888366</v>
      </c>
      <c r="M7" s="158">
        <f>BS!S31</f>
        <v>55908.537994868449</v>
      </c>
      <c r="N7" s="158">
        <f>BS!T31</f>
        <v>37060.98893124146</v>
      </c>
      <c r="O7" s="158">
        <f>BS!U31</f>
        <v>42072.937331139838</v>
      </c>
      <c r="P7" s="158">
        <f>BS!V31</f>
        <v>45992.865681720614</v>
      </c>
      <c r="Q7" s="158">
        <f>BS!W31</f>
        <v>55289.984589177504</v>
      </c>
      <c r="R7" s="158">
        <f>BS!X31</f>
        <v>52312.235662032166</v>
      </c>
      <c r="S7" s="158">
        <f>BS!Y31</f>
        <v>49171.430786864672</v>
      </c>
      <c r="T7" s="158">
        <f>BS!Z31</f>
        <v>53140.351349938181</v>
      </c>
      <c r="U7" s="158">
        <f>BS!AA31</f>
        <v>65982.051800987829</v>
      </c>
      <c r="V7" s="158">
        <f>BS!AB31</f>
        <v>52489.174836204802</v>
      </c>
      <c r="W7" s="158">
        <f>BS!AC31</f>
        <v>65174.089934986769</v>
      </c>
    </row>
    <row r="8" spans="1:23" x14ac:dyDescent="0.2">
      <c r="A8" s="339"/>
      <c r="B8" s="339"/>
      <c r="C8" s="157" t="s">
        <v>390</v>
      </c>
      <c r="D8" s="204" t="s">
        <v>254</v>
      </c>
      <c r="E8" s="158">
        <f>BS!K37</f>
        <v>53013.099357390005</v>
      </c>
      <c r="F8" s="158">
        <f>BS!L37</f>
        <v>75840.79283887468</v>
      </c>
      <c r="G8" s="158">
        <f>BS!M37</f>
        <v>54014.516055273314</v>
      </c>
      <c r="H8" s="158">
        <f>BS!N37</f>
        <v>50540.635146211978</v>
      </c>
      <c r="I8" s="158">
        <f>BS!O37</f>
        <v>61102.617636446397</v>
      </c>
      <c r="J8" s="158">
        <f>BS!P37</f>
        <v>61870.963215845783</v>
      </c>
      <c r="K8" s="158">
        <f>BS!Q37</f>
        <v>74479.768373970466</v>
      </c>
      <c r="L8" s="158">
        <f>BS!R37</f>
        <v>66649.946570797023</v>
      </c>
      <c r="M8" s="158">
        <f>BS!S37</f>
        <v>51075.962419092582</v>
      </c>
      <c r="N8" s="158">
        <f>BS!T37</f>
        <v>48826.209936984502</v>
      </c>
      <c r="O8" s="158">
        <f>BS!U37</f>
        <v>48402.640494343861</v>
      </c>
      <c r="P8" s="158">
        <f>BS!V37</f>
        <v>56609.120420786727</v>
      </c>
      <c r="Q8" s="158">
        <f>BS!W37</f>
        <v>49323.313410842951</v>
      </c>
      <c r="R8" s="158">
        <f>BS!X37</f>
        <v>46837.815944931586</v>
      </c>
      <c r="S8" s="158">
        <f>BS!Y37</f>
        <v>55261.456702130221</v>
      </c>
      <c r="T8" s="158">
        <f>BS!Z37</f>
        <v>52223.056189010473</v>
      </c>
      <c r="U8" s="158">
        <f>BS!AA37</f>
        <v>58250.499457896636</v>
      </c>
      <c r="V8" s="158">
        <f>BS!AB37</f>
        <v>58458.409851977667</v>
      </c>
      <c r="W8" s="158">
        <f>BS!AC37</f>
        <v>47631.866843245851</v>
      </c>
    </row>
    <row r="9" spans="1:23" x14ac:dyDescent="0.2">
      <c r="A9" s="339"/>
      <c r="B9" s="339"/>
      <c r="C9" s="159" t="s">
        <v>391</v>
      </c>
      <c r="D9" s="205" t="s">
        <v>254</v>
      </c>
      <c r="E9" s="160">
        <f>BS!K43</f>
        <v>51483.316856154197</v>
      </c>
      <c r="F9" s="160">
        <f>BS!L43</f>
        <v>49507.139812446716</v>
      </c>
      <c r="G9" s="160">
        <f>BS!M43</f>
        <v>48698.385233398913</v>
      </c>
      <c r="H9" s="160">
        <f>BS!N43</f>
        <v>65961.847335874991</v>
      </c>
      <c r="I9" s="160">
        <f>BS!O43</f>
        <v>50236.49470309358</v>
      </c>
      <c r="J9" s="160">
        <f>BS!P43</f>
        <v>66085.211136520724</v>
      </c>
      <c r="K9" s="160">
        <f>BS!Q43</f>
        <v>85944.744137372982</v>
      </c>
      <c r="L9" s="160">
        <f>BS!R43</f>
        <v>31952.277555698762</v>
      </c>
      <c r="M9" s="160">
        <f>BS!S43</f>
        <v>45684.214792713632</v>
      </c>
      <c r="N9" s="160">
        <f>BS!T43</f>
        <v>48221.057189315405</v>
      </c>
      <c r="O9" s="160">
        <f>BS!U43</f>
        <v>46577.298463612438</v>
      </c>
      <c r="P9" s="160">
        <f>BS!V43</f>
        <v>80617.303997791416</v>
      </c>
      <c r="Q9" s="160">
        <f>BS!W43</f>
        <v>86081.197080467988</v>
      </c>
      <c r="R9" s="160">
        <f>BS!X43</f>
        <v>53042.841968269684</v>
      </c>
      <c r="S9" s="160">
        <f>BS!Y43</f>
        <v>89893.21682627355</v>
      </c>
      <c r="T9" s="160">
        <f>BS!Z43</f>
        <v>59005.086002803757</v>
      </c>
      <c r="U9" s="160">
        <f>BS!AA43</f>
        <v>77756.674858450788</v>
      </c>
      <c r="V9" s="160">
        <f>BS!AB43</f>
        <v>84560.407182722643</v>
      </c>
      <c r="W9" s="160">
        <f>BS!AC43</f>
        <v>65996.174331808332</v>
      </c>
    </row>
    <row r="10" spans="1:23" x14ac:dyDescent="0.2">
      <c r="A10" s="339"/>
      <c r="B10" s="339" t="s">
        <v>398</v>
      </c>
      <c r="C10" s="155" t="s">
        <v>310</v>
      </c>
      <c r="D10" s="203" t="s">
        <v>254</v>
      </c>
      <c r="E10" s="156">
        <f>PL!K6</f>
        <v>178690.05190311401</v>
      </c>
      <c r="F10" s="156">
        <f>PL!L6</f>
        <v>228162.5106564365</v>
      </c>
      <c r="G10" s="156">
        <f>PL!M6</f>
        <v>185528.85343416347</v>
      </c>
      <c r="H10" s="156">
        <f>PL!N6</f>
        <v>167398.51104675228</v>
      </c>
      <c r="I10" s="156">
        <f>PL!O6</f>
        <v>173287.57670911792</v>
      </c>
      <c r="J10" s="156">
        <f>PL!P6</f>
        <v>177881.84871766673</v>
      </c>
      <c r="K10" s="156">
        <f>PL!Q6</f>
        <v>171715.58089207942</v>
      </c>
      <c r="L10" s="156">
        <f>PL!R6</f>
        <v>149769.25517416568</v>
      </c>
      <c r="M10" s="156">
        <f>PL!S6</f>
        <v>157111.54862516082</v>
      </c>
      <c r="N10" s="156">
        <f>PL!T6</f>
        <v>150018.4249596498</v>
      </c>
      <c r="O10" s="156">
        <f>PL!U6</f>
        <v>150079.80754763054</v>
      </c>
      <c r="P10" s="156">
        <f>PL!V6</f>
        <v>165545.42591284707</v>
      </c>
      <c r="Q10" s="156">
        <f>PL!W6</f>
        <v>176132.00737193864</v>
      </c>
      <c r="R10" s="156">
        <f>PL!X6</f>
        <v>168887.11406020238</v>
      </c>
      <c r="S10" s="156">
        <f>PL!Y6</f>
        <v>186822.29642525339</v>
      </c>
      <c r="T10" s="156">
        <f>PL!Z6</f>
        <v>164449.18406024383</v>
      </c>
      <c r="U10" s="156">
        <f>PL!AA6</f>
        <v>210560.48789302495</v>
      </c>
      <c r="V10" s="156">
        <f>PL!AB6</f>
        <v>189103.8323222519</v>
      </c>
      <c r="W10" s="156">
        <f>PL!AC6</f>
        <v>206106.80664579821</v>
      </c>
    </row>
    <row r="11" spans="1:23" x14ac:dyDescent="0.2">
      <c r="A11" s="339"/>
      <c r="B11" s="339"/>
      <c r="C11" s="157" t="s">
        <v>392</v>
      </c>
      <c r="D11" s="204" t="s">
        <v>254</v>
      </c>
      <c r="E11" s="158">
        <f>PL!K6-PL!K8</f>
        <v>45349.337617400015</v>
      </c>
      <c r="F11" s="158">
        <f>PL!L6-PL!L8</f>
        <v>54686.487638533697</v>
      </c>
      <c r="G11" s="158">
        <f>PL!M6-PL!M8</f>
        <v>46371.079622192599</v>
      </c>
      <c r="H11" s="158">
        <f>PL!N6-PL!N8</f>
        <v>43737.255042618519</v>
      </c>
      <c r="I11" s="158">
        <f>PL!O6-PL!O8</f>
        <v>43192.829662849894</v>
      </c>
      <c r="J11" s="158">
        <f>PL!P6-PL!P8</f>
        <v>46610.374636280758</v>
      </c>
      <c r="K11" s="158">
        <f>PL!Q6-PL!Q8</f>
        <v>41229.608900527513</v>
      </c>
      <c r="L11" s="158">
        <f>PL!R6-PL!R8</f>
        <v>38747.007472646874</v>
      </c>
      <c r="M11" s="158">
        <f>PL!S6-PL!S8</f>
        <v>39018.641079312525</v>
      </c>
      <c r="N11" s="158">
        <f>PL!T6-PL!T8</f>
        <v>37430.523186268183</v>
      </c>
      <c r="O11" s="158">
        <f>PL!U6-PL!U8</f>
        <v>40249.089844946604</v>
      </c>
      <c r="P11" s="158">
        <f>PL!V6-PL!V8</f>
        <v>48230.886396763046</v>
      </c>
      <c r="Q11" s="158">
        <f>PL!W6-PL!W8</f>
        <v>45634.307762283075</v>
      </c>
      <c r="R11" s="158">
        <f>PL!X6-PL!X8</f>
        <v>46508.44980779344</v>
      </c>
      <c r="S11" s="158">
        <f>PL!Y6-PL!Y8</f>
        <v>41525.985562811198</v>
      </c>
      <c r="T11" s="158">
        <f>PL!Z6-PL!Z8</f>
        <v>43774.295161850314</v>
      </c>
      <c r="U11" s="158">
        <f>PL!AA6-PL!AA8</f>
        <v>54260.502349114598</v>
      </c>
      <c r="V11" s="158">
        <f>PL!AB6-PL!AB8</f>
        <v>48882.974156758079</v>
      </c>
      <c r="W11" s="158">
        <f>PL!AC6-PL!AC8</f>
        <v>43189.259932578861</v>
      </c>
    </row>
    <row r="12" spans="1:23" x14ac:dyDescent="0.2">
      <c r="A12" s="339"/>
      <c r="B12" s="339"/>
      <c r="C12" s="157" t="s">
        <v>69</v>
      </c>
      <c r="D12" s="204" t="s">
        <v>254</v>
      </c>
      <c r="E12" s="158">
        <f>PL!K42</f>
        <v>1225.6018289670174</v>
      </c>
      <c r="F12" s="158">
        <f>PL!L42</f>
        <v>-519.3947144075064</v>
      </c>
      <c r="G12" s="158">
        <f>PL!M42</f>
        <v>1477.6743135889119</v>
      </c>
      <c r="H12" s="158">
        <f>PL!N42</f>
        <v>2861.3830746563908</v>
      </c>
      <c r="I12" s="158">
        <f>PL!O42</f>
        <v>641.82621089174063</v>
      </c>
      <c r="J12" s="158">
        <f>PL!P42</f>
        <v>512.13282931258436</v>
      </c>
      <c r="K12" s="158">
        <f>PL!Q42</f>
        <v>-3811.3191528423281</v>
      </c>
      <c r="L12" s="158">
        <f>PL!R42</f>
        <v>-968.71286772274459</v>
      </c>
      <c r="M12" s="158">
        <f>PL!S42</f>
        <v>1907.7341621702251</v>
      </c>
      <c r="N12" s="158">
        <f>PL!T42</f>
        <v>1308.1518318185015</v>
      </c>
      <c r="O12" s="158">
        <f>PL!U42</f>
        <v>2825.3804518408192</v>
      </c>
      <c r="P12" s="158">
        <f>PL!V42</f>
        <v>3966.7713859323007</v>
      </c>
      <c r="Q12" s="158">
        <f>PL!W42</f>
        <v>4561.438974601514</v>
      </c>
      <c r="R12" s="158">
        <f>PL!X42</f>
        <v>3615.2987489150823</v>
      </c>
      <c r="S12" s="158">
        <f>PL!Y42</f>
        <v>4987.2692974063229</v>
      </c>
      <c r="T12" s="158">
        <f>PL!Z42</f>
        <v>3288.7702858659486</v>
      </c>
      <c r="U12" s="158">
        <f>PL!AA42</f>
        <v>4285.8043609203705</v>
      </c>
      <c r="V12" s="158">
        <f>PL!AB42</f>
        <v>550.54100946372239</v>
      </c>
      <c r="W12" s="158">
        <f>PL!AC42</f>
        <v>1405.1128100168553</v>
      </c>
    </row>
    <row r="13" spans="1:23" x14ac:dyDescent="0.2">
      <c r="A13" s="339"/>
      <c r="B13" s="339"/>
      <c r="C13" s="157" t="s">
        <v>311</v>
      </c>
      <c r="D13" s="204" t="s">
        <v>254</v>
      </c>
      <c r="E13" s="158">
        <f>PL!K34</f>
        <v>1068.32056351952</v>
      </c>
      <c r="F13" s="158">
        <f>PL!L34</f>
        <v>-1777.4936061381075</v>
      </c>
      <c r="G13" s="158">
        <f>PL!M34</f>
        <v>1494.2503164568413</v>
      </c>
      <c r="H13" s="158">
        <f>PL!N34</f>
        <v>4432.0498402299372</v>
      </c>
      <c r="I13" s="158">
        <f>PL!O34</f>
        <v>1860.0379218558428</v>
      </c>
      <c r="J13" s="158">
        <f>PL!P34</f>
        <v>894.23853736377112</v>
      </c>
      <c r="K13" s="158">
        <f>PL!Q34</f>
        <v>-3154.2424382950499</v>
      </c>
      <c r="L13" s="158">
        <f>PL!R34</f>
        <v>-67.547033838425293</v>
      </c>
      <c r="M13" s="158">
        <f>PL!S34</f>
        <v>2541.1832224739037</v>
      </c>
      <c r="N13" s="158">
        <f>PL!T34</f>
        <v>1985.8973658749958</v>
      </c>
      <c r="O13" s="158">
        <f>PL!U34</f>
        <v>2916.5360283739246</v>
      </c>
      <c r="P13" s="158">
        <f>PL!V34</f>
        <v>6499.580013040736</v>
      </c>
      <c r="Q13" s="158">
        <f>PL!W34</f>
        <v>6610.8576718471513</v>
      </c>
      <c r="R13" s="158">
        <f>PL!X34</f>
        <v>4609.7749969860743</v>
      </c>
      <c r="S13" s="158">
        <f>PL!Y34</f>
        <v>5959.5944767777009</v>
      </c>
      <c r="T13" s="158">
        <f>PL!Z34</f>
        <v>4499.3556578553234</v>
      </c>
      <c r="U13" s="158">
        <f>PL!AA34</f>
        <v>6407.3807974942774</v>
      </c>
      <c r="V13" s="158">
        <f>PL!AB34</f>
        <v>4005.7256733802474</v>
      </c>
      <c r="W13" s="158">
        <f>PL!AC34</f>
        <v>4479.7866602456052</v>
      </c>
    </row>
    <row r="14" spans="1:23" x14ac:dyDescent="0.2">
      <c r="A14" s="339"/>
      <c r="B14" s="339"/>
      <c r="C14" s="157" t="s">
        <v>393</v>
      </c>
      <c r="D14" s="204" t="s">
        <v>254</v>
      </c>
      <c r="E14" s="158">
        <f>PL!K37</f>
        <v>1098.97800296589</v>
      </c>
      <c r="F14" s="158">
        <f>PL!L37</f>
        <v>-2238.4910485933506</v>
      </c>
      <c r="G14" s="158">
        <f>PL!M37</f>
        <v>713.50349779272312</v>
      </c>
      <c r="H14" s="158">
        <f>PL!N37</f>
        <v>4044.5496813746172</v>
      </c>
      <c r="I14" s="158">
        <f>PL!O37</f>
        <v>1003.3483251499031</v>
      </c>
      <c r="J14" s="158">
        <f>PL!P37</f>
        <v>-227.24054679188026</v>
      </c>
      <c r="K14" s="158">
        <f>PL!Q37</f>
        <v>-2279.6660233069056</v>
      </c>
      <c r="L14" s="158">
        <f>PL!R37</f>
        <v>-1024.029184884989</v>
      </c>
      <c r="M14" s="158">
        <f>PL!S37</f>
        <v>3569.7874254200328</v>
      </c>
      <c r="N14" s="158">
        <f>PL!T37</f>
        <v>1613.1897757773913</v>
      </c>
      <c r="O14" s="158">
        <f>PL!U37</f>
        <v>3175.6981630112186</v>
      </c>
      <c r="P14" s="158">
        <f>PL!V37</f>
        <v>5858.3962873536566</v>
      </c>
      <c r="Q14" s="158">
        <f>PL!W37</f>
        <v>5640.0160867011728</v>
      </c>
      <c r="R14" s="158">
        <f>PL!X37</f>
        <v>4017.4594351433352</v>
      </c>
      <c r="S14" s="158">
        <f>PL!Y37</f>
        <v>5405.344625388735</v>
      </c>
      <c r="T14" s="158">
        <f>PL!Z37</f>
        <v>3988.8510498476403</v>
      </c>
      <c r="U14" s="158">
        <f>PL!AA37</f>
        <v>5508.3059872304539</v>
      </c>
      <c r="V14" s="158">
        <f>PL!AB37</f>
        <v>133856.78864353313</v>
      </c>
      <c r="W14" s="158">
        <f>PL!AC37</f>
        <v>4119.0361184685762</v>
      </c>
    </row>
    <row r="15" spans="1:23" x14ac:dyDescent="0.2">
      <c r="A15" s="339"/>
      <c r="B15" s="339"/>
      <c r="C15" s="159" t="s">
        <v>394</v>
      </c>
      <c r="D15" s="205" t="s">
        <v>254</v>
      </c>
      <c r="E15" s="160">
        <f>PL!K38</f>
        <v>262.13049925852704</v>
      </c>
      <c r="F15" s="160">
        <f>PL!L38</f>
        <v>-3023.0179028132989</v>
      </c>
      <c r="G15" s="160">
        <f>PL!M38</f>
        <v>-894.82432958880952</v>
      </c>
      <c r="H15" s="160">
        <f>PL!N38</f>
        <v>2394.2914137799667</v>
      </c>
      <c r="I15" s="160">
        <f>PL!O38</f>
        <v>-71.154623444265027</v>
      </c>
      <c r="J15" s="160">
        <f>PL!P38</f>
        <v>-1020.8177197785333</v>
      </c>
      <c r="K15" s="160">
        <f>PL!Q38</f>
        <v>-3410.8637068218663</v>
      </c>
      <c r="L15" s="160">
        <f>PL!R38</f>
        <v>-1787.6439813067707</v>
      </c>
      <c r="M15" s="160">
        <f>PL!S38</f>
        <v>2387.6276188729912</v>
      </c>
      <c r="N15" s="160">
        <f>PL!T38</f>
        <v>815.09272825836979</v>
      </c>
      <c r="O15" s="160">
        <f>PL!U38</f>
        <v>1660.7831953967716</v>
      </c>
      <c r="P15" s="160">
        <f>PL!V38</f>
        <v>4853.7789577215972</v>
      </c>
      <c r="Q15" s="160">
        <f>PL!W38</f>
        <v>4284.6193742702008</v>
      </c>
      <c r="R15" s="160">
        <f>PL!X38</f>
        <v>2672.0849068085427</v>
      </c>
      <c r="S15" s="160">
        <f>PL!Y38</f>
        <v>3426.7410584693539</v>
      </c>
      <c r="T15" s="160">
        <f>PL!Z38</f>
        <v>2247.6164599016452</v>
      </c>
      <c r="U15" s="160">
        <f>PL!AA38</f>
        <v>3683.5410191543187</v>
      </c>
      <c r="V15" s="160">
        <f>PL!AB38</f>
        <v>98201.491992234907</v>
      </c>
      <c r="W15" s="160">
        <f>PL!AC38</f>
        <v>2690.3723814110281</v>
      </c>
    </row>
    <row r="16" spans="1:23" x14ac:dyDescent="0.2">
      <c r="A16" s="339"/>
      <c r="B16" s="78"/>
      <c r="C16" s="78" t="s">
        <v>317</v>
      </c>
      <c r="D16" s="202" t="s">
        <v>318</v>
      </c>
      <c r="E16" s="100">
        <f>PL!K5</f>
        <v>12.533860603064801</v>
      </c>
      <c r="F16" s="100">
        <f>PL!L5</f>
        <v>13.575554134697358</v>
      </c>
      <c r="G16" s="100">
        <f>PL!M5</f>
        <v>12.234161961694509</v>
      </c>
      <c r="H16" s="100">
        <f>PL!N5</f>
        <v>13.049525075729587</v>
      </c>
      <c r="I16" s="100">
        <f>PL!O5</f>
        <v>12.042501603928507</v>
      </c>
      <c r="J16" s="100">
        <f>PL!P5</f>
        <v>12.65665301851298</v>
      </c>
      <c r="K16" s="100">
        <f>PL!Q5</f>
        <v>12.891024716625235</v>
      </c>
      <c r="L16" s="100">
        <f>PL!R5</f>
        <v>11.369715396230543</v>
      </c>
      <c r="M16" s="100">
        <f>PL!S5</f>
        <v>11.822918680996302</v>
      </c>
      <c r="N16" s="100">
        <f>PL!T5</f>
        <v>11.216756404879648</v>
      </c>
      <c r="O16" s="100">
        <f>PL!U5</f>
        <v>11.259526306681627</v>
      </c>
      <c r="P16" s="100">
        <f>PL!V5</f>
        <v>11.220040071415035</v>
      </c>
      <c r="Q16" s="100">
        <f>PL!W5</f>
        <v>11.891748367618137</v>
      </c>
      <c r="R16" s="100">
        <f>PL!X5</f>
        <v>11.841413482968505</v>
      </c>
      <c r="S16" s="100">
        <f>PL!Y5</f>
        <v>12.158751196879896</v>
      </c>
      <c r="T16" s="100">
        <f>PL!Z5</f>
        <v>12.014836033329496</v>
      </c>
      <c r="U16" s="100">
        <f>PL!AA5</f>
        <v>13.08300204794603</v>
      </c>
      <c r="V16" s="100">
        <f>PL!AB5</f>
        <v>12.472094151904878</v>
      </c>
      <c r="W16" s="100">
        <f>PL!AC5</f>
        <v>12.375150493619071</v>
      </c>
    </row>
    <row r="17" spans="1:23"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row>
    <row r="18" spans="1:23" x14ac:dyDescent="0.2">
      <c r="A18" s="341"/>
      <c r="B18" s="163"/>
      <c r="C18" s="164" t="s">
        <v>399</v>
      </c>
      <c r="D18" s="204" t="s">
        <v>404</v>
      </c>
      <c r="E18" s="165">
        <f t="shared" ref="E18:M18" si="0">(E12/E6)*100</f>
        <v>0.71248036966109196</v>
      </c>
      <c r="F18" s="165">
        <f>(F12/F6)*100</f>
        <v>-0.24447805139857798</v>
      </c>
      <c r="G18" s="165">
        <f t="shared" si="0"/>
        <v>0.95592789812255741</v>
      </c>
      <c r="H18" s="165">
        <f t="shared" si="0"/>
        <v>1.6657751568447572</v>
      </c>
      <c r="I18" s="165">
        <f t="shared" si="0"/>
        <v>0.39348803597878529</v>
      </c>
      <c r="J18" s="165">
        <f t="shared" si="0"/>
        <v>0.25612519648525051</v>
      </c>
      <c r="K18" s="165">
        <f t="shared" si="0"/>
        <v>-1.6031235178699068</v>
      </c>
      <c r="L18" s="165">
        <f t="shared" si="0"/>
        <v>-0.61353863110306106</v>
      </c>
      <c r="M18" s="165">
        <f t="shared" si="0"/>
        <v>1.2495907623167182</v>
      </c>
      <c r="N18" s="165">
        <f t="shared" ref="N18:W18" si="1">(N12/N6)*100</f>
        <v>0.97544466707345534</v>
      </c>
      <c r="O18" s="165">
        <f t="shared" si="1"/>
        <v>2.061525834657441</v>
      </c>
      <c r="P18" s="165">
        <f t="shared" si="1"/>
        <v>2.1650402551831704</v>
      </c>
      <c r="Q18" s="165">
        <f t="shared" si="1"/>
        <v>2.3920139764266501</v>
      </c>
      <c r="R18" s="165">
        <f t="shared" si="1"/>
        <v>2.3754714586117873</v>
      </c>
      <c r="S18" s="165">
        <f t="shared" ref="S18:T18" si="2">(S12/S6)*100</f>
        <v>2.5664433067186558</v>
      </c>
      <c r="T18" s="165">
        <f t="shared" si="2"/>
        <v>2.0008519972415173</v>
      </c>
      <c r="U18" s="165">
        <f t="shared" ref="U18:V18" si="3">(U12/U6)*100</f>
        <v>2.1217984942794308</v>
      </c>
      <c r="V18" s="165">
        <f t="shared" si="3"/>
        <v>0.28159514291650467</v>
      </c>
      <c r="W18" s="165">
        <f t="shared" si="1"/>
        <v>0.78584790980600838</v>
      </c>
    </row>
    <row r="19" spans="1:23" x14ac:dyDescent="0.2">
      <c r="A19" s="341"/>
      <c r="B19" s="163"/>
      <c r="C19" s="164" t="s">
        <v>400</v>
      </c>
      <c r="D19" s="204" t="s">
        <v>404</v>
      </c>
      <c r="E19" s="166">
        <f t="shared" ref="E19:M19" si="4">(E13/E6)*100</f>
        <v>0.62104789012469519</v>
      </c>
      <c r="F19" s="166">
        <f>(F13/F6)*100</f>
        <v>-0.83666267897584068</v>
      </c>
      <c r="G19" s="166">
        <f t="shared" si="4"/>
        <v>0.96665114304540412</v>
      </c>
      <c r="H19" s="166">
        <f t="shared" si="4"/>
        <v>2.5801503416802616</v>
      </c>
      <c r="I19" s="166">
        <f t="shared" si="4"/>
        <v>1.1403440001308545</v>
      </c>
      <c r="J19" s="166">
        <f t="shared" si="4"/>
        <v>0.44722190802414719</v>
      </c>
      <c r="K19" s="166">
        <f t="shared" si="4"/>
        <v>-1.3267427972079102</v>
      </c>
      <c r="L19" s="166">
        <f t="shared" si="4"/>
        <v>-4.2781216248033695E-2</v>
      </c>
      <c r="M19" s="166">
        <f t="shared" si="4"/>
        <v>1.6645081600600278</v>
      </c>
      <c r="N19" s="166">
        <f t="shared" ref="N19:W19" si="5">(N13/N6)*100</f>
        <v>1.480816635944407</v>
      </c>
      <c r="O19" s="166">
        <f t="shared" si="5"/>
        <v>2.1280370812662492</v>
      </c>
      <c r="P19" s="166">
        <f t="shared" si="5"/>
        <v>3.5474321560151809</v>
      </c>
      <c r="Q19" s="166">
        <f t="shared" si="5"/>
        <v>3.4667270646993957</v>
      </c>
      <c r="R19" s="166">
        <f t="shared" si="5"/>
        <v>3.0289029196408093</v>
      </c>
      <c r="S19" s="166">
        <f t="shared" ref="S19:T19" si="6">(S13/S6)*100</f>
        <v>3.0668007768575665</v>
      </c>
      <c r="T19" s="166">
        <f t="shared" si="6"/>
        <v>2.7373589432529584</v>
      </c>
      <c r="U19" s="166">
        <f t="shared" ref="U19:V19" si="7">(U13/U6)*100</f>
        <v>3.1721398793571511</v>
      </c>
      <c r="V19" s="166">
        <f t="shared" si="7"/>
        <v>2.0488807810676839</v>
      </c>
      <c r="W19" s="166">
        <f t="shared" si="5"/>
        <v>2.5054436613446129</v>
      </c>
    </row>
    <row r="20" spans="1:23" x14ac:dyDescent="0.2">
      <c r="A20" s="341"/>
      <c r="B20" s="163"/>
      <c r="C20" s="164" t="s">
        <v>401</v>
      </c>
      <c r="D20" s="204" t="s">
        <v>404</v>
      </c>
      <c r="E20" s="166">
        <f t="shared" ref="E20:M20" si="8">(E15/E6)*100</f>
        <v>0.1523845922852225</v>
      </c>
      <c r="F20" s="166">
        <f>(F15/F6)*100</f>
        <v>-1.4229284698553144</v>
      </c>
      <c r="G20" s="166">
        <f t="shared" si="8"/>
        <v>-0.57887420300027326</v>
      </c>
      <c r="H20" s="166">
        <f t="shared" si="8"/>
        <v>1.3938543184401551</v>
      </c>
      <c r="I20" s="166">
        <f t="shared" si="8"/>
        <v>-4.3623168631572902E-2</v>
      </c>
      <c r="J20" s="166">
        <f t="shared" si="8"/>
        <v>-0.51052602779799483</v>
      </c>
      <c r="K20" s="166">
        <f t="shared" si="8"/>
        <v>-1.4346832698534888</v>
      </c>
      <c r="L20" s="166">
        <f t="shared" si="8"/>
        <v>-1.1322123177417047</v>
      </c>
      <c r="M20" s="166">
        <f t="shared" si="8"/>
        <v>1.5639272365924808</v>
      </c>
      <c r="N20" s="166">
        <f t="shared" ref="N20:W20" si="9">(N15/N6)*100</f>
        <v>0.60778713572163723</v>
      </c>
      <c r="O20" s="166">
        <f t="shared" si="9"/>
        <v>1.2117828099379355</v>
      </c>
      <c r="P20" s="166">
        <f t="shared" si="9"/>
        <v>2.6491637180039942</v>
      </c>
      <c r="Q20" s="166">
        <f t="shared" si="9"/>
        <v>2.2468500584989339</v>
      </c>
      <c r="R20" s="166">
        <f t="shared" si="9"/>
        <v>1.755722520307857</v>
      </c>
      <c r="S20" s="166">
        <f t="shared" ref="S20:T20" si="10">(S15/S6)*100</f>
        <v>1.7633971877035712</v>
      </c>
      <c r="T20" s="166">
        <f t="shared" si="10"/>
        <v>1.3674253571781452</v>
      </c>
      <c r="U20" s="166">
        <f t="shared" ref="U20:V20" si="11">(U15/U6)*100</f>
        <v>1.8236324222647755</v>
      </c>
      <c r="V20" s="166">
        <f t="shared" si="11"/>
        <v>50.228888850812417</v>
      </c>
      <c r="W20" s="166">
        <f t="shared" si="9"/>
        <v>1.504664605901862</v>
      </c>
    </row>
    <row r="21" spans="1:23" x14ac:dyDescent="0.2">
      <c r="A21" s="341"/>
      <c r="B21" s="163"/>
      <c r="C21" s="164" t="s">
        <v>402</v>
      </c>
      <c r="D21" s="204" t="s">
        <v>404</v>
      </c>
      <c r="E21" s="166">
        <f>(E12/(E6-BS!K22-BS!K27-BS!K28))*100</f>
        <v>0.77104348833402692</v>
      </c>
      <c r="F21" s="166">
        <f>(F12/(F6-BS!L22-BS!L27-BS!L28))*100</f>
        <v>-0.25889589452940548</v>
      </c>
      <c r="G21" s="166">
        <f>(G12/(G6-BS!M22-BS!M27-BS!M28))*100</f>
        <v>1.0579263360065603</v>
      </c>
      <c r="H21" s="166">
        <f>(H12/(H6-BS!N22-BS!N27-BS!N28))*100</f>
        <v>1.8187919974490177</v>
      </c>
      <c r="I21" s="166">
        <f>(I12/(I6-BS!O22-BS!O27-BS!O28))*100</f>
        <v>0.42061581303858936</v>
      </c>
      <c r="J21" s="166">
        <f>(J12/(J6-BS!P22-BS!P27-BS!P28))*100</f>
        <v>0.28748765047603597</v>
      </c>
      <c r="K21" s="166">
        <f>(K12/(K6-BS!Q22-BS!Q27-BS!Q28))*100</f>
        <v>-1.7959886619066778</v>
      </c>
      <c r="L21" s="166">
        <f>(L12/(L6-BS!R22-BS!R27-BS!R28))*100</f>
        <v>-0.64887268454831359</v>
      </c>
      <c r="M21" s="166">
        <f>(M12/(M6-BS!S22-BS!S27-BS!S28))*100</f>
        <v>1.3258807192639717</v>
      </c>
      <c r="N21" s="166">
        <f>(N12/(N6-BS!T22-BS!T27-BS!T28))*100</f>
        <v>1.0631939577124077</v>
      </c>
      <c r="O21" s="166">
        <f>(O12/(O6-BS!U22-BS!U27-BS!U28))*100</f>
        <v>2.2421903943027992</v>
      </c>
      <c r="P21" s="166">
        <f>(P12/(P6-BS!V22-BS!V27-BS!V28))*100</f>
        <v>2.3793717282903524</v>
      </c>
      <c r="Q21" s="166">
        <f>(Q12/(Q6-BS!W22-BS!W27-BS!W28))*100</f>
        <v>2.597768202474172</v>
      </c>
      <c r="R21" s="166">
        <f>(R12/(R6-BS!X22-BS!X27-BS!X28))*100</f>
        <v>2.6691016429653627</v>
      </c>
      <c r="S21" s="166">
        <f>(S12/(S6-BS!Y22-BS!Y27-BS!Y28))*100</f>
        <v>2.9909596813002888</v>
      </c>
      <c r="T21" s="166">
        <f>(T12/(T6-BS!Z22-BS!Z27-BS!Z28))*100</f>
        <v>2.1776218281453876</v>
      </c>
      <c r="U21" s="166">
        <f>(U12/(U6-BS!AA22-BS!AA27-BS!AA28))*100</f>
        <v>2.3387833542054346</v>
      </c>
      <c r="V21" s="166">
        <f>(V12/(V6-BS!AB22-BS!AB27-BS!AB28))*100</f>
        <v>0.32122241353889947</v>
      </c>
      <c r="W21" s="166">
        <f>(W12/(W6-BS!AC22-BS!AC27-BS!AC28))*100</f>
        <v>0.86379535981489353</v>
      </c>
    </row>
    <row r="22" spans="1:23" x14ac:dyDescent="0.2">
      <c r="A22" s="341"/>
      <c r="B22" s="167"/>
      <c r="C22" s="168" t="s">
        <v>403</v>
      </c>
      <c r="D22" s="205" t="s">
        <v>404</v>
      </c>
      <c r="E22" s="169">
        <f t="shared" ref="E22:M22" si="12">(E15/E9)*100</f>
        <v>0.50915619906721798</v>
      </c>
      <c r="F22" s="169">
        <f>(F15/F9)*100</f>
        <v>-6.1062261206479036</v>
      </c>
      <c r="G22" s="169">
        <f t="shared" si="12"/>
        <v>-1.8374825475221512</v>
      </c>
      <c r="H22" s="169">
        <f t="shared" si="12"/>
        <v>3.6298125514713591</v>
      </c>
      <c r="I22" s="169">
        <f t="shared" si="12"/>
        <v>-0.14163930796685004</v>
      </c>
      <c r="J22" s="169">
        <f t="shared" si="12"/>
        <v>-1.5446991879464511</v>
      </c>
      <c r="K22" s="169">
        <f t="shared" si="12"/>
        <v>-3.9686704999318931</v>
      </c>
      <c r="L22" s="169">
        <f t="shared" si="12"/>
        <v>-5.5947310115548881</v>
      </c>
      <c r="M22" s="169">
        <f t="shared" si="12"/>
        <v>5.2263733320284711</v>
      </c>
      <c r="N22" s="169">
        <f t="shared" ref="N22:W22" si="13">(N15/N9)*100</f>
        <v>1.6903252972209288</v>
      </c>
      <c r="O22" s="169">
        <f t="shared" si="13"/>
        <v>3.5656494691168583</v>
      </c>
      <c r="P22" s="169">
        <f t="shared" si="13"/>
        <v>6.0207656632310238</v>
      </c>
      <c r="Q22" s="169">
        <f t="shared" si="13"/>
        <v>4.9774161136083812</v>
      </c>
      <c r="R22" s="169">
        <f t="shared" si="13"/>
        <v>5.0375975488021325</v>
      </c>
      <c r="S22" s="169">
        <f t="shared" ref="S22:T22" si="14">(S15/S9)*100</f>
        <v>3.8120129409673131</v>
      </c>
      <c r="T22" s="169">
        <f t="shared" si="14"/>
        <v>3.8091910581993642</v>
      </c>
      <c r="U22" s="169">
        <f t="shared" ref="U22:V22" si="15">(U15/U9)*100</f>
        <v>4.7372666409152426</v>
      </c>
      <c r="V22" s="169">
        <f t="shared" si="15"/>
        <v>116.1317633913894</v>
      </c>
      <c r="W22" s="169">
        <f t="shared" si="13"/>
        <v>4.0765580863591708</v>
      </c>
    </row>
    <row r="23" spans="1:23"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row>
    <row r="24" spans="1:23" x14ac:dyDescent="0.2">
      <c r="A24" s="341"/>
      <c r="B24" s="163"/>
      <c r="C24" s="164" t="s">
        <v>406</v>
      </c>
      <c r="D24" s="204" t="s">
        <v>404</v>
      </c>
      <c r="E24" s="166">
        <f t="shared" ref="E24:M24" si="16">(E11/E10)*100</f>
        <v>25.378770185812293</v>
      </c>
      <c r="F24" s="166">
        <f>(F11/F10)*100</f>
        <v>23.968217864187054</v>
      </c>
      <c r="G24" s="166">
        <f t="shared" si="16"/>
        <v>24.993998919228908</v>
      </c>
      <c r="H24" s="166">
        <f t="shared" si="16"/>
        <v>26.127624892913925</v>
      </c>
      <c r="I24" s="166">
        <f t="shared" si="16"/>
        <v>24.925520041955327</v>
      </c>
      <c r="J24" s="166">
        <f t="shared" si="16"/>
        <v>26.202996523979543</v>
      </c>
      <c r="K24" s="166">
        <f t="shared" si="16"/>
        <v>24.010406444386479</v>
      </c>
      <c r="L24" s="166">
        <f t="shared" si="16"/>
        <v>25.871135853342018</v>
      </c>
      <c r="M24" s="166">
        <f t="shared" si="16"/>
        <v>24.834992348273396</v>
      </c>
      <c r="N24" s="166">
        <f t="shared" ref="N24:W24" si="17">(N11/N10)*100</f>
        <v>24.950617363391071</v>
      </c>
      <c r="O24" s="166">
        <f t="shared" si="17"/>
        <v>26.818457794312422</v>
      </c>
      <c r="P24" s="166">
        <f t="shared" si="17"/>
        <v>29.134532791111152</v>
      </c>
      <c r="Q24" s="166">
        <f t="shared" si="17"/>
        <v>25.909151007356051</v>
      </c>
      <c r="R24" s="166">
        <f t="shared" si="17"/>
        <v>27.538187307300898</v>
      </c>
      <c r="S24" s="166">
        <f t="shared" ref="S24:T24" si="18">(S11/S10)*100</f>
        <v>22.227531915295522</v>
      </c>
      <c r="T24" s="166">
        <f t="shared" si="18"/>
        <v>26.61873660973238</v>
      </c>
      <c r="U24" s="166">
        <f t="shared" ref="U24:V24" si="19">(U11/U10)*100</f>
        <v>25.769555766170903</v>
      </c>
      <c r="V24" s="166">
        <f t="shared" si="19"/>
        <v>25.849806191900221</v>
      </c>
      <c r="W24" s="166">
        <f t="shared" si="17"/>
        <v>20.954795542876525</v>
      </c>
    </row>
    <row r="25" spans="1:23" x14ac:dyDescent="0.2">
      <c r="A25" s="341"/>
      <c r="B25" s="163"/>
      <c r="C25" s="164" t="s">
        <v>407</v>
      </c>
      <c r="D25" s="204" t="s">
        <v>404</v>
      </c>
      <c r="E25" s="166">
        <f t="shared" ref="E25:M25" si="20">(E12/E10)*100</f>
        <v>0.6858813996156542</v>
      </c>
      <c r="F25" s="166">
        <f>(F12/F10)*100</f>
        <v>-0.22764244349923146</v>
      </c>
      <c r="G25" s="166">
        <f t="shared" si="20"/>
        <v>0.7964660408540053</v>
      </c>
      <c r="H25" s="166">
        <f t="shared" si="20"/>
        <v>1.7093240894223025</v>
      </c>
      <c r="I25" s="166">
        <f t="shared" si="20"/>
        <v>0.37038212610539062</v>
      </c>
      <c r="J25" s="166">
        <f t="shared" si="20"/>
        <v>0.28790617648990102</v>
      </c>
      <c r="K25" s="166">
        <f t="shared" si="20"/>
        <v>-2.2195534808443989</v>
      </c>
      <c r="L25" s="166">
        <f t="shared" si="20"/>
        <v>-0.64680355564046499</v>
      </c>
      <c r="M25" s="166">
        <f t="shared" si="20"/>
        <v>1.2142545719040214</v>
      </c>
      <c r="N25" s="166">
        <f t="shared" ref="N25:W25" si="21">(N12/N10)*100</f>
        <v>0.87199411150353889</v>
      </c>
      <c r="O25" s="166">
        <f t="shared" si="21"/>
        <v>1.88258533776713</v>
      </c>
      <c r="P25" s="166">
        <f t="shared" si="21"/>
        <v>2.3961830198924639</v>
      </c>
      <c r="Q25" s="166">
        <f t="shared" si="21"/>
        <v>2.5897842434561626</v>
      </c>
      <c r="R25" s="166">
        <f t="shared" si="21"/>
        <v>2.1406599130034007</v>
      </c>
      <c r="S25" s="166">
        <f t="shared" ref="S25:T25" si="22">(S12/S10)*100</f>
        <v>2.6695257433588515</v>
      </c>
      <c r="T25" s="166">
        <f t="shared" si="22"/>
        <v>1.9998702363042131</v>
      </c>
      <c r="U25" s="166">
        <f t="shared" ref="U25:V25" si="23">(U12/U10)*100</f>
        <v>2.0354266860826087</v>
      </c>
      <c r="V25" s="166">
        <f t="shared" si="23"/>
        <v>0.29113159828804808</v>
      </c>
      <c r="W25" s="166">
        <f t="shared" si="21"/>
        <v>0.68174012924841976</v>
      </c>
    </row>
    <row r="26" spans="1:23" x14ac:dyDescent="0.2">
      <c r="A26" s="341"/>
      <c r="B26" s="163"/>
      <c r="C26" s="164" t="s">
        <v>408</v>
      </c>
      <c r="D26" s="204" t="s">
        <v>404</v>
      </c>
      <c r="E26" s="166">
        <f t="shared" ref="E26:M26" si="24">(E13/E10)*100</f>
        <v>0.5978623611899585</v>
      </c>
      <c r="F26" s="166">
        <f>(F13/F10)*100</f>
        <v>-0.77904718046104837</v>
      </c>
      <c r="G26" s="166">
        <f t="shared" si="24"/>
        <v>0.80540050175380906</v>
      </c>
      <c r="H26" s="166">
        <f t="shared" si="24"/>
        <v>2.6476040990544547</v>
      </c>
      <c r="I26" s="166">
        <f t="shared" si="24"/>
        <v>1.0733821530542371</v>
      </c>
      <c r="J26" s="166">
        <f t="shared" si="24"/>
        <v>0.50271488845559642</v>
      </c>
      <c r="K26" s="166">
        <f t="shared" si="24"/>
        <v>-1.8368993785586891</v>
      </c>
      <c r="L26" s="166">
        <f t="shared" si="24"/>
        <v>-4.510073429948977E-2</v>
      </c>
      <c r="M26" s="166">
        <f t="shared" si="24"/>
        <v>1.6174388482012216</v>
      </c>
      <c r="N26" s="166">
        <f t="shared" ref="N26:W26" si="25">(N13/N10)*100</f>
        <v>1.3237689746503734</v>
      </c>
      <c r="O26" s="166">
        <f t="shared" si="25"/>
        <v>1.9433234064138236</v>
      </c>
      <c r="P26" s="166">
        <f t="shared" si="25"/>
        <v>3.9261610383983072</v>
      </c>
      <c r="Q26" s="166">
        <f t="shared" si="25"/>
        <v>3.7533539590490093</v>
      </c>
      <c r="R26" s="166">
        <f t="shared" si="25"/>
        <v>2.7295007216138765</v>
      </c>
      <c r="S26" s="166">
        <f t="shared" ref="S26:T26" si="26">(S13/S10)*100</f>
        <v>3.1899803132770623</v>
      </c>
      <c r="T26" s="166">
        <f t="shared" si="26"/>
        <v>2.7360157993894592</v>
      </c>
      <c r="U26" s="166">
        <f t="shared" ref="U26:V26" si="27">(U13/U10)*100</f>
        <v>3.0430119447431849</v>
      </c>
      <c r="V26" s="166">
        <f t="shared" si="27"/>
        <v>2.1182678448071264</v>
      </c>
      <c r="W26" s="166">
        <f t="shared" si="25"/>
        <v>2.173526790866386</v>
      </c>
    </row>
    <row r="27" spans="1:23" x14ac:dyDescent="0.2">
      <c r="A27" s="341"/>
      <c r="B27" s="163"/>
      <c r="C27" s="164" t="s">
        <v>409</v>
      </c>
      <c r="D27" s="204" t="s">
        <v>404</v>
      </c>
      <c r="E27" s="166">
        <f t="shared" ref="E27:M27" si="28">(E15/E10)*100</f>
        <v>0.14669563104758318</v>
      </c>
      <c r="F27" s="166">
        <f>(F15/F10)*100</f>
        <v>-1.3249406723812358</v>
      </c>
      <c r="G27" s="166">
        <f t="shared" si="28"/>
        <v>-0.48231006284224454</v>
      </c>
      <c r="H27" s="166">
        <f t="shared" si="28"/>
        <v>1.4302943310596541</v>
      </c>
      <c r="I27" s="166">
        <f t="shared" si="28"/>
        <v>-4.1061583753176846E-2</v>
      </c>
      <c r="J27" s="166">
        <f t="shared" si="28"/>
        <v>-0.57387402207561422</v>
      </c>
      <c r="K27" s="166">
        <f t="shared" si="28"/>
        <v>-1.9863449135495406</v>
      </c>
      <c r="L27" s="166">
        <f t="shared" si="28"/>
        <v>-1.1935987658000511</v>
      </c>
      <c r="M27" s="166">
        <f t="shared" si="28"/>
        <v>1.5197021732434388</v>
      </c>
      <c r="N27" s="166">
        <f t="shared" ref="N27:W27" si="29">(N15/N10)*100</f>
        <v>0.54332841347828043</v>
      </c>
      <c r="O27" s="166">
        <f t="shared" si="29"/>
        <v>1.1066000300338152</v>
      </c>
      <c r="P27" s="166">
        <f t="shared" si="29"/>
        <v>2.9319921894289691</v>
      </c>
      <c r="Q27" s="166">
        <f t="shared" si="29"/>
        <v>2.4326182607016755</v>
      </c>
      <c r="R27" s="166">
        <f t="shared" si="29"/>
        <v>1.582172163742485</v>
      </c>
      <c r="S27" s="166">
        <f t="shared" ref="S27:T27" si="30">(S15/S10)*100</f>
        <v>1.8342248885910548</v>
      </c>
      <c r="T27" s="166">
        <f t="shared" si="30"/>
        <v>1.3667544006045418</v>
      </c>
      <c r="U27" s="166">
        <f t="shared" ref="U27:V27" si="31">(U15/U10)*100</f>
        <v>1.749398026198409</v>
      </c>
      <c r="V27" s="166">
        <f t="shared" si="31"/>
        <v>51.929932242139706</v>
      </c>
      <c r="W27" s="166">
        <f t="shared" si="29"/>
        <v>1.3053292247812698</v>
      </c>
    </row>
    <row r="28" spans="1:23" x14ac:dyDescent="0.2">
      <c r="A28" s="341"/>
      <c r="B28" s="163"/>
      <c r="C28" s="164" t="s">
        <v>410</v>
      </c>
      <c r="D28" s="204" t="s">
        <v>404</v>
      </c>
      <c r="E28" s="166">
        <f>(PL!K11/PL!K6)*100</f>
        <v>11.715528210706271</v>
      </c>
      <c r="F28" s="166">
        <f>(PL!L11/PL!L6)*100</f>
        <v>14.200470137225329</v>
      </c>
      <c r="G28" s="166">
        <f>(PL!M11/PL!M6)*100</f>
        <v>13.559733697127616</v>
      </c>
      <c r="H28" s="166">
        <f>(PL!N11/PL!N6)*100</f>
        <v>16.057761933759156</v>
      </c>
      <c r="I28" s="166">
        <f>(PL!O11/PL!O6)*100</f>
        <v>13.319042067616547</v>
      </c>
      <c r="J28" s="166">
        <f>(PL!P11/PL!P6)*100</f>
        <v>12.093023003604726</v>
      </c>
      <c r="K28" s="166">
        <f>(PL!Q11/PL!Q6)*100</f>
        <v>15.709302965705586</v>
      </c>
      <c r="L28" s="166">
        <f>(PL!R11/PL!R6)*100</f>
        <v>13.531683380415357</v>
      </c>
      <c r="M28" s="166">
        <f>(PL!S11/PL!S6)*100</f>
        <v>13.560598581681557</v>
      </c>
      <c r="N28" s="166">
        <f>(PL!T11/PL!T6)*100</f>
        <v>18.524051670148111</v>
      </c>
      <c r="O28" s="166">
        <f>(PL!U11/PL!U6)*100</f>
        <v>13.105421964613337</v>
      </c>
      <c r="P28" s="166">
        <f>(PL!V11/PL!V6)*100</f>
        <v>12.084225187839879</v>
      </c>
      <c r="Q28" s="166">
        <f>(PL!W11/PL!W6)*100</f>
        <v>12.131988530698965</v>
      </c>
      <c r="R28" s="166">
        <f>(PL!X11/PL!X6)*100</f>
        <v>16.437050794375914</v>
      </c>
      <c r="S28" s="166">
        <f>(PL!Y11/PL!Y6)*100</f>
        <v>15.406667743876145</v>
      </c>
      <c r="T28" s="166">
        <f>(PL!Z11/PL!Z6)*100</f>
        <v>15.788238899433848</v>
      </c>
      <c r="U28" s="166">
        <f>(PL!AA11/PL!AA6)*100</f>
        <v>13.046084325815515</v>
      </c>
      <c r="V28" s="166">
        <f>(PL!AB11/PL!AB6)*100</f>
        <v>13.2170723282994</v>
      </c>
      <c r="W28" s="166">
        <f>(PL!AC11/PL!AC6)*100</f>
        <v>14.495060892733914</v>
      </c>
    </row>
    <row r="29" spans="1:23" x14ac:dyDescent="0.2">
      <c r="A29" s="341"/>
      <c r="B29" s="163"/>
      <c r="C29" s="164" t="s">
        <v>411</v>
      </c>
      <c r="D29" s="204" t="s">
        <v>404</v>
      </c>
      <c r="E29" s="166">
        <f>(PL!K16/PL!K6)*100</f>
        <v>24.69288878619664</v>
      </c>
      <c r="F29" s="166">
        <f>(PL!L16/PL!L6)*100</f>
        <v>24.195860307686271</v>
      </c>
      <c r="G29" s="166">
        <f>(PL!M16/PL!M6)*100</f>
        <v>24.197532878375334</v>
      </c>
      <c r="H29" s="166">
        <f>(PL!N16/PL!N6)*100</f>
        <v>24.418300803491533</v>
      </c>
      <c r="I29" s="166">
        <f>(PL!O16/PL!O6)*100</f>
        <v>24.555137915849777</v>
      </c>
      <c r="J29" s="166">
        <f>(PL!P16/PL!P6)*100</f>
        <v>25.91509034748929</v>
      </c>
      <c r="K29" s="166">
        <f>(PL!Q16/PL!Q6)*100</f>
        <v>26.229959925231007</v>
      </c>
      <c r="L29" s="166">
        <f>(PL!R16/PL!R6)*100</f>
        <v>26.517939408982489</v>
      </c>
      <c r="M29" s="166">
        <f>(PL!S16/PL!S6)*100</f>
        <v>23.620737776369371</v>
      </c>
      <c r="N29" s="166">
        <f>(PL!T16/PL!T6)*100</f>
        <v>24.078623251887528</v>
      </c>
      <c r="O29" s="166">
        <f>(PL!U16/PL!U6)*100</f>
        <v>24.935872456545294</v>
      </c>
      <c r="P29" s="166">
        <f>(PL!V16/PL!V6)*100</f>
        <v>26.738349771218672</v>
      </c>
      <c r="Q29" s="166">
        <f>(PL!W16/PL!W6)*100</f>
        <v>23.319366763899875</v>
      </c>
      <c r="R29" s="166">
        <f>(PL!X16/PL!X6)*100</f>
        <v>25.397527394297498</v>
      </c>
      <c r="S29" s="166">
        <f>(PL!Y16/PL!Y6)*100</f>
        <v>19.558006171936672</v>
      </c>
      <c r="T29" s="166">
        <f>(PL!Z16/PL!Z6)*100</f>
        <v>24.618866373428215</v>
      </c>
      <c r="U29" s="166">
        <f>(PL!AA16/PL!AA6)*100</f>
        <v>23.73412908008828</v>
      </c>
      <c r="V29" s="166">
        <f>(PL!AB16/PL!AB6)*100</f>
        <v>25.558674529451768</v>
      </c>
      <c r="W29" s="166">
        <f>(PL!AC16/PL!AC6)*100</f>
        <v>20.273055413628104</v>
      </c>
    </row>
    <row r="30" spans="1:23" x14ac:dyDescent="0.2">
      <c r="A30" s="341"/>
      <c r="B30" s="167"/>
      <c r="C30" s="168" t="s">
        <v>412</v>
      </c>
      <c r="D30" s="205" t="s">
        <v>404</v>
      </c>
      <c r="E30" s="169">
        <f>(PL!K17/PL!K6)*100</f>
        <v>11.387563375720184</v>
      </c>
      <c r="F30" s="169">
        <f>(PL!L17/PL!L6)*100</f>
        <v>11.194693138079574</v>
      </c>
      <c r="G30" s="169">
        <f>(PL!M17/PL!M6)*100</f>
        <v>12.998473238441996</v>
      </c>
      <c r="H30" s="169">
        <f>(PL!N17/PL!N6)*100</f>
        <v>12.032134901483404</v>
      </c>
      <c r="I30" s="169">
        <f>(PL!O17/PL!O6)*100</f>
        <v>12.496381233200401</v>
      </c>
      <c r="J30" s="169">
        <f>(PL!P17/PL!P6)*100</f>
        <v>12.677246125810976</v>
      </c>
      <c r="K30" s="169">
        <f>(PL!Q17/PL!Q6)*100</f>
        <v>12.784300264789797</v>
      </c>
      <c r="L30" s="169">
        <f>(PL!R17/PL!R6)*100</f>
        <v>13.298914429524444</v>
      </c>
      <c r="M30" s="169">
        <f>(PL!S17/PL!S6)*100</f>
        <v>11.112198768691631</v>
      </c>
      <c r="N30" s="169">
        <f>(PL!T17/PL!T6)*100</f>
        <v>11.620714233600545</v>
      </c>
      <c r="O30" s="169">
        <f>(PL!U17/PL!U6)*100</f>
        <v>10.866494600712896</v>
      </c>
      <c r="P30" s="169">
        <f>(PL!V17/PL!V6)*100</f>
        <v>12.618326518030893</v>
      </c>
      <c r="Q30" s="169">
        <f>(PL!W17/PL!W6)*100</f>
        <v>10.521791891704913</v>
      </c>
      <c r="R30" s="169">
        <f>(PL!X17/PL!X6)*100</f>
        <v>11.271210103501966</v>
      </c>
      <c r="S30" s="169">
        <f>(PL!Y17/PL!Y6)*100</f>
        <v>8.2453989214258581</v>
      </c>
      <c r="T30" s="169">
        <f>(PL!Z17/PL!Z6)*100</f>
        <v>12.061185594346854</v>
      </c>
      <c r="U30" s="169">
        <f>(PL!AA17/PL!AA6)*100</f>
        <v>10.241213066512133</v>
      </c>
      <c r="V30" s="169">
        <f>(PL!AB17/PL!AB6)*100</f>
        <v>11.627438632685525</v>
      </c>
      <c r="W30" s="169">
        <f>(PL!AC17/PL!AC6)*100</f>
        <v>9.2880474979456107</v>
      </c>
    </row>
    <row r="31" spans="1:23"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row>
    <row r="32" spans="1:23" x14ac:dyDescent="0.2">
      <c r="A32" s="341"/>
      <c r="B32" s="163"/>
      <c r="C32" s="164" t="s">
        <v>414</v>
      </c>
      <c r="D32" s="204" t="s">
        <v>136</v>
      </c>
      <c r="E32" s="166">
        <f t="shared" ref="E32:M32" si="32">E10/E6</f>
        <v>1.0387807134882838</v>
      </c>
      <c r="F32" s="166">
        <f>F10/F6</f>
        <v>1.0739563661352254</v>
      </c>
      <c r="G32" s="166">
        <f t="shared" si="32"/>
        <v>1.2002117467526554</v>
      </c>
      <c r="H32" s="166">
        <f t="shared" si="32"/>
        <v>0.97452271757764575</v>
      </c>
      <c r="I32" s="166">
        <f t="shared" si="32"/>
        <v>1.062383976560521</v>
      </c>
      <c r="J32" s="166">
        <f t="shared" si="32"/>
        <v>0.88961341367483515</v>
      </c>
      <c r="K32" s="166">
        <f t="shared" si="32"/>
        <v>0.72227298495191938</v>
      </c>
      <c r="L32" s="166">
        <f t="shared" si="32"/>
        <v>0.94857028189267611</v>
      </c>
      <c r="M32" s="166">
        <f t="shared" si="32"/>
        <v>1.029101138451789</v>
      </c>
      <c r="N32" s="166">
        <f t="shared" ref="N32:W32" si="33">N10/N6</f>
        <v>1.1186367593601538</v>
      </c>
      <c r="O32" s="166">
        <f t="shared" si="33"/>
        <v>1.095050403984632</v>
      </c>
      <c r="P32" s="166">
        <f t="shared" si="33"/>
        <v>0.9035370992990065</v>
      </c>
      <c r="Q32" s="166">
        <f t="shared" si="33"/>
        <v>0.92363446201001631</v>
      </c>
      <c r="R32" s="166">
        <f t="shared" si="33"/>
        <v>1.1096911957766051</v>
      </c>
      <c r="S32" s="166">
        <f t="shared" ref="S32:T32" si="34">S10/S6</f>
        <v>0.96138548695526149</v>
      </c>
      <c r="T32" s="166">
        <f t="shared" si="34"/>
        <v>1.0004909123199506</v>
      </c>
      <c r="U32" s="166">
        <f t="shared" ref="U32:V32" si="35">U10/U6</f>
        <v>1.0424342516423688</v>
      </c>
      <c r="V32" s="166">
        <f t="shared" si="35"/>
        <v>0.96724348910382474</v>
      </c>
      <c r="W32" s="166">
        <f t="shared" si="33"/>
        <v>1.1527088931560499</v>
      </c>
    </row>
    <row r="33" spans="1:23" x14ac:dyDescent="0.2">
      <c r="A33" s="341"/>
      <c r="B33" s="163"/>
      <c r="C33" s="164" t="s">
        <v>415</v>
      </c>
      <c r="D33" s="204" t="s">
        <v>136</v>
      </c>
      <c r="E33" s="166">
        <f t="shared" ref="E33:M33" si="36">E10/E5</f>
        <v>2.2785482755197379</v>
      </c>
      <c r="F33" s="166">
        <f>F10/F5</f>
        <v>2.4726122711530092</v>
      </c>
      <c r="G33" s="166">
        <f t="shared" si="36"/>
        <v>3.3699062296141635</v>
      </c>
      <c r="H33" s="166">
        <f t="shared" si="36"/>
        <v>2.1894664132109058</v>
      </c>
      <c r="I33" s="166">
        <f t="shared" si="36"/>
        <v>2.5718786450230939</v>
      </c>
      <c r="J33" s="166">
        <f t="shared" si="36"/>
        <v>1.920063526919475</v>
      </c>
      <c r="K33" s="166">
        <f t="shared" si="36"/>
        <v>1.4711506872716436</v>
      </c>
      <c r="L33" s="166">
        <f t="shared" si="36"/>
        <v>1.9498412791718385</v>
      </c>
      <c r="M33" s="166">
        <f t="shared" si="36"/>
        <v>2.5425368758161619</v>
      </c>
      <c r="N33" s="166">
        <f t="shared" ref="N33:W33" si="37">N10/N5</f>
        <v>2.4998639280798285</v>
      </c>
      <c r="O33" s="166">
        <f t="shared" si="37"/>
        <v>2.5714752532171334</v>
      </c>
      <c r="P33" s="166">
        <f t="shared" si="37"/>
        <v>2.2799537467031517</v>
      </c>
      <c r="Q33" s="166">
        <f t="shared" si="37"/>
        <v>2.1836441013991048</v>
      </c>
      <c r="R33" s="166">
        <f t="shared" si="37"/>
        <v>2.4912740972054879</v>
      </c>
      <c r="S33" s="166">
        <f t="shared" ref="S33:T33" si="38">S10/S5</f>
        <v>2.0291647505298993</v>
      </c>
      <c r="T33" s="166">
        <f t="shared" si="38"/>
        <v>2.3212153414652836</v>
      </c>
      <c r="U33" s="166">
        <f t="shared" ref="U33:V33" si="39">U10/U5</f>
        <v>2.4985612737987322</v>
      </c>
      <c r="V33" s="166">
        <f t="shared" si="39"/>
        <v>2.3855148371885146</v>
      </c>
      <c r="W33" s="166">
        <f t="shared" si="37"/>
        <v>3.0781404420760556</v>
      </c>
    </row>
    <row r="34" spans="1:23" x14ac:dyDescent="0.2">
      <c r="A34" s="341"/>
      <c r="B34" s="163"/>
      <c r="C34" s="164" t="s">
        <v>416</v>
      </c>
      <c r="D34" s="204" t="s">
        <v>136</v>
      </c>
      <c r="E34" s="166">
        <f>PL!K6/BS!K16</f>
        <v>2.7590442298885618</v>
      </c>
      <c r="F34" s="166">
        <f>PL!L6/BS!L16</f>
        <v>2.8839277656626936</v>
      </c>
      <c r="G34" s="166">
        <f>PL!M6/BS!M16</f>
        <v>4.7203424773334941</v>
      </c>
      <c r="H34" s="166">
        <f>PL!N6/BS!N16</f>
        <v>2.6033613467881036</v>
      </c>
      <c r="I34" s="166">
        <f>PL!O6/BS!O16</f>
        <v>3.0372768176395448</v>
      </c>
      <c r="J34" s="166">
        <f>PL!P6/BS!P16</f>
        <v>2.5223138443497741</v>
      </c>
      <c r="K34" s="166">
        <f>PL!Q6/BS!Q16</f>
        <v>1.8481369647607906</v>
      </c>
      <c r="L34" s="166">
        <f>PL!R6/BS!R16</f>
        <v>2.2339119908047085</v>
      </c>
      <c r="M34" s="166">
        <f>PL!S6/BS!S16</f>
        <v>2.9424992520708204</v>
      </c>
      <c r="N34" s="166">
        <f>PL!T6/BS!T16</f>
        <v>3.0852866882724266</v>
      </c>
      <c r="O34" s="166">
        <f>PL!U6/BS!U16</f>
        <v>3.195982108812855</v>
      </c>
      <c r="P34" s="166">
        <f>PL!V6/BS!V16</f>
        <v>2.9693439998867519</v>
      </c>
      <c r="Q34" s="166">
        <f>PL!W6/BS!W16</f>
        <v>2.6909323237637555</v>
      </c>
      <c r="R34" s="166">
        <f>PL!X6/BS!X16</f>
        <v>3.2922670101182598</v>
      </c>
      <c r="S34" s="166">
        <f>PL!Y6/BS!Y16</f>
        <v>2.9376723824665549</v>
      </c>
      <c r="T34" s="166">
        <f>PL!Z6/BS!Z16</f>
        <v>2.8537979384335848</v>
      </c>
      <c r="U34" s="166">
        <f>PL!AA6/BS!AA16</f>
        <v>3.1968617350731274</v>
      </c>
      <c r="V34" s="166">
        <f>PL!AB6/BS!AB16</f>
        <v>3.4683539799094452</v>
      </c>
      <c r="W34" s="166">
        <f>PL!AC6/BS!AC16</f>
        <v>4.0348410973352395</v>
      </c>
    </row>
    <row r="35" spans="1:23" x14ac:dyDescent="0.2">
      <c r="A35" s="341"/>
      <c r="B35" s="163"/>
      <c r="C35" s="164" t="s">
        <v>417</v>
      </c>
      <c r="D35" s="204" t="s">
        <v>429</v>
      </c>
      <c r="E35" s="166">
        <f>(BS!K11/PL!K6)*365</f>
        <v>79.038070142885829</v>
      </c>
      <c r="F35" s="166">
        <f>(BS!L11/PL!L6)*365</f>
        <v>77.067634653027426</v>
      </c>
      <c r="G35" s="166">
        <f>(BS!M11/PL!M6)*365</f>
        <v>77.853991450183145</v>
      </c>
      <c r="H35" s="166">
        <f>(BS!N11/PL!N6)*365</f>
        <v>70.738377530937257</v>
      </c>
      <c r="I35" s="166">
        <f>(BS!O11/PL!O6)*365</f>
        <v>72.540430040214915</v>
      </c>
      <c r="J35" s="166">
        <f>(BS!P11/PL!P6)*365</f>
        <v>93.433270715240994</v>
      </c>
      <c r="K35" s="166">
        <f>(BS!Q11/PL!Q6)*365</f>
        <v>104.29566729337181</v>
      </c>
      <c r="L35" s="166">
        <f>(BS!R11/PL!R6)*365</f>
        <v>72.0251761116116</v>
      </c>
      <c r="M35" s="166">
        <f>(BS!S11/PL!S6)*365</f>
        <v>86.263522400456296</v>
      </c>
      <c r="N35" s="166">
        <f>(BS!T11/PL!T6)*365</f>
        <v>63.384351299976203</v>
      </c>
      <c r="O35" s="166">
        <f>(BS!U11/PL!U6)*365</f>
        <v>60.451608285840571</v>
      </c>
      <c r="P35" s="166">
        <f>(BS!V11/PL!V6)*365</f>
        <v>78.690713682561366</v>
      </c>
      <c r="Q35" s="166">
        <f>(BS!W11/PL!W6)*365</f>
        <v>79.650024401647784</v>
      </c>
      <c r="R35" s="166">
        <f>(BS!X11/PL!X6)*365</f>
        <v>62.112975637736312</v>
      </c>
      <c r="S35" s="166">
        <f>(BS!Y11/PL!Y6)*365</f>
        <v>55.802742421931391</v>
      </c>
      <c r="T35" s="166">
        <f>(BS!Z11/PL!Z6)*365</f>
        <v>65.485739020517599</v>
      </c>
      <c r="U35" s="166">
        <f>(BS!AA11/PL!AA6)*365</f>
        <v>59.247354882200959</v>
      </c>
      <c r="V35" s="166">
        <f>(BS!AB11/PL!AB6)*365</f>
        <v>53.713973157724361</v>
      </c>
      <c r="W35" s="166">
        <f>(BS!AC11/PL!AC6)*365</f>
        <v>57.723674148650566</v>
      </c>
    </row>
    <row r="36" spans="1:23"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row>
    <row r="37" spans="1:23"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row>
    <row r="38" spans="1:23"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row>
    <row r="39" spans="1:23"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row>
    <row r="40" spans="1:23" x14ac:dyDescent="0.2">
      <c r="A40" s="341"/>
      <c r="B40" s="163"/>
      <c r="C40" s="164" t="s">
        <v>422</v>
      </c>
      <c r="D40" s="204" t="s">
        <v>429</v>
      </c>
      <c r="E40" s="166">
        <f>BS!K13/PL!K6*365</f>
        <v>33.53599916567547</v>
      </c>
      <c r="F40" s="166">
        <f>BS!L13/PL!L6*365</f>
        <v>35.912253506062598</v>
      </c>
      <c r="G40" s="166">
        <f>BS!M13/PL!M6*365</f>
        <v>36.592071813899061</v>
      </c>
      <c r="H40" s="166">
        <f>BS!N13/PL!N6*365</f>
        <v>34.960454517931886</v>
      </c>
      <c r="I40" s="166">
        <f>BS!O13/PL!O6*365</f>
        <v>50.190086114658399</v>
      </c>
      <c r="J40" s="166">
        <f>BS!P13/PL!P6*365</f>
        <v>43.367560004090734</v>
      </c>
      <c r="K40" s="166">
        <f>BS!Q13/PL!Q6*365</f>
        <v>41.106007444822794</v>
      </c>
      <c r="L40" s="166">
        <f>BS!R13/PL!R6*365</f>
        <v>46.664747021079293</v>
      </c>
      <c r="M40" s="166">
        <f>BS!S13/PL!S6*365</f>
        <v>46.501094445722742</v>
      </c>
      <c r="N40" s="166">
        <f>BS!T13/PL!T6*365</f>
        <v>45.631437415668792</v>
      </c>
      <c r="O40" s="166">
        <f>BS!U13/PL!U6*365</f>
        <v>39.451976846102767</v>
      </c>
      <c r="P40" s="166">
        <f>BS!V13/PL!V6*365</f>
        <v>54.889778883882656</v>
      </c>
      <c r="Q40" s="166">
        <f>BS!W13/PL!W6*365</f>
        <v>37.957192125290405</v>
      </c>
      <c r="R40" s="166">
        <f>BS!X13/PL!X6*365</f>
        <v>38.13653569690738</v>
      </c>
      <c r="S40" s="166">
        <f>BS!Y13/PL!Y6*365</f>
        <v>40.08506265790276</v>
      </c>
      <c r="T40" s="166">
        <f>BS!Z13/PL!Z6*365</f>
        <v>41.975187149734126</v>
      </c>
      <c r="U40" s="166">
        <f>BS!AA13/PL!AA6*365</f>
        <v>43.874850051858481</v>
      </c>
      <c r="V40" s="166">
        <f>BS!AB13/PL!AB6*365</f>
        <v>42.952001968908149</v>
      </c>
      <c r="W40" s="166">
        <f>BS!AC13/PL!AC6*365</f>
        <v>41.606217964566383</v>
      </c>
    </row>
    <row r="41" spans="1:23"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row>
    <row r="42" spans="1:23"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row>
    <row r="43" spans="1:23"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row>
    <row r="44" spans="1:23" x14ac:dyDescent="0.2">
      <c r="A44" s="341"/>
      <c r="B44" s="163"/>
      <c r="C44" s="164" t="s">
        <v>426</v>
      </c>
      <c r="D44" s="204" t="s">
        <v>429</v>
      </c>
      <c r="E44" s="166">
        <f>BS!K32/PL!K6*365</f>
        <v>58.373347697954948</v>
      </c>
      <c r="F44" s="166">
        <f>BS!L32/PL!L6*365</f>
        <v>42.98082693896577</v>
      </c>
      <c r="G44" s="166">
        <f>BS!M32/PL!M6*365</f>
        <v>49.889102334196771</v>
      </c>
      <c r="H44" s="166">
        <f>BS!N32/PL!N6*365</f>
        <v>43.644455350769334</v>
      </c>
      <c r="I44" s="166">
        <f>BS!O32/PL!O6*365</f>
        <v>45.587159070766496</v>
      </c>
      <c r="J44" s="166">
        <f>BS!P32/PL!P6*365</f>
        <v>56.361842716332859</v>
      </c>
      <c r="K44" s="166">
        <f>BS!Q32/PL!Q6*365</f>
        <v>62.578194872837315</v>
      </c>
      <c r="L44" s="166">
        <f>BS!R32/PL!R6*365</f>
        <v>55.931980832329238</v>
      </c>
      <c r="M44" s="166">
        <f>BS!S32/PL!S6*365</f>
        <v>44.747656594160247</v>
      </c>
      <c r="N44" s="166">
        <f>BS!T32/PL!T6*365</f>
        <v>30.07778360008302</v>
      </c>
      <c r="O44" s="166">
        <f>BS!U32/PL!U6*365</f>
        <v>40.843862215040275</v>
      </c>
      <c r="P44" s="166">
        <f>BS!V32/PL!V6*365</f>
        <v>40.275984469392377</v>
      </c>
      <c r="Q44" s="166">
        <f>BS!W32/PL!W6*365</f>
        <v>51.960928198033933</v>
      </c>
      <c r="R44" s="166">
        <f>BS!X32/PL!X6*365</f>
        <v>38.598508850528184</v>
      </c>
      <c r="S44" s="166">
        <f>BS!Y32/PL!Y6*365</f>
        <v>45.3836363366527</v>
      </c>
      <c r="T44" s="166">
        <f>BS!Z32/PL!Z6*365</f>
        <v>40.844190208608978</v>
      </c>
      <c r="U44" s="166">
        <f>BS!AA32/PL!AA6*365</f>
        <v>42.091870335849791</v>
      </c>
      <c r="V44" s="166">
        <f>BS!AB32/PL!AB6*365</f>
        <v>39.647891984473752</v>
      </c>
      <c r="W44" s="166">
        <f>BS!AC32/PL!AC6*365</f>
        <v>45.513658914648843</v>
      </c>
    </row>
    <row r="45" spans="1:23"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row>
    <row r="46" spans="1:23"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row>
    <row r="47" spans="1:23"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row>
    <row r="48" spans="1:23" x14ac:dyDescent="0.2">
      <c r="A48" s="341"/>
      <c r="B48" s="167"/>
      <c r="C48" s="168" t="s">
        <v>431</v>
      </c>
      <c r="D48" s="205" t="s">
        <v>441</v>
      </c>
      <c r="E48" s="169">
        <f t="shared" ref="E48:M48" si="40">E6/E9</f>
        <v>3.3412577441833231</v>
      </c>
      <c r="F48" s="169">
        <f>F6/F9</f>
        <v>4.2913092611526666</v>
      </c>
      <c r="G48" s="169">
        <f t="shared" si="40"/>
        <v>3.1742346402699932</v>
      </c>
      <c r="H48" s="169">
        <f t="shared" si="40"/>
        <v>2.6041548987224408</v>
      </c>
      <c r="I48" s="169">
        <f t="shared" si="40"/>
        <v>3.2468826178833909</v>
      </c>
      <c r="J48" s="169">
        <f t="shared" si="40"/>
        <v>3.0257011471267403</v>
      </c>
      <c r="K48" s="169">
        <f t="shared" si="40"/>
        <v>2.766234599178937</v>
      </c>
      <c r="L48" s="169">
        <f t="shared" si="40"/>
        <v>4.9414150719664152</v>
      </c>
      <c r="M48" s="169">
        <f t="shared" si="40"/>
        <v>3.3418264032640095</v>
      </c>
      <c r="N48" s="169">
        <f t="shared" ref="N48:W48" si="41">N6/N9</f>
        <v>2.7811139753953062</v>
      </c>
      <c r="O48" s="169">
        <f t="shared" si="41"/>
        <v>2.9424822995297997</v>
      </c>
      <c r="P48" s="169">
        <f t="shared" si="41"/>
        <v>2.2727042584470225</v>
      </c>
      <c r="Q48" s="169">
        <f t="shared" si="41"/>
        <v>2.2152862825807222</v>
      </c>
      <c r="R48" s="169">
        <f t="shared" si="41"/>
        <v>2.8692447072552305</v>
      </c>
      <c r="S48" s="169">
        <f t="shared" ref="S48:T48" si="42">S6/S9</f>
        <v>2.1617438019914297</v>
      </c>
      <c r="T48" s="169">
        <f t="shared" si="42"/>
        <v>2.7856665361684612</v>
      </c>
      <c r="U48" s="169">
        <f t="shared" ref="U48:V48" si="43">U6/U9</f>
        <v>2.5977091562300774</v>
      </c>
      <c r="V48" s="169">
        <f t="shared" si="43"/>
        <v>2.3120512129248714</v>
      </c>
      <c r="W48" s="169">
        <f t="shared" si="41"/>
        <v>2.709280241170938</v>
      </c>
    </row>
    <row r="49" spans="1:23"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row>
    <row r="50" spans="1:23" x14ac:dyDescent="0.2">
      <c r="A50" s="341"/>
      <c r="B50" s="163"/>
      <c r="C50" s="164" t="s">
        <v>433</v>
      </c>
      <c r="D50" s="204" t="s">
        <v>404</v>
      </c>
      <c r="E50" s="166">
        <f t="shared" ref="E50:M50" si="44">(E4/E7)*100</f>
        <v>137.80886651183309</v>
      </c>
      <c r="F50" s="166">
        <f>(F4/F7)*100</f>
        <v>137.85702925235819</v>
      </c>
      <c r="G50" s="166">
        <f t="shared" si="44"/>
        <v>191.35797824730224</v>
      </c>
      <c r="H50" s="166">
        <f t="shared" si="44"/>
        <v>172.22431081273047</v>
      </c>
      <c r="I50" s="166">
        <f t="shared" si="44"/>
        <v>184.25826698471951</v>
      </c>
      <c r="J50" s="166">
        <f t="shared" si="44"/>
        <v>148.80996973614256</v>
      </c>
      <c r="K50" s="166">
        <f t="shared" si="44"/>
        <v>156.3454173569624</v>
      </c>
      <c r="L50" s="166">
        <f t="shared" si="44"/>
        <v>136.71333037888539</v>
      </c>
      <c r="M50" s="166">
        <f t="shared" si="44"/>
        <v>160.91269073264971</v>
      </c>
      <c r="N50" s="166">
        <f t="shared" ref="N50:W50" si="45">(N4/N7)*100</f>
        <v>199.58634460699457</v>
      </c>
      <c r="O50" s="166">
        <f t="shared" si="45"/>
        <v>186.75541305422493</v>
      </c>
      <c r="P50" s="166">
        <f t="shared" si="45"/>
        <v>239.51642930493139</v>
      </c>
      <c r="Q50" s="166">
        <f t="shared" si="45"/>
        <v>198.14671239415728</v>
      </c>
      <c r="R50" s="166">
        <f t="shared" si="45"/>
        <v>160.31590810038952</v>
      </c>
      <c r="S50" s="166">
        <f t="shared" ref="S50:T50" si="46">(S4/S7)*100</f>
        <v>207.85381228903015</v>
      </c>
      <c r="T50" s="166">
        <f t="shared" si="46"/>
        <v>175.52457973359645</v>
      </c>
      <c r="U50" s="166">
        <f t="shared" ref="U50:V50" si="47">(U4/U7)*100</f>
        <v>178.11427883857661</v>
      </c>
      <c r="V50" s="166">
        <f t="shared" si="47"/>
        <v>220.93583854231079</v>
      </c>
      <c r="W50" s="166">
        <f t="shared" si="45"/>
        <v>170.61658181896127</v>
      </c>
    </row>
    <row r="51" spans="1:23" x14ac:dyDescent="0.2">
      <c r="A51" s="341"/>
      <c r="B51" s="167"/>
      <c r="C51" s="168" t="s">
        <v>434</v>
      </c>
      <c r="D51" s="205" t="s">
        <v>404</v>
      </c>
      <c r="E51" s="169">
        <f>((BS!K10+BS!K11+BS!K12)/BS!K31)*100</f>
        <v>102.5234583898402</v>
      </c>
      <c r="F51" s="169">
        <f>((BS!L10+BS!L11+BS!L12)/BS!L31)*100</f>
        <v>89.953876457418303</v>
      </c>
      <c r="G51" s="169">
        <f>((BS!M10+BS!M11+BS!M12)/BS!M31)*100</f>
        <v>149.47291061518791</v>
      </c>
      <c r="H51" s="169">
        <f>((BS!N10+BS!N11+BS!N12)/BS!N31)*100</f>
        <v>124.57986250064754</v>
      </c>
      <c r="I51" s="169">
        <f>((BS!O10+BS!O11+BS!O12)/BS!O31)*100</f>
        <v>127.4505051351039</v>
      </c>
      <c r="J51" s="169">
        <f>((BS!P10+BS!P11+BS!P12)/BS!P31)*100</f>
        <v>101.44258343402302</v>
      </c>
      <c r="K51" s="169">
        <f>((BS!Q10+BS!Q11+BS!Q12)/BS!Q31)*100</f>
        <v>105.2859798528024</v>
      </c>
      <c r="L51" s="169">
        <f>((BS!R10+BS!R11+BS!R12)/BS!R31)*100</f>
        <v>88.495748875484125</v>
      </c>
      <c r="M51" s="169">
        <f>((BS!S10+BS!S11+BS!S12)/BS!S31)*100</f>
        <v>111.17483737365123</v>
      </c>
      <c r="N51" s="169">
        <f>((BS!T10+BS!T11+BS!T12)/BS!T31)*100</f>
        <v>135.36190743040962</v>
      </c>
      <c r="O51" s="169">
        <f>((BS!U10+BS!U11+BS!U12)/BS!U31)*100</f>
        <v>137.24311573118842</v>
      </c>
      <c r="P51" s="169">
        <f>((BS!V10+BS!V11+BS!V12)/BS!V31)*100</f>
        <v>158.0204235868456</v>
      </c>
      <c r="Q51" s="169">
        <f>((BS!W10+BS!W11+BS!W12)/BS!W31)*100</f>
        <v>136.27115083029972</v>
      </c>
      <c r="R51" s="169">
        <f>((BS!X10+BS!X11+BS!X12)/BS!X31)*100</f>
        <v>112.56228268517097</v>
      </c>
      <c r="S51" s="169">
        <f>((BS!Y10+BS!Y11+BS!Y12)/BS!Y31)*100</f>
        <v>137.87113095031651</v>
      </c>
      <c r="T51" s="169">
        <f>((BS!Z10+BS!Z11+BS!Z12)/BS!Z31)*100</f>
        <v>121.88392015194668</v>
      </c>
      <c r="U51" s="169">
        <f>((BS!AA10+BS!AA11+BS!AA12)/BS!AA31)*100</f>
        <v>116.25728123266693</v>
      </c>
      <c r="V51" s="169">
        <f>((BS!AB10+BS!AB11+BS!AB12)/BS!AB31)*100</f>
        <v>152.01971516623763</v>
      </c>
      <c r="W51" s="169">
        <f>((BS!AC10+BS!AC11+BS!AC12)/BS!AC31)*100</f>
        <v>117.25037805587175</v>
      </c>
    </row>
    <row r="52" spans="1:23"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row>
    <row r="53" spans="1:23" x14ac:dyDescent="0.2">
      <c r="A53" s="341"/>
      <c r="B53" s="163"/>
      <c r="C53" s="164" t="s">
        <v>436</v>
      </c>
      <c r="D53" s="204" t="s">
        <v>404</v>
      </c>
      <c r="E53" s="166">
        <f t="shared" ref="E53:M53" si="48">(E9/E6)*100</f>
        <v>29.928849450206723</v>
      </c>
      <c r="F53" s="166">
        <f>(F9/F6)*100</f>
        <v>23.30291151589935</v>
      </c>
      <c r="G53" s="166">
        <f t="shared" si="48"/>
        <v>31.503657206479929</v>
      </c>
      <c r="H53" s="166">
        <f t="shared" si="48"/>
        <v>38.400173526182527</v>
      </c>
      <c r="I53" s="166">
        <f t="shared" si="48"/>
        <v>30.798772782611085</v>
      </c>
      <c r="J53" s="166">
        <f t="shared" si="48"/>
        <v>33.050190728506607</v>
      </c>
      <c r="K53" s="166">
        <f t="shared" si="48"/>
        <v>36.150223856531042</v>
      </c>
      <c r="L53" s="166">
        <f t="shared" si="48"/>
        <v>20.237118020568431</v>
      </c>
      <c r="M53" s="166">
        <f t="shared" si="48"/>
        <v>29.923756632698989</v>
      </c>
      <c r="N53" s="166">
        <f t="shared" ref="N53:W53" si="49">(N9/N6)*100</f>
        <v>35.956814745712116</v>
      </c>
      <c r="O53" s="166">
        <f t="shared" si="49"/>
        <v>33.984911316536966</v>
      </c>
      <c r="P53" s="166">
        <f t="shared" si="49"/>
        <v>44.000445560977525</v>
      </c>
      <c r="Q53" s="166">
        <f t="shared" si="49"/>
        <v>45.140892527670914</v>
      </c>
      <c r="R53" s="166">
        <f t="shared" si="49"/>
        <v>34.852377612525679</v>
      </c>
      <c r="S53" s="166">
        <f t="shared" ref="S53:T53" si="50">(S9/S6)*100</f>
        <v>46.258950717415523</v>
      </c>
      <c r="T53" s="166">
        <f t="shared" si="50"/>
        <v>35.898051220999619</v>
      </c>
      <c r="U53" s="166">
        <f t="shared" ref="U53:V53" si="51">(U9/U6)*100</f>
        <v>38.495456568018909</v>
      </c>
      <c r="V53" s="166">
        <f t="shared" si="51"/>
        <v>43.251637092196816</v>
      </c>
      <c r="W53" s="166">
        <f t="shared" si="49"/>
        <v>36.910172111534862</v>
      </c>
    </row>
    <row r="54" spans="1:23" x14ac:dyDescent="0.2">
      <c r="A54" s="341"/>
      <c r="B54" s="167"/>
      <c r="C54" s="168" t="s">
        <v>437</v>
      </c>
      <c r="D54" s="205" t="s">
        <v>404</v>
      </c>
      <c r="E54" s="169">
        <f t="shared" ref="E54:M54" si="52">(E7+E8)/E9*100</f>
        <v>234.12577441833128</v>
      </c>
      <c r="F54" s="169">
        <f>(F7+F8)/F9*100</f>
        <v>329.13092611526667</v>
      </c>
      <c r="G54" s="169">
        <f t="shared" si="52"/>
        <v>217.42346402699982</v>
      </c>
      <c r="H54" s="169">
        <f t="shared" si="52"/>
        <v>160.41548987224391</v>
      </c>
      <c r="I54" s="169">
        <f t="shared" si="52"/>
        <v>224.68826178833959</v>
      </c>
      <c r="J54" s="169">
        <f t="shared" si="52"/>
        <v>202.5701147126731</v>
      </c>
      <c r="K54" s="169">
        <f t="shared" si="52"/>
        <v>176.62345991789437</v>
      </c>
      <c r="L54" s="169">
        <f t="shared" si="52"/>
        <v>394.14150719664178</v>
      </c>
      <c r="M54" s="169">
        <f t="shared" si="52"/>
        <v>234.18264032640099</v>
      </c>
      <c r="N54" s="169">
        <f t="shared" ref="N54:W54" si="53">(N7+N8)/N9*100</f>
        <v>178.11139753953063</v>
      </c>
      <c r="O54" s="169">
        <f t="shared" si="53"/>
        <v>194.24822995297995</v>
      </c>
      <c r="P54" s="169">
        <f t="shared" si="53"/>
        <v>127.27042584470227</v>
      </c>
      <c r="Q54" s="169">
        <f t="shared" si="53"/>
        <v>121.52862825807222</v>
      </c>
      <c r="R54" s="169">
        <f t="shared" si="53"/>
        <v>186.92447072552312</v>
      </c>
      <c r="S54" s="169">
        <f t="shared" ref="S54:T54" si="54">(S7+S8)/S9*100</f>
        <v>116.17438019914286</v>
      </c>
      <c r="T54" s="169">
        <f t="shared" si="54"/>
        <v>178.566653616846</v>
      </c>
      <c r="U54" s="169">
        <f t="shared" ref="U54:V54" si="55">(U7+U8)/U9*100</f>
        <v>159.77091546807901</v>
      </c>
      <c r="V54" s="169">
        <f t="shared" si="55"/>
        <v>131.20512114900419</v>
      </c>
      <c r="W54" s="169">
        <f t="shared" si="53"/>
        <v>170.9280241170938</v>
      </c>
    </row>
    <row r="55" spans="1:23"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row>
    <row r="56" spans="1:23" x14ac:dyDescent="0.2">
      <c r="A56" s="341"/>
      <c r="B56" s="163"/>
      <c r="C56" s="164" t="s">
        <v>439</v>
      </c>
      <c r="D56" s="204" t="s">
        <v>404</v>
      </c>
      <c r="E56" s="166">
        <f t="shared" ref="E56:M56" si="56">(E5/(E8+E9))*100</f>
        <v>75.048280184724192</v>
      </c>
      <c r="F56" s="166">
        <f>(F5/(F8+F9))*100</f>
        <v>73.615809362686122</v>
      </c>
      <c r="G56" s="166">
        <f t="shared" si="56"/>
        <v>53.600476124714092</v>
      </c>
      <c r="H56" s="166">
        <f t="shared" si="56"/>
        <v>65.626330866506947</v>
      </c>
      <c r="I56" s="166">
        <f t="shared" si="56"/>
        <v>60.515858894492894</v>
      </c>
      <c r="J56" s="166">
        <f t="shared" si="56"/>
        <v>72.402704581246823</v>
      </c>
      <c r="K56" s="166">
        <f t="shared" si="56"/>
        <v>72.758178188668182</v>
      </c>
      <c r="L56" s="166">
        <f t="shared" si="56"/>
        <v>77.899863798814692</v>
      </c>
      <c r="M56" s="166">
        <f t="shared" si="56"/>
        <v>63.862246810925186</v>
      </c>
      <c r="N56" s="166">
        <f t="shared" ref="N56:W56" si="57">(N5/(N8+N9))*100</f>
        <v>61.836503042135838</v>
      </c>
      <c r="O56" s="166">
        <f t="shared" si="57"/>
        <v>61.448039146955502</v>
      </c>
      <c r="P56" s="166">
        <f t="shared" si="57"/>
        <v>52.911905443248429</v>
      </c>
      <c r="Q56" s="166">
        <f t="shared" si="57"/>
        <v>59.569409693719969</v>
      </c>
      <c r="R56" s="166">
        <f t="shared" si="57"/>
        <v>67.872462721614426</v>
      </c>
      <c r="S56" s="166">
        <f t="shared" ref="S56:T56" si="58">(S5/(S8+S9))*100</f>
        <v>63.427905929601735</v>
      </c>
      <c r="T56" s="166">
        <f t="shared" si="58"/>
        <v>63.694452274025814</v>
      </c>
      <c r="U56" s="166">
        <f t="shared" ref="U56:V56" si="59">(U5/(U8+U9))*100</f>
        <v>61.961947017552198</v>
      </c>
      <c r="V56" s="166">
        <f t="shared" si="59"/>
        <v>55.427466307019003</v>
      </c>
      <c r="W56" s="166">
        <f t="shared" si="57"/>
        <v>58.92754981166398</v>
      </c>
    </row>
    <row r="57" spans="1:23" x14ac:dyDescent="0.2">
      <c r="A57" s="341"/>
      <c r="B57" s="167"/>
      <c r="C57" s="168" t="s">
        <v>440</v>
      </c>
      <c r="D57" s="205" t="s">
        <v>404</v>
      </c>
      <c r="E57" s="169">
        <f t="shared" ref="E57:M57" si="60">(E5/E9)*100</f>
        <v>152.32655549768009</v>
      </c>
      <c r="F57" s="169">
        <f>(F5/F9)*100</f>
        <v>186.38906527471343</v>
      </c>
      <c r="G57" s="169">
        <f t="shared" si="60"/>
        <v>113.05221696442965</v>
      </c>
      <c r="H57" s="169">
        <f t="shared" si="60"/>
        <v>115.90988989752873</v>
      </c>
      <c r="I57" s="169">
        <f t="shared" si="60"/>
        <v>134.12126088014614</v>
      </c>
      <c r="J57" s="169">
        <f t="shared" si="60"/>
        <v>140.1882952578043</v>
      </c>
      <c r="K57" s="169">
        <f t="shared" si="60"/>
        <v>135.81046036362466</v>
      </c>
      <c r="L57" s="169">
        <f t="shared" si="60"/>
        <v>240.39287391406248</v>
      </c>
      <c r="M57" s="169">
        <f t="shared" si="60"/>
        <v>135.26165102338135</v>
      </c>
      <c r="N57" s="169">
        <f t="shared" ref="N57:W57" si="61">(N5/N9)*100</f>
        <v>124.44902660110284</v>
      </c>
      <c r="O57" s="169">
        <f t="shared" si="61"/>
        <v>125.30419753355719</v>
      </c>
      <c r="P57" s="169">
        <f t="shared" si="61"/>
        <v>90.066415435447993</v>
      </c>
      <c r="Q57" s="169">
        <f t="shared" si="61"/>
        <v>93.701842369762872</v>
      </c>
      <c r="R57" s="169">
        <f t="shared" si="61"/>
        <v>127.80510959196667</v>
      </c>
      <c r="S57" s="169">
        <f t="shared" ref="S57:T57" si="62">(S5/S9)*100</f>
        <v>102.4199300331492</v>
      </c>
      <c r="T57" s="169">
        <f t="shared" si="62"/>
        <v>120.06788014898287</v>
      </c>
      <c r="U57" s="169">
        <f t="shared" ref="U57:V57" si="63">(U5/U9)*100</f>
        <v>108.38001167536564</v>
      </c>
      <c r="V57" s="169">
        <f t="shared" si="63"/>
        <v>93.745653865302629</v>
      </c>
      <c r="W57" s="169">
        <f t="shared" si="61"/>
        <v>101.45773030237011</v>
      </c>
    </row>
    <row r="58" spans="1:23"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row>
    <row r="59" spans="1:23" x14ac:dyDescent="0.2">
      <c r="A59" s="341"/>
      <c r="B59" s="163"/>
      <c r="C59" s="164" t="s">
        <v>443</v>
      </c>
      <c r="D59" s="204" t="s">
        <v>441</v>
      </c>
      <c r="E59" s="176" t="s">
        <v>1</v>
      </c>
      <c r="F59" s="166">
        <f>(ＣＦ!D22+PL!L32+(PL!L37-PL!L38))/PL!L32</f>
        <v>-8.5643833387206865</v>
      </c>
      <c r="G59" s="166">
        <f>(ＣＦ!E22+PL!M32+(PL!M37-PL!M38))/PL!M32</f>
        <v>16.526445152478033</v>
      </c>
      <c r="H59" s="166">
        <f>(ＣＦ!F22+PL!N32+(PL!N37-PL!N38))/PL!N32</f>
        <v>6.5572727967812128</v>
      </c>
      <c r="I59" s="166">
        <f>(ＣＦ!G22+PL!O32+(PL!O37-PL!O38))/PL!O32</f>
        <v>-4.2027911222388168</v>
      </c>
      <c r="J59" s="166">
        <f>(ＣＦ!H22+PL!P32+(PL!P37-PL!P38))/PL!P32</f>
        <v>3.2077097599169022</v>
      </c>
      <c r="K59" s="166">
        <f>(ＣＦ!I22+PL!Q32+(PL!Q37-PL!Q38))/PL!Q32</f>
        <v>-8.8097111797493854E-2</v>
      </c>
      <c r="L59" s="166">
        <f>(ＣＦ!J22+PL!R32+(PL!R37-PL!R38))/PL!R32</f>
        <v>11.671257067190769</v>
      </c>
      <c r="M59" s="166">
        <f>(ＣＦ!K22+PL!S32+(PL!S37-PL!S38))/PL!S32</f>
        <v>-4.7978988926920154</v>
      </c>
      <c r="N59" s="166">
        <f>(ＣＦ!L22+PL!T32+(PL!T37-PL!T38))/PL!T32</f>
        <v>10.533512277145435</v>
      </c>
      <c r="O59" s="166">
        <f>(ＣＦ!M22+PL!U32+(PL!U37-PL!U38))/PL!U32</f>
        <v>20.547299349310169</v>
      </c>
      <c r="P59" s="166">
        <f>(ＣＦ!N22+PL!V32+(PL!V37-PL!V38))/PL!V32</f>
        <v>-14.94424386817332</v>
      </c>
      <c r="Q59" s="166">
        <f>(ＣＦ!O22+PL!W32+(PL!W37-PL!W38))/PL!W32</f>
        <v>19.81773022406129</v>
      </c>
      <c r="R59" s="166">
        <f>(ＣＦ!P22+PL!X32+(PL!X37-PL!X38))/PL!X32</f>
        <v>16.933419560516754</v>
      </c>
      <c r="S59" s="166">
        <f>(ＣＦ!Q22+PL!Y32+(PL!Y37-PL!Y38))/PL!Y32</f>
        <v>10.769381290680119</v>
      </c>
      <c r="T59" s="166">
        <f>(ＣＦ!R22+PL!Z32+(PL!Z37-PL!Z38))/PL!Z32</f>
        <v>4.1340684359404527</v>
      </c>
      <c r="U59" s="166">
        <f>(ＣＦ!S22+PL!AA32+(PL!AA37-PL!AA38))/PL!AA32</f>
        <v>2.9607604790964683</v>
      </c>
      <c r="V59" s="166">
        <f>(ＣＦ!T22+PL!AB32+(PL!AB37-PL!AB38))/PL!AB32</f>
        <v>188.00929595534737</v>
      </c>
      <c r="W59" s="166">
        <f>(ＣＦ!U22+PL!AC32+(PL!AC37-PL!AC38))/PL!AC32</f>
        <v>6.4096758375367084</v>
      </c>
    </row>
    <row r="60" spans="1:23" x14ac:dyDescent="0.2">
      <c r="A60" s="341"/>
      <c r="B60" s="163"/>
      <c r="C60" s="164" t="s">
        <v>444</v>
      </c>
      <c r="D60" s="204" t="s">
        <v>404</v>
      </c>
      <c r="E60" s="176" t="s">
        <v>455</v>
      </c>
      <c r="F60" s="166">
        <f>(ＣＦ!D22/(BS!L33+BS!L38+BS!L39))*100</f>
        <v>-28.638670591662468</v>
      </c>
      <c r="G60" s="166">
        <f>(ＣＦ!E22/(BS!M33+BS!M38+BS!M39))*100</f>
        <v>52.520720742224277</v>
      </c>
      <c r="H60" s="166">
        <f>(ＣＦ!F22/(BS!N33+BS!N38+BS!N39))*100</f>
        <v>10.623682343629227</v>
      </c>
      <c r="I60" s="166">
        <f>(ＣＦ!G22/(BS!O33+BS!O38+BS!O39))*100</f>
        <v>-14.816754017686584</v>
      </c>
      <c r="J60" s="166">
        <f>(ＣＦ!H22/(BS!P33+BS!P38+BS!P39))*100</f>
        <v>4.5593736244987682</v>
      </c>
      <c r="K60" s="166">
        <f>(ＣＦ!I22/(BS!Q33+BS!Q38+BS!Q39))*100</f>
        <v>-4.5289211820612385</v>
      </c>
      <c r="L60" s="166">
        <f>(ＣＦ!J22/(BS!R33+BS!R38+BS!R39))*100</f>
        <v>31.598693041319837</v>
      </c>
      <c r="M60" s="166">
        <f>(ＣＦ!K22/(BS!S33+BS!S38+BS!S39))*100</f>
        <v>-22.357368954742814</v>
      </c>
      <c r="N60" s="166">
        <f>(ＣＦ!L22/(BS!T33+BS!T38+BS!T39))*100</f>
        <v>20.468296891474139</v>
      </c>
      <c r="O60" s="166">
        <f>(ＣＦ!M22/(BS!U33+BS!U38+BS!U39))*100</f>
        <v>40.402769737110134</v>
      </c>
      <c r="P60" s="166">
        <f>(ＣＦ!N22/(BS!V33+BS!V38+BS!V39))*100</f>
        <v>-36.7574569074484</v>
      </c>
      <c r="Q60" s="166">
        <f>(ＣＦ!O22/(BS!W33+BS!W38+BS!W39))*100</f>
        <v>30.538840403472712</v>
      </c>
      <c r="R60" s="166">
        <f>(ＣＦ!P22/(BS!X33+BS!X38+BS!X39))*100</f>
        <v>25.709892100505527</v>
      </c>
      <c r="S60" s="166">
        <f>(ＣＦ!Q22/(BS!Y33+BS!Y38+BS!Y39))*100</f>
        <v>16.293916113285018</v>
      </c>
      <c r="T60" s="166">
        <f>(ＣＦ!R22/(BS!Z33+BS!Z38+BS!Z39))*100</f>
        <v>2.2073442960797052</v>
      </c>
      <c r="U60" s="166">
        <f>(ＣＦ!S22/(BS!AA33+BS!AA38+BS!AA39))*100</f>
        <v>0.15110426512280284</v>
      </c>
      <c r="V60" s="166">
        <f>(ＣＦ!T22/(BS!AB33+BS!AB38+BS!AB39))*100</f>
        <v>159.92281593735908</v>
      </c>
      <c r="W60" s="166">
        <f>(ＣＦ!U22/(BS!AC33+BS!AC38+BS!AC39))*100</f>
        <v>6.293698504680501</v>
      </c>
    </row>
    <row r="61" spans="1:23" x14ac:dyDescent="0.2">
      <c r="A61" s="341"/>
      <c r="B61" s="167"/>
      <c r="C61" s="168" t="s">
        <v>445</v>
      </c>
      <c r="D61" s="205" t="s">
        <v>404</v>
      </c>
      <c r="E61" s="177" t="s">
        <v>455</v>
      </c>
      <c r="F61" s="169">
        <f>(ＣＦ!D22/ＣＦ!D26)</f>
        <v>1.2131628691128848</v>
      </c>
      <c r="G61" s="169">
        <f>(ＣＦ!E22/ＣＦ!E26)</f>
        <v>0.61375343354064493</v>
      </c>
      <c r="H61" s="169">
        <f>(ＣＦ!F22/ＣＦ!F26)</f>
        <v>-0.66842081587018443</v>
      </c>
      <c r="I61" s="169">
        <f>(ＣＦ!G22/ＣＦ!G26)</f>
        <v>0.89018011322639934</v>
      </c>
      <c r="J61" s="169">
        <f>(ＣＦ!H22/ＣＦ!H26)</f>
        <v>-0.21852357811987552</v>
      </c>
      <c r="K61" s="169">
        <f>(ＣＦ!I22/ＣＦ!I26)</f>
        <v>0.89998952969847779</v>
      </c>
      <c r="L61" s="169">
        <f>(ＣＦ!J22/ＣＦ!J26)</f>
        <v>-1.5032680313875142</v>
      </c>
      <c r="M61" s="169">
        <f>(ＣＦ!K22/ＣＦ!K26)</f>
        <v>-0.53718483975110443</v>
      </c>
      <c r="N61" s="169">
        <f>(ＣＦ!L22/ＣＦ!L26)</f>
        <v>3.4098799986260699</v>
      </c>
      <c r="O61" s="169">
        <f>(ＣＦ!M22/ＣＦ!M26)</f>
        <v>-1.9482271394559081</v>
      </c>
      <c r="P61" s="169">
        <f>(ＣＦ!N22/ＣＦ!N26)</f>
        <v>-1.2269802847627604</v>
      </c>
      <c r="Q61" s="169">
        <f>(ＣＦ!O22/ＣＦ!O26)</f>
        <v>-2.0460244851557099</v>
      </c>
      <c r="R61" s="169">
        <f>(ＣＦ!P22/ＣＦ!P26)</f>
        <v>-0.56135936246228146</v>
      </c>
      <c r="S61" s="169">
        <f>(ＣＦ!Q22/ＣＦ!Q26)</f>
        <v>-0.85766655087583954</v>
      </c>
      <c r="T61" s="169">
        <f>(ＣＦ!R22/ＣＦ!R26)</f>
        <v>-0.44919631007069821</v>
      </c>
      <c r="U61" s="169">
        <f>(ＣＦ!S22/ＣＦ!S26)</f>
        <v>9.5600905708583414E-2</v>
      </c>
      <c r="V61" s="169">
        <f>(ＣＦ!T22/ＣＦ!T26)</f>
        <v>-1.0683248292644403</v>
      </c>
      <c r="W61" s="169">
        <f>(ＣＦ!U22/ＣＦ!U26)</f>
        <v>-0.95020972529558334</v>
      </c>
    </row>
    <row r="62" spans="1:23"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row>
    <row r="63" spans="1:23" x14ac:dyDescent="0.2">
      <c r="A63" s="341"/>
      <c r="B63" s="163"/>
      <c r="C63" s="164" t="s">
        <v>447</v>
      </c>
      <c r="D63" s="204" t="s">
        <v>404</v>
      </c>
      <c r="E63" s="166">
        <f>(PL!K47/PL!K6)*100</f>
        <v>44.88874691476569</v>
      </c>
      <c r="F63" s="166">
        <f>(PL!L47/PL!L6)*100</f>
        <v>43.04016156354956</v>
      </c>
      <c r="G63" s="166">
        <f>(PL!M47/PL!M6)*100</f>
        <v>45.260509144085958</v>
      </c>
      <c r="H63" s="166">
        <f>(PL!N47/PL!N6)*100</f>
        <v>50.993721051598499</v>
      </c>
      <c r="I63" s="166">
        <f>(PL!O47/PL!O6)*100</f>
        <v>44.007235881907917</v>
      </c>
      <c r="J63" s="166">
        <f>(PL!P47/PL!P6)*100</f>
        <v>49.75226087880197</v>
      </c>
      <c r="K63" s="166">
        <f>(PL!Q47/PL!Q6)*100</f>
        <v>51.207962099953377</v>
      </c>
      <c r="L63" s="166">
        <f>(PL!R47/PL!R6)*100</f>
        <v>44.696252510751322</v>
      </c>
      <c r="M63" s="166">
        <f>(PL!S47/PL!S6)*100</f>
        <v>45.482910731072415</v>
      </c>
      <c r="N63" s="166">
        <f>(PL!T47/PL!T6)*100</f>
        <v>51.341568078575669</v>
      </c>
      <c r="O63" s="166">
        <f>(PL!U47/PL!U6)*100</f>
        <v>46.315560742963271</v>
      </c>
      <c r="P63" s="166">
        <f>(PL!V47/PL!V6)*100</f>
        <v>46.676241819765849</v>
      </c>
      <c r="Q63" s="166">
        <f>(PL!W47/PL!W6)*100</f>
        <v>45.0600135653794</v>
      </c>
      <c r="R63" s="166">
        <f>(PL!X47/PL!X6)*100</f>
        <v>53.982960876507526</v>
      </c>
      <c r="S63" s="166">
        <f>(PL!Y47/PL!Y6)*100</f>
        <v>48.063998723186259</v>
      </c>
      <c r="T63" s="166">
        <f>(PL!Z47/PL!Z6)*100</f>
        <v>52.347534319430224</v>
      </c>
      <c r="U63" s="166">
        <f>(PL!AA47/PL!AA6)*100</f>
        <v>51.97657051545945</v>
      </c>
      <c r="V63" s="166">
        <f>(PL!AB47/PL!AB6)*100</f>
        <v>50.988554242830794</v>
      </c>
      <c r="W63" s="166">
        <f>(PL!AC47/PL!AC6)*100</f>
        <v>53.764222741364939</v>
      </c>
    </row>
    <row r="64" spans="1:23" x14ac:dyDescent="0.2">
      <c r="A64" s="341"/>
      <c r="B64" s="167"/>
      <c r="C64" s="168" t="s">
        <v>448</v>
      </c>
      <c r="D64" s="205" t="s">
        <v>404</v>
      </c>
      <c r="E64" s="172">
        <f>(PL!K34+PL!K11+PL!K17+PL!K32+PL!K18+PL!K26+PL!K24+PL!K13)/(BS!K18+BS!K19)*100</f>
        <v>298.80412876137166</v>
      </c>
      <c r="F64" s="172">
        <f>(PL!L34+PL!L11+PL!L17+PL!L32+PL!L18+PL!L26+PL!L24+PL!L13)/(BS!L18+BS!L19)*100</f>
        <v>524.24103953074882</v>
      </c>
      <c r="G64" s="172">
        <f>(PL!M34+PL!M11+PL!M17+PL!M32+PL!M18+PL!M26+PL!M24+PL!M13)/(BS!M18+BS!M19)*100</f>
        <v>798.76973943319638</v>
      </c>
      <c r="H64" s="172">
        <f>(PL!N34+PL!N11+PL!N17+PL!N32+PL!N18+PL!N26+PL!N24+PL!N13)/(BS!N18+BS!N19)*100</f>
        <v>458.48085188532838</v>
      </c>
      <c r="I64" s="172">
        <f>(PL!O34+PL!O11+PL!O17+PL!O32+PL!O18+PL!O26+PL!O24+PL!O13)/(BS!O18+BS!O19)*100</f>
        <v>402.14439542754121</v>
      </c>
      <c r="J64" s="172">
        <f>(PL!P34+PL!P11+PL!P17+PL!P32+PL!P18+PL!P26+PL!P24+PL!P13)/(BS!P18+BS!P19)*100</f>
        <v>318.88333462083688</v>
      </c>
      <c r="K64" s="172">
        <f>(PL!Q34+PL!Q11+PL!Q17+PL!Q32+PL!Q18+PL!Q26+PL!Q24+PL!Q13)/(BS!Q18+BS!Q19)*100</f>
        <v>360.6430993106647</v>
      </c>
      <c r="L64" s="172">
        <f>(PL!R34+PL!R11+PL!R17+PL!R32+PL!R18+PL!R26+PL!R24+PL!R13)/(BS!R18+BS!R19)*100</f>
        <v>438.52846571162434</v>
      </c>
      <c r="M64" s="172">
        <f>(PL!S34+PL!S11+PL!S17+PL!S32+PL!S18+PL!S26+PL!S24+PL!S13)/(BS!S18+BS!S19)*100</f>
        <v>492.34156897128986</v>
      </c>
      <c r="N64" s="172">
        <f>(PL!T34+PL!T11+PL!T17+PL!T32+PL!T18+PL!T26+PL!T24+PL!T13)/(BS!T18+BS!T19)*100</f>
        <v>604.98211618654204</v>
      </c>
      <c r="O64" s="172">
        <f>(PL!U34+PL!U11+PL!U17+PL!U32+PL!U18+PL!U26+PL!U24+PL!U13)/(BS!U18+BS!U19)*100</f>
        <v>526.24472950131667</v>
      </c>
      <c r="P64" s="172">
        <f>(PL!V34+PL!V11+PL!V17+PL!V32+PL!V18+PL!V26+PL!V24+PL!V13)/(BS!V18+BS!V19)*100</f>
        <v>459.7808704547175</v>
      </c>
      <c r="Q64" s="172">
        <f>(PL!W34+PL!W11+PL!W17+PL!W32+PL!W18+PL!W26+PL!W24+PL!W13)/(BS!W18+BS!W19)*100</f>
        <v>509.23906854504526</v>
      </c>
      <c r="R64" s="172">
        <f>(PL!X34+PL!X11+PL!X17+PL!X32+PL!X18+PL!X26+PL!X24+PL!X13)/(BS!X18+BS!X19)*100</f>
        <v>720.06245952285747</v>
      </c>
      <c r="S64" s="172">
        <f>(PL!Y34+PL!Y11+PL!Y17+PL!Y32+PL!Y18+PL!Y26+PL!Y24+PL!Y13)/(BS!Y18+BS!Y19)*100</f>
        <v>330.18729046735456</v>
      </c>
      <c r="T64" s="172">
        <f>(PL!Z34+PL!Z11+PL!Z17+PL!Z32+PL!Z18+PL!Z26+PL!Z24+PL!Z13)/(BS!Z18+BS!Z19)*100</f>
        <v>430.58479319420098</v>
      </c>
      <c r="U64" s="172">
        <f>(PL!AA34+PL!AA11+PL!AA17+PL!AA32+PL!AA18+PL!AA26+PL!AA24+PL!AA13)/(BS!AA18+BS!AA19)*100</f>
        <v>357.34820185120071</v>
      </c>
      <c r="V64" s="172">
        <f>(PL!AB34+PL!AB11+PL!AB17+PL!AB32+PL!AB18+PL!AB26+PL!AB24+PL!AB13)/(BS!AB18+BS!AB19)*100</f>
        <v>474.17297083729483</v>
      </c>
      <c r="W64" s="172">
        <f>(PL!AC34+PL!AC11+PL!AC17+PL!AC32+PL!AC18+PL!AC26+PL!AC24+PL!AC13)/(BS!AC18+BS!AC19)*100</f>
        <v>458.65624988912401</v>
      </c>
    </row>
    <row r="65" spans="1:23"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row>
    <row r="66" spans="1:23" x14ac:dyDescent="0.2">
      <c r="A66" s="341"/>
      <c r="B66" s="167"/>
      <c r="C66" s="168" t="s">
        <v>450</v>
      </c>
      <c r="D66" s="205" t="s">
        <v>404</v>
      </c>
      <c r="E66" s="169">
        <f>(PL!K11+PL!K17)/PL!K47*100</f>
        <v>51.467446017805706</v>
      </c>
      <c r="F66" s="169">
        <f>(PL!L11+PL!L17)/PL!L47*100</f>
        <v>59.003410658225562</v>
      </c>
      <c r="G66" s="169">
        <f>(PL!M11+PL!M17)/PL!M47*100</f>
        <v>58.678542150337002</v>
      </c>
      <c r="H66" s="169">
        <f>(PL!N11+PL!N17)/PL!N47*100</f>
        <v>55.085010969918294</v>
      </c>
      <c r="I66" s="169">
        <f>(PL!O11+PL!O17)/PL!O47*100</f>
        <v>58.661769555560937</v>
      </c>
      <c r="J66" s="169">
        <f>(PL!P11+PL!P17)/PL!P47*100</f>
        <v>49.787223116868667</v>
      </c>
      <c r="K66" s="169">
        <f>(PL!Q11+PL!Q17)/PL!Q47*100</f>
        <v>55.642915792818329</v>
      </c>
      <c r="L66" s="169">
        <f>(PL!R11+PL!R17)/PL!R47*100</f>
        <v>60.028741343552049</v>
      </c>
      <c r="M66" s="169">
        <f>(PL!S11+PL!S17)/PL!S47*100</f>
        <v>54.24630252064663</v>
      </c>
      <c r="N66" s="169">
        <f>(PL!T11+PL!T17)/PL!T47*100</f>
        <v>58.714151187617837</v>
      </c>
      <c r="O66" s="169">
        <f>(PL!U11+PL!U17)/PL!U47*100</f>
        <v>51.757802735807942</v>
      </c>
      <c r="P66" s="169">
        <f>(PL!V11+PL!V17)/PL!V47*100</f>
        <v>52.923180493529053</v>
      </c>
      <c r="Q66" s="169">
        <f>(PL!W11+PL!W17)/PL!W47*100</f>
        <v>50.274686201624384</v>
      </c>
      <c r="R66" s="169">
        <f>(PL!X11+PL!X17)/PL!X47*100</f>
        <v>51.32779019154551</v>
      </c>
      <c r="S66" s="169">
        <f>(PL!Y11+PL!Y17)/PL!Y47*100</f>
        <v>49.209527491711079</v>
      </c>
      <c r="T66" s="169">
        <f>(PL!Z11+PL!Z17)/PL!Z47*100</f>
        <v>53.201024376507512</v>
      </c>
      <c r="U66" s="169">
        <f>(PL!AA11+PL!AA17)/PL!AA47*100</f>
        <v>44.803451173065142</v>
      </c>
      <c r="V66" s="169">
        <f>(PL!AB11+PL!AB17)/PL!AB47*100</f>
        <v>48.725662709838787</v>
      </c>
      <c r="W66" s="169">
        <f>(PL!AC11+PL!AC17)/PL!AC47*100</f>
        <v>44.235938283882888</v>
      </c>
    </row>
    <row r="67" spans="1:23"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row>
    <row r="68" spans="1:23" x14ac:dyDescent="0.2">
      <c r="A68" s="341"/>
      <c r="B68" s="163"/>
      <c r="C68" s="164" t="s">
        <v>452</v>
      </c>
      <c r="D68" s="204" t="s">
        <v>404</v>
      </c>
      <c r="E68" s="166">
        <f>(BS!K33+BS!K34+BS!K38+BS!K39+BS!K40)/BS!K8*100</f>
        <v>42.23515026817941</v>
      </c>
      <c r="F68" s="166">
        <f>(BS!L33+BS!L34+BS!L38+BS!L39+BS!L40)/BS!L8*100</f>
        <v>55.367005494987801</v>
      </c>
      <c r="G68" s="166">
        <f>(BS!M33+BS!M34+BS!M38+BS!M39+BS!M40)/BS!M8*100</f>
        <v>41.44647711716329</v>
      </c>
      <c r="H68" s="166">
        <f>(BS!N33+BS!N34+BS!N38+BS!N39+BS!N40)/BS!N8*100</f>
        <v>38.231968962853699</v>
      </c>
      <c r="I68" s="166">
        <f>(BS!O33+BS!O34+BS!O38+BS!O39+BS!O40)/BS!O8*100</f>
        <v>48.964517947916981</v>
      </c>
      <c r="J68" s="166">
        <f>(BS!P33+BS!P34+BS!P38+BS!P39+BS!P40)/BS!P8*100</f>
        <v>43.1380778253382</v>
      </c>
      <c r="K68" s="166">
        <f>(BS!Q33+BS!Q34+BS!Q38+BS!Q39+BS!Q40)/BS!Q8*100</f>
        <v>40.956122943379754</v>
      </c>
      <c r="L68" s="166">
        <f>(BS!R33+BS!R34+BS!R38+BS!R39+BS!R40)/BS!R8*100</f>
        <v>52.186573880422436</v>
      </c>
      <c r="M68" s="166">
        <f>(BS!S33+BS!S34+BS!S38+BS!S39+BS!S40)/BS!S8*100</f>
        <v>47.197486615318951</v>
      </c>
      <c r="N68" s="166">
        <f>(BS!T33+BS!T34+BS!T38+BS!T39+BS!T40)/BS!T8*100</f>
        <v>45.822750018887263</v>
      </c>
      <c r="O68" s="166">
        <f>(BS!U33+BS!U34+BS!U38+BS!U39+BS!U40)/BS!U8*100</f>
        <v>40.855343163376325</v>
      </c>
      <c r="P68" s="166">
        <f>(BS!V33+BS!V34+BS!V38+BS!V39+BS!V40)/BS!V8*100</f>
        <v>36.057652304096031</v>
      </c>
      <c r="Q68" s="166">
        <f>(BS!W33+BS!W34+BS!W38+BS!W39+BS!W40)/BS!W8*100</f>
        <v>31.683338291980867</v>
      </c>
      <c r="R68" s="166">
        <f>(BS!X33+BS!X34+BS!X38+BS!X39+BS!X40)/BS!X8*100</f>
        <v>43.443209599920884</v>
      </c>
      <c r="S68" s="166">
        <f>(BS!Y33+BS!Y34+BS!Y38+BS!Y39+BS!Y40)/BS!Y8*100</f>
        <v>32.091188489535504</v>
      </c>
      <c r="T68" s="166">
        <f>(BS!Z33+BS!Z34+BS!Z38+BS!Z39+BS!Z40)/BS!Z8*100</f>
        <v>43.77606836191417</v>
      </c>
      <c r="U68" s="166">
        <f>(BS!AA33+BS!AA34+BS!AA38+BS!AA39+BS!AA40)/BS!AA8*100</f>
        <v>39.541158517481307</v>
      </c>
      <c r="V68" s="166">
        <f>(BS!AB33+BS!AB34+BS!AB38+BS!AB39+BS!AB40)/BS!AB8*100</f>
        <v>37.772455428133334</v>
      </c>
      <c r="W68" s="166">
        <f>(BS!AC33+BS!AC34+BS!AC38+BS!AC39+BS!AC40)/BS!AC8*100</f>
        <v>40.415955136322395</v>
      </c>
    </row>
    <row r="69" spans="1:23" x14ac:dyDescent="0.2">
      <c r="A69" s="341"/>
      <c r="B69" s="163"/>
      <c r="C69" s="164" t="s">
        <v>453</v>
      </c>
      <c r="D69" s="204" t="s">
        <v>404</v>
      </c>
      <c r="E69" s="166">
        <f>PL!K32/PL!K6*100</f>
        <v>1.2084913281481773</v>
      </c>
      <c r="F69" s="166">
        <f>PL!L32/PL!L6*100</f>
        <v>1.234845827590507</v>
      </c>
      <c r="G69" s="166">
        <f>PL!M32/PL!M6*100</f>
        <v>0.98301002877064481</v>
      </c>
      <c r="H69" s="166">
        <f>PL!N32/PL!N6*100</f>
        <v>0.73988027511442667</v>
      </c>
      <c r="I69" s="166">
        <f>PL!O32/PL!O6*100</f>
        <v>0.94986169267573861</v>
      </c>
      <c r="J69" s="166">
        <f>PL!P32/PL!P6*100</f>
        <v>0.9546864805186005</v>
      </c>
      <c r="K69" s="166">
        <f>PL!Q32/PL!Q6*100</f>
        <v>1.2067192895380776</v>
      </c>
      <c r="L69" s="166">
        <f>PL!R32/PL!R6*100</f>
        <v>1.3547299517845079</v>
      </c>
      <c r="M69" s="166">
        <f>PL!S32/PL!S6*100</f>
        <v>1.1844753171650151</v>
      </c>
      <c r="N69" s="166">
        <f>PL!T32/PL!T6*100</f>
        <v>0.69642383126257845</v>
      </c>
      <c r="O69" s="166">
        <f>PL!U32/PL!U6*100</f>
        <v>0.6773919129003938</v>
      </c>
      <c r="P69" s="166">
        <f>PL!V32/PL!V6*100</f>
        <v>0.69939067632324159</v>
      </c>
      <c r="Q69" s="166">
        <f>PL!W32/PL!W6*100</f>
        <v>0.48811051469714656</v>
      </c>
      <c r="R69" s="166">
        <f>PL!X32/PL!X6*100</f>
        <v>0.57849004739716348</v>
      </c>
      <c r="S69" s="166">
        <f>PL!Y32/PL!Y6*100</f>
        <v>0.54246420521444993</v>
      </c>
      <c r="T69" s="166">
        <f>PL!Z32/PL!Z6*100</f>
        <v>0.58441115747966377</v>
      </c>
      <c r="U69" s="166">
        <f>PL!AA32/PL!AA6*100</f>
        <v>0.46515549640369047</v>
      </c>
      <c r="V69" s="166">
        <f>PL!AB32/PL!AB6*100</f>
        <v>0.39237125509751009</v>
      </c>
      <c r="W69" s="166">
        <f>PL!AC32/PL!AC6*100</f>
        <v>0.46106374953507268</v>
      </c>
    </row>
    <row r="70" spans="1:23" x14ac:dyDescent="0.2">
      <c r="A70" s="341"/>
      <c r="B70" s="163"/>
      <c r="C70" s="164" t="s">
        <v>566</v>
      </c>
      <c r="D70" s="204" t="s">
        <v>254</v>
      </c>
      <c r="E70" s="158">
        <f>PL!K28+PL!K13+PL!K24</f>
        <v>4265.9466139397</v>
      </c>
      <c r="F70" s="158">
        <f>PL!L28+PL!L13+PL!L24</f>
        <v>3534.633418584825</v>
      </c>
      <c r="G70" s="158">
        <f>PL!M28+PL!M13+PL!M24</f>
        <v>2695.1023325066922</v>
      </c>
      <c r="H70" s="158">
        <f>PL!N28+PL!N13+PL!N24</f>
        <v>3414.3078985387028</v>
      </c>
      <c r="I70" s="158">
        <f>PL!O28+PL!O13+PL!O24</f>
        <v>3211.9620469876118</v>
      </c>
      <c r="J70" s="158">
        <f>PL!P28+PL!P13+PL!P24</f>
        <v>4252.5838678994551</v>
      </c>
      <c r="K70" s="158">
        <f>PL!Q28+PL!Q13+PL!Q24</f>
        <v>559.37221278379138</v>
      </c>
      <c r="L70" s="158">
        <f>PL!R28+PL!R13+PL!R24</f>
        <v>1863.9137733750417</v>
      </c>
      <c r="M70" s="158">
        <f>PL!S28+PL!S13+PL!S24</f>
        <v>5154.7414864336406</v>
      </c>
      <c r="N70" s="158">
        <f>PL!T28+PL!T13+PL!T24</f>
        <v>4739.6268795262959</v>
      </c>
      <c r="O70" s="158">
        <f>PL!U28+PL!U13+PL!U24</f>
        <v>5750.9539553075783</v>
      </c>
      <c r="P70" s="158">
        <f>PL!V28+PL!V13+PL!V24</f>
        <v>7077.521290802717</v>
      </c>
      <c r="Q70" s="158">
        <f>PL!W28+PL!W13+PL!W24</f>
        <v>8343.8680013664562</v>
      </c>
      <c r="R70" s="158">
        <f>PL!X28+PL!X13+PL!X24</f>
        <v>7776.55113185344</v>
      </c>
      <c r="S70" s="158">
        <f>PL!Y28+PL!Y13+PL!Y24</f>
        <v>9390.4555407346215</v>
      </c>
      <c r="T70" s="158">
        <f>PL!Z28+PL!Z13+PL!Z24</f>
        <v>7142.7037006649362</v>
      </c>
      <c r="U70" s="158">
        <f>PL!AA28+PL!AA13+PL!AA24</f>
        <v>8794.1609444645219</v>
      </c>
      <c r="V70" s="158">
        <f>PL!AB28+PL!AB13+PL!AB24</f>
        <v>5257.1645231739876</v>
      </c>
      <c r="W70" s="158">
        <f>PL!AC28+PL!AC13+PL!AC24</f>
        <v>5810.5450276908268</v>
      </c>
    </row>
    <row r="71" spans="1:23" x14ac:dyDescent="0.2">
      <c r="A71" s="342"/>
      <c r="B71" s="167"/>
      <c r="C71" s="168" t="s">
        <v>567</v>
      </c>
      <c r="D71" s="205" t="s">
        <v>441</v>
      </c>
      <c r="E71" s="266">
        <f>(BS!K33+BS!K34+BS!K38+BS!K39+BS!K40-BS!K10)/E70</f>
        <v>10.103580413000678</v>
      </c>
      <c r="F71" s="266">
        <f>(BS!L33+BS!L34+BS!L38+BS!L39+BS!L40-BS!L10)/F70</f>
        <v>25.780005426753899</v>
      </c>
      <c r="G71" s="266">
        <f>(BS!M33+BS!M34+BS!M38+BS!M39+BS!M40-BS!M10)/G70</f>
        <v>10.664359978691746</v>
      </c>
      <c r="H71" s="266">
        <f>(BS!N33+BS!N34+BS!N38+BS!N39+BS!N40-BS!N10)/H70</f>
        <v>8.7039659345550735</v>
      </c>
      <c r="I71" s="266">
        <f>(BS!O33+BS!O34+BS!O38+BS!O39+BS!O40-BS!O10)/I70</f>
        <v>15.608045732903689</v>
      </c>
      <c r="J71" s="266">
        <f>(BS!P33+BS!P34+BS!P38+BS!P39+BS!P40-BS!P10)/J70</f>
        <v>14.195253051942791</v>
      </c>
      <c r="K71" s="266">
        <f>(BS!Q33+BS!Q34+BS!Q38+BS!Q39+BS!Q40-BS!Q10)/K70</f>
        <v>118.1339361557358</v>
      </c>
      <c r="L71" s="266">
        <f>(BS!R33+BS!R34+BS!R38+BS!R39+BS!R40-BS!R10)/L70</f>
        <v>32.557447329308701</v>
      </c>
      <c r="M71" s="266">
        <f>(BS!S33+BS!S34+BS!S38+BS!S39+BS!S40-BS!S10)/M70</f>
        <v>9.4915323008197205</v>
      </c>
      <c r="N71" s="266">
        <f>(BS!T33+BS!T34+BS!T38+BS!T39+BS!T40-BS!T10)/N70</f>
        <v>8.0390856030978579</v>
      </c>
      <c r="O71" s="266">
        <f>(BS!U33+BS!U34+BS!U38+BS!U39+BS!U40-BS!U10)/O70</f>
        <v>4.9242625097930244</v>
      </c>
      <c r="P71" s="266">
        <f>(BS!V33+BS!V34+BS!V38+BS!V39+BS!V40-BS!V10)/P70</f>
        <v>4.1805483555027472</v>
      </c>
      <c r="Q71" s="266">
        <f>(BS!W33+BS!W34+BS!W38+BS!W39+BS!W40-BS!W10)/Q70</f>
        <v>2.9674015573369865</v>
      </c>
      <c r="R71" s="266">
        <f>(BS!X33+BS!X34+BS!X38+BS!X39+BS!X40-BS!X10)/R70</f>
        <v>4.6691573262253492</v>
      </c>
      <c r="S71" s="266">
        <f>(BS!Y33+BS!Y34+BS!Y38+BS!Y39+BS!Y40-BS!Y10)/S70</f>
        <v>2.5159627644492235</v>
      </c>
      <c r="T71" s="266">
        <f>(BS!Z33+BS!Z34+BS!Z38+BS!Z39+BS!Z40-BS!Z10)/T70</f>
        <v>5.1365478667158442</v>
      </c>
      <c r="U71" s="266">
        <f>(BS!AA33+BS!AA34+BS!AA38+BS!AA39+BS!AA40-BS!AA10)/U70</f>
        <v>4.2458216695732744</v>
      </c>
      <c r="V71" s="266">
        <f>(BS!AB33+BS!AB34+BS!AB38+BS!AB39+BS!AB40-BS!AB10)/V70</f>
        <v>4.1625275129790156</v>
      </c>
      <c r="W71" s="266">
        <f>(BS!AC33+BS!AC34+BS!AC38+BS!AC39+BS!AC40-BS!AC10)/W70</f>
        <v>4.8950496170029876</v>
      </c>
    </row>
    <row r="72" spans="1:23" x14ac:dyDescent="0.2">
      <c r="B72" s="76" t="s">
        <v>577</v>
      </c>
    </row>
  </sheetData>
  <sheetProtection algorithmName="SHA-512" hashValue="uQaXPDFu4ysPI7/73YuLEWd+eqLSTf3CrlaKVTLae6O8Itp6cUAvE5eS/AFgI7HFeU107hqnOPgOM64rql5YMw==" saltValue="g6d0xw30skkXHNqKTfJ+U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6"/>
  <sheetViews>
    <sheetView topLeftCell="B1" workbookViewId="0">
      <selection activeCell="U3" sqref="U3"/>
    </sheetView>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1" ht="12.6" x14ac:dyDescent="0.2">
      <c r="A1" s="252" t="s">
        <v>540</v>
      </c>
      <c r="B1" s="253"/>
      <c r="C1" s="252"/>
      <c r="D1" s="252"/>
      <c r="E1" s="252"/>
      <c r="F1" s="252"/>
      <c r="G1" s="252"/>
      <c r="H1" s="252"/>
      <c r="I1" s="252"/>
      <c r="J1" s="252"/>
      <c r="K1" s="252"/>
      <c r="L1" s="252"/>
      <c r="M1" s="252"/>
      <c r="N1" s="252"/>
      <c r="O1" s="252"/>
      <c r="P1" s="252"/>
      <c r="Q1" s="252"/>
    </row>
    <row r="2" spans="1:21" ht="12.6" x14ac:dyDescent="0.2">
      <c r="A2" s="254" t="str">
        <f>BS!A2</f>
        <v>１３　家具・装備品製造業</v>
      </c>
      <c r="B2" s="253"/>
      <c r="C2" s="252"/>
      <c r="D2" s="252"/>
      <c r="E2" s="252"/>
      <c r="F2" s="252"/>
      <c r="G2" s="252"/>
      <c r="H2" s="252"/>
      <c r="I2" s="252"/>
      <c r="J2" s="252"/>
      <c r="K2" s="252"/>
      <c r="L2" s="252"/>
      <c r="M2" s="252"/>
      <c r="N2" s="252"/>
      <c r="O2" s="252"/>
      <c r="P2" s="252"/>
      <c r="Q2" s="252"/>
    </row>
    <row r="3" spans="1:21"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578</v>
      </c>
      <c r="T3" s="257" t="s">
        <v>576</v>
      </c>
      <c r="U3" s="257" t="s">
        <v>580</v>
      </c>
    </row>
    <row r="4" spans="1:21" ht="12.6" x14ac:dyDescent="0.2">
      <c r="A4" s="255" t="s">
        <v>310</v>
      </c>
      <c r="B4" s="256" t="s">
        <v>254</v>
      </c>
      <c r="C4" s="258">
        <f>PL!K6</f>
        <v>178690.05190311401</v>
      </c>
      <c r="D4" s="258">
        <f>PL!L6</f>
        <v>228162.5106564365</v>
      </c>
      <c r="E4" s="258">
        <f>PL!M6</f>
        <v>185528.85343416347</v>
      </c>
      <c r="F4" s="258">
        <f>PL!N6</f>
        <v>167398.51104675228</v>
      </c>
      <c r="G4" s="258">
        <f>PL!O6</f>
        <v>173287.57670911792</v>
      </c>
      <c r="H4" s="258">
        <f>PL!P6</f>
        <v>177881.84871766673</v>
      </c>
      <c r="I4" s="258">
        <f>PL!Q6</f>
        <v>171715.58089207942</v>
      </c>
      <c r="J4" s="258">
        <f>PL!R6</f>
        <v>149769.25517416568</v>
      </c>
      <c r="K4" s="258">
        <f>PL!S6</f>
        <v>157111.54862516082</v>
      </c>
      <c r="L4" s="258">
        <f>PL!T6</f>
        <v>150018.4249596498</v>
      </c>
      <c r="M4" s="258">
        <f>PL!U6</f>
        <v>150079.80754763054</v>
      </c>
      <c r="N4" s="258">
        <f>PL!V6</f>
        <v>165545.42591284707</v>
      </c>
      <c r="O4" s="258">
        <f>PL!W6</f>
        <v>176132.00737193864</v>
      </c>
      <c r="P4" s="258">
        <f>PL!X6</f>
        <v>168887.11406020238</v>
      </c>
      <c r="Q4" s="258">
        <f>PL!Y6</f>
        <v>186822.29642525339</v>
      </c>
      <c r="R4" s="258">
        <f>PL!Z6</f>
        <v>164449.18406024383</v>
      </c>
      <c r="S4" s="258">
        <f>PL!AA6</f>
        <v>210560.48789302495</v>
      </c>
      <c r="T4" s="258">
        <f>PL!AB6</f>
        <v>189103.8323222519</v>
      </c>
      <c r="U4" s="258">
        <f>PL!AC6</f>
        <v>206106.80664579821</v>
      </c>
    </row>
    <row r="5" spans="1:21" ht="12.6" x14ac:dyDescent="0.2">
      <c r="A5" s="259" t="s">
        <v>69</v>
      </c>
      <c r="B5" s="256" t="s">
        <v>254</v>
      </c>
      <c r="C5" s="258">
        <f>PL!K42</f>
        <v>1225.6018289670174</v>
      </c>
      <c r="D5" s="258">
        <f>PL!L42</f>
        <v>-519.3947144075064</v>
      </c>
      <c r="E5" s="258">
        <f>PL!M42</f>
        <v>1477.6743135889119</v>
      </c>
      <c r="F5" s="258">
        <f>PL!N42</f>
        <v>2861.3830746563908</v>
      </c>
      <c r="G5" s="258">
        <f>PL!O42</f>
        <v>641.82621089174063</v>
      </c>
      <c r="H5" s="258">
        <f>PL!P42</f>
        <v>512.13282931258436</v>
      </c>
      <c r="I5" s="258">
        <f>PL!Q42</f>
        <v>-3811.3191528423281</v>
      </c>
      <c r="J5" s="258">
        <f>PL!R42</f>
        <v>-968.71286772274459</v>
      </c>
      <c r="K5" s="258">
        <f>PL!S42</f>
        <v>1907.7341621702251</v>
      </c>
      <c r="L5" s="258">
        <f>PL!T42</f>
        <v>1308.1518318185015</v>
      </c>
      <c r="M5" s="258">
        <f>PL!U42</f>
        <v>2825.3804518408192</v>
      </c>
      <c r="N5" s="258">
        <f>PL!V42</f>
        <v>3966.7713859323007</v>
      </c>
      <c r="O5" s="258">
        <f>PL!W42</f>
        <v>4561.438974601514</v>
      </c>
      <c r="P5" s="258">
        <f>PL!X42</f>
        <v>3615.2987489150823</v>
      </c>
      <c r="Q5" s="258">
        <f>PL!Y42</f>
        <v>4987.2692974063229</v>
      </c>
      <c r="R5" s="258">
        <f>PL!Z42</f>
        <v>3288.7702858659486</v>
      </c>
      <c r="S5" s="258">
        <f>PL!AA42</f>
        <v>4285.8043609203705</v>
      </c>
      <c r="T5" s="258">
        <f>PL!AB42</f>
        <v>550.54100946372239</v>
      </c>
      <c r="U5" s="258">
        <f>PL!AC42</f>
        <v>1405.1128100168553</v>
      </c>
    </row>
    <row r="6" spans="1:21" ht="12.6" x14ac:dyDescent="0.2">
      <c r="A6" s="255" t="s">
        <v>317</v>
      </c>
      <c r="B6" s="256" t="s">
        <v>318</v>
      </c>
      <c r="C6" s="260">
        <f>PL!K5</f>
        <v>12.533860603064801</v>
      </c>
      <c r="D6" s="260">
        <f>PL!L5</f>
        <v>13.575554134697358</v>
      </c>
      <c r="E6" s="260">
        <f>PL!M5</f>
        <v>12.234161961694509</v>
      </c>
      <c r="F6" s="260">
        <f>PL!N5</f>
        <v>13.049525075729587</v>
      </c>
      <c r="G6" s="260">
        <f>PL!O5</f>
        <v>12.042501603928507</v>
      </c>
      <c r="H6" s="260">
        <f>PL!P5</f>
        <v>12.65665301851298</v>
      </c>
      <c r="I6" s="260">
        <f>PL!Q5</f>
        <v>12.891024716625235</v>
      </c>
      <c r="J6" s="260">
        <f>PL!R5</f>
        <v>11.369715396230543</v>
      </c>
      <c r="K6" s="260">
        <f>PL!S5</f>
        <v>11.822918680996302</v>
      </c>
      <c r="L6" s="260">
        <f>PL!T5</f>
        <v>11.216756404879648</v>
      </c>
      <c r="M6" s="260">
        <f>PL!U5</f>
        <v>11.259526306681627</v>
      </c>
      <c r="N6" s="260">
        <f>PL!V5</f>
        <v>11.220040071415035</v>
      </c>
      <c r="O6" s="260">
        <f>PL!W5</f>
        <v>11.891748367618137</v>
      </c>
      <c r="P6" s="260">
        <f>PL!X5</f>
        <v>11.841413482968505</v>
      </c>
      <c r="Q6" s="260">
        <f>PL!Y5</f>
        <v>12.158751196879896</v>
      </c>
      <c r="R6" s="260">
        <f>PL!Z5</f>
        <v>12.014836033329496</v>
      </c>
      <c r="S6" s="260">
        <f>PL!AA5</f>
        <v>13.08300204794603</v>
      </c>
      <c r="T6" s="260">
        <f>PL!AB5</f>
        <v>12.472094151904878</v>
      </c>
      <c r="U6" s="260">
        <f>PL!AC5</f>
        <v>12.375150493619071</v>
      </c>
    </row>
    <row r="7" spans="1:21" ht="12.6" x14ac:dyDescent="0.2">
      <c r="A7" s="259" t="s">
        <v>344</v>
      </c>
      <c r="B7" s="256" t="s">
        <v>254</v>
      </c>
      <c r="C7" s="258">
        <f>BS!K33+BS!K34+BS!K38+BS!K39+BS!K40</f>
        <v>72652.496292634722</v>
      </c>
      <c r="D7" s="258">
        <f>BS!L33+BS!L34+BS!L38+BS!L39+BS!L40</f>
        <v>117627.45098039215</v>
      </c>
      <c r="E7" s="258">
        <f>BS!M33+BS!M34+BS!M38+BS!M39+BS!M40</f>
        <v>64068.006326697665</v>
      </c>
      <c r="F7" s="258">
        <f>BS!N33+BS!N34+BS!N38+BS!N39+BS!N40</f>
        <v>65672.914169468117</v>
      </c>
      <c r="G7" s="258">
        <f>BS!O33+BS!O34+BS!O38+BS!O39+BS!O40</f>
        <v>79867.005217781363</v>
      </c>
      <c r="H7" s="258">
        <f>BS!P33+BS!P34+BS!P38+BS!P39+BS!P40</f>
        <v>86256.354903642408</v>
      </c>
      <c r="I7" s="258">
        <f>BS!Q33+BS!Q34+BS!Q38+BS!Q39+BS!Q40</f>
        <v>97370.448415401261</v>
      </c>
      <c r="J7" s="258">
        <f>BS!R33+BS!R34+BS!R38+BS!R39+BS!R40</f>
        <v>82397.102769942721</v>
      </c>
      <c r="K7" s="258">
        <f>BS!S33+BS!S34+BS!S38+BS!S39+BS!S40</f>
        <v>72055.796425449676</v>
      </c>
      <c r="L7" s="258">
        <f>BS!T33+BS!T34+BS!T38+BS!T39+BS!T40</f>
        <v>61452.090927936428</v>
      </c>
      <c r="M7" s="258">
        <f>BS!U33+BS!U34+BS!U38+BS!U39+BS!U40</f>
        <v>55993.422923187849</v>
      </c>
      <c r="N7" s="258">
        <f>BS!V33+BS!V34+BS!V38+BS!V39+BS!V40</f>
        <v>66064.574578398751</v>
      </c>
      <c r="O7" s="258">
        <f>BS!W33+BS!W34+BS!W38+BS!W39+BS!W40</f>
        <v>60418.381980535967</v>
      </c>
      <c r="P7" s="258">
        <f>BS!X33+BS!X34+BS!X38+BS!X39+BS!X40</f>
        <v>66117.477752073173</v>
      </c>
      <c r="Q7" s="258">
        <f>BS!Y33+BS!Y34+BS!Y38+BS!Y39+BS!Y40</f>
        <v>62361.556420184221</v>
      </c>
      <c r="R7" s="258">
        <f>BS!Z33+BS!Z34+BS!Z38+BS!Z39+BS!Z40</f>
        <v>71954.064098286035</v>
      </c>
      <c r="S7" s="258">
        <f>BS!AA33+BS!AA34+BS!AA38+BS!AA39+BS!AA40</f>
        <v>79868.8801349235</v>
      </c>
      <c r="T7" s="258">
        <f>BS!AB33+BS!AB34+BS!AB38+BS!AB39+BS!AB40</f>
        <v>73848.169133705407</v>
      </c>
      <c r="U7" s="258">
        <f>BS!AC33+BS!AC34+BS!AC38+BS!AC39+BS!AC40</f>
        <v>72264.589092222493</v>
      </c>
    </row>
    <row r="8" spans="1:21" ht="12.6" x14ac:dyDescent="0.2">
      <c r="A8" s="259" t="s">
        <v>486</v>
      </c>
      <c r="B8" s="256" t="s">
        <v>254</v>
      </c>
      <c r="C8" s="258">
        <f>BS!K10</f>
        <v>29551.161641127001</v>
      </c>
      <c r="D8" s="258">
        <f>BS!L10</f>
        <v>26504.582267689686</v>
      </c>
      <c r="E8" s="258">
        <f>BS!M10</f>
        <v>35326.464873434525</v>
      </c>
      <c r="F8" s="258">
        <f>BS!N10</f>
        <v>35954.894530504927</v>
      </c>
      <c r="G8" s="258">
        <f>BS!O10</f>
        <v>29734.554696047773</v>
      </c>
      <c r="H8" s="258">
        <f>BS!P10</f>
        <v>25889.850774199989</v>
      </c>
      <c r="I8" s="258">
        <f>BS!Q10</f>
        <v>31289.607143108198</v>
      </c>
      <c r="J8" s="258">
        <f>BS!R10</f>
        <v>21712.828266911769</v>
      </c>
      <c r="K8" s="258">
        <f>BS!S10</f>
        <v>23129.40110458932</v>
      </c>
      <c r="L8" s="258">
        <f>BS!T10</f>
        <v>23349.824716680963</v>
      </c>
      <c r="M8" s="258">
        <f>BS!U10</f>
        <v>27674.215965520834</v>
      </c>
      <c r="N8" s="258">
        <f>BS!V10</f>
        <v>36476.654585097771</v>
      </c>
      <c r="O8" s="258">
        <f>BS!W10</f>
        <v>35658.775079066894</v>
      </c>
      <c r="P8" s="258">
        <f>BS!X10</f>
        <v>29807.537062013656</v>
      </c>
      <c r="Q8" s="258">
        <f>BS!Y10</f>
        <v>38735.519938480014</v>
      </c>
      <c r="R8" s="258">
        <f>BS!Z10</f>
        <v>35265.224642052191</v>
      </c>
      <c r="S8" s="258">
        <f>BS!AA10</f>
        <v>42530.441031201059</v>
      </c>
      <c r="T8" s="258">
        <f>BS!AB10</f>
        <v>51965.077165736475</v>
      </c>
      <c r="U8" s="258">
        <f>BS!AC10</f>
        <v>43821.682879845896</v>
      </c>
    </row>
    <row r="9" spans="1:21" ht="12.6" x14ac:dyDescent="0.2">
      <c r="A9" s="259" t="s">
        <v>326</v>
      </c>
      <c r="B9" s="256" t="s">
        <v>254</v>
      </c>
      <c r="C9" s="258">
        <f>PL!K13+PL!K24</f>
        <v>4265.9466139397</v>
      </c>
      <c r="D9" s="258">
        <f>PL!L13+PL!L24</f>
        <v>3534.633418584825</v>
      </c>
      <c r="E9" s="258">
        <f>PL!M13+PL!M24</f>
        <v>2695.1023325066922</v>
      </c>
      <c r="F9" s="258">
        <f>PL!N13+PL!N24</f>
        <v>3414.3078985387028</v>
      </c>
      <c r="G9" s="258">
        <f>PL!O13+PL!O24</f>
        <v>3211.9620469876118</v>
      </c>
      <c r="H9" s="258">
        <f>PL!P13+PL!P24</f>
        <v>4252.5838678994551</v>
      </c>
      <c r="I9" s="258">
        <f>PL!Q13+PL!Q24</f>
        <v>4370.6913656261195</v>
      </c>
      <c r="J9" s="258">
        <f>PL!R13+PL!R24</f>
        <v>2832.6266410977864</v>
      </c>
      <c r="K9" s="258">
        <f>PL!S13+PL!S24</f>
        <v>3247.0073242634162</v>
      </c>
      <c r="L9" s="258">
        <f>PL!T13+PL!T24</f>
        <v>3431.4750477077951</v>
      </c>
      <c r="M9" s="258">
        <f>PL!U13+PL!U24</f>
        <v>2925.5735034667596</v>
      </c>
      <c r="N9" s="258">
        <f>PL!V13+PL!V24</f>
        <v>3110.7499048704162</v>
      </c>
      <c r="O9" s="258">
        <f>PL!W13+PL!W24</f>
        <v>3782.4290267649421</v>
      </c>
      <c r="P9" s="258">
        <f>PL!X13+PL!X24</f>
        <v>4161.2523829383581</v>
      </c>
      <c r="Q9" s="258">
        <f>PL!Y13+PL!Y24</f>
        <v>4403.1862433282977</v>
      </c>
      <c r="R9" s="258">
        <f>PL!Z13+PL!Z24</f>
        <v>3853.9334147989866</v>
      </c>
      <c r="S9" s="258">
        <f>PL!AA13+PL!AA24</f>
        <v>4508.3565835441514</v>
      </c>
      <c r="T9" s="258">
        <f>PL!AB13+PL!AB24</f>
        <v>4706.6235137102649</v>
      </c>
      <c r="U9" s="258">
        <f>PL!AC13+PL!AC24</f>
        <v>4405.4322176739706</v>
      </c>
    </row>
    <row r="10" spans="1:21" ht="12.6" x14ac:dyDescent="0.2">
      <c r="A10" s="255" t="s">
        <v>314</v>
      </c>
      <c r="B10" s="256" t="s">
        <v>254</v>
      </c>
      <c r="C10" s="258">
        <f>BS!K43</f>
        <v>51483.316856154197</v>
      </c>
      <c r="D10" s="258">
        <f>BS!L43</f>
        <v>49507.139812446716</v>
      </c>
      <c r="E10" s="258">
        <f>BS!M43</f>
        <v>48698.385233398913</v>
      </c>
      <c r="F10" s="258">
        <f>BS!N43</f>
        <v>65961.847335874991</v>
      </c>
      <c r="G10" s="258">
        <f>BS!O43</f>
        <v>50236.49470309358</v>
      </c>
      <c r="H10" s="258">
        <f>BS!P43</f>
        <v>66085.211136520724</v>
      </c>
      <c r="I10" s="258">
        <f>BS!Q43</f>
        <v>85944.744137372982</v>
      </c>
      <c r="J10" s="258">
        <f>BS!R43</f>
        <v>31952.277555698762</v>
      </c>
      <c r="K10" s="258">
        <f>BS!S43</f>
        <v>45684.214792713632</v>
      </c>
      <c r="L10" s="258">
        <f>BS!T43</f>
        <v>48221.057189315405</v>
      </c>
      <c r="M10" s="258">
        <f>BS!U43</f>
        <v>46577.298463612438</v>
      </c>
      <c r="N10" s="258">
        <f>BS!V43</f>
        <v>80617.303997791416</v>
      </c>
      <c r="O10" s="258">
        <f>BS!W43</f>
        <v>86081.197080467988</v>
      </c>
      <c r="P10" s="258">
        <f>BS!X43</f>
        <v>53042.841968269684</v>
      </c>
      <c r="Q10" s="258">
        <f>BS!Y43</f>
        <v>89893.21682627355</v>
      </c>
      <c r="R10" s="258">
        <f>BS!Z43</f>
        <v>59005.086002803757</v>
      </c>
      <c r="S10" s="258">
        <f>BS!AA43</f>
        <v>77756.674858450788</v>
      </c>
      <c r="T10" s="258">
        <f>BS!AB43</f>
        <v>84560.407182722643</v>
      </c>
      <c r="U10" s="258">
        <f>BS!AC43</f>
        <v>65996.174331808332</v>
      </c>
    </row>
    <row r="11" spans="1:21" ht="12.6" x14ac:dyDescent="0.2">
      <c r="A11" s="255" t="s">
        <v>542</v>
      </c>
      <c r="B11" s="256" t="s">
        <v>254</v>
      </c>
      <c r="C11" s="258">
        <f>BS!K30</f>
        <v>120535.714285714</v>
      </c>
      <c r="D11" s="258">
        <f>BS!L30</f>
        <v>162943.30775788578</v>
      </c>
      <c r="E11" s="258">
        <f>BS!M30</f>
        <v>105881.71609966896</v>
      </c>
      <c r="F11" s="258">
        <f>BS!N30</f>
        <v>105813.02053262552</v>
      </c>
      <c r="G11" s="258">
        <f>BS!O30</f>
        <v>112875.50673177226</v>
      </c>
      <c r="H11" s="258">
        <f>BS!P30</f>
        <v>133868.88800736287</v>
      </c>
      <c r="I11" s="258">
        <f>BS!Q30</f>
        <v>151798.58071301051</v>
      </c>
      <c r="J11" s="258">
        <f>BS!R30</f>
        <v>125937.18834168522</v>
      </c>
      <c r="K11" s="258">
        <f>BS!S30</f>
        <v>106984.50041396102</v>
      </c>
      <c r="L11" s="258">
        <f>BS!T30</f>
        <v>85887.198868225911</v>
      </c>
      <c r="M11" s="258">
        <f>BS!U30</f>
        <v>90475.577825483648</v>
      </c>
      <c r="N11" s="258">
        <f>BS!V30</f>
        <v>102601.98610250725</v>
      </c>
      <c r="O11" s="258">
        <f>BS!W30</f>
        <v>104613.29800002038</v>
      </c>
      <c r="P11" s="258">
        <f>BS!X30</f>
        <v>99150.051606963752</v>
      </c>
      <c r="Q11" s="258">
        <f>BS!Y30</f>
        <v>104432.88748899485</v>
      </c>
      <c r="R11" s="258">
        <f>BS!Z30</f>
        <v>105363.40753894871</v>
      </c>
      <c r="S11" s="258">
        <f>BS!AA30</f>
        <v>124232.55125888449</v>
      </c>
      <c r="T11" s="258">
        <f>BS!AB30</f>
        <v>110947.58480951225</v>
      </c>
      <c r="U11" s="258">
        <f>BS!AC30</f>
        <v>112805.9567782326</v>
      </c>
    </row>
    <row r="12" spans="1:21" ht="12.6" x14ac:dyDescent="0.2">
      <c r="A12" s="255" t="s">
        <v>543</v>
      </c>
      <c r="B12" s="256" t="s">
        <v>254</v>
      </c>
      <c r="C12" s="258">
        <f>BS!K11</f>
        <v>38694.018783984204</v>
      </c>
      <c r="D12" s="258">
        <f>BS!L11</f>
        <v>48175.191815856779</v>
      </c>
      <c r="E12" s="258">
        <f>BS!M11</f>
        <v>39573.04594253601</v>
      </c>
      <c r="F12" s="258">
        <f>BS!N11</f>
        <v>32442.463212443654</v>
      </c>
      <c r="G12" s="258">
        <f>BS!O11</f>
        <v>34439.329685222314</v>
      </c>
      <c r="H12" s="258">
        <f>BS!P11</f>
        <v>45534.473771411773</v>
      </c>
      <c r="I12" s="258">
        <f>BS!Q11</f>
        <v>49066.276969338047</v>
      </c>
      <c r="J12" s="258">
        <f>BS!R11</f>
        <v>29553.854739792274</v>
      </c>
      <c r="K12" s="258">
        <f>BS!S11</f>
        <v>37131.494778621753</v>
      </c>
      <c r="L12" s="258">
        <f>BS!T11</f>
        <v>26051.563148250851</v>
      </c>
      <c r="M12" s="258">
        <f>BS!U11</f>
        <v>24856.344486256716</v>
      </c>
      <c r="N12" s="258">
        <f>BS!V11</f>
        <v>35690.103320453491</v>
      </c>
      <c r="O12" s="258">
        <f>BS!W11</f>
        <v>38435.39365777019</v>
      </c>
      <c r="P12" s="258">
        <f>BS!X11</f>
        <v>28739.948496298479</v>
      </c>
      <c r="Q12" s="258">
        <f>BS!Y11</f>
        <v>28562.182153677066</v>
      </c>
      <c r="R12" s="258">
        <f>BS!Z11</f>
        <v>29504.318765770382</v>
      </c>
      <c r="S12" s="258">
        <f>BS!AA11</f>
        <v>34178.498494157335</v>
      </c>
      <c r="T12" s="258">
        <f>BS!AB11</f>
        <v>27828.816913370541</v>
      </c>
      <c r="U12" s="258">
        <f>BS!AC11</f>
        <v>32595.183963399955</v>
      </c>
    </row>
    <row r="13" spans="1:21" ht="12.6" x14ac:dyDescent="0.2">
      <c r="A13" s="255" t="s">
        <v>544</v>
      </c>
      <c r="B13" s="256" t="s">
        <v>254</v>
      </c>
      <c r="C13" s="258">
        <f>BS!K13</f>
        <v>16417.943648047501</v>
      </c>
      <c r="D13" s="258">
        <f>BS!L13</f>
        <v>22448.849104859335</v>
      </c>
      <c r="E13" s="258">
        <f>BS!M13</f>
        <v>18599.685283324008</v>
      </c>
      <c r="F13" s="258">
        <f>BS!N13</f>
        <v>16033.775429642468</v>
      </c>
      <c r="G13" s="258">
        <f>BS!O13</f>
        <v>23828.269582550965</v>
      </c>
      <c r="H13" s="258">
        <f>BS!P13</f>
        <v>21135.073281923294</v>
      </c>
      <c r="I13" s="258">
        <f>BS!Q13</f>
        <v>19338.471086416128</v>
      </c>
      <c r="J13" s="258">
        <f>BS!R13</f>
        <v>19147.792888323049</v>
      </c>
      <c r="K13" s="258">
        <f>BS!S13</f>
        <v>20016.05194830785</v>
      </c>
      <c r="L13" s="258">
        <f>BS!T13</f>
        <v>18754.948958201272</v>
      </c>
      <c r="M13" s="258">
        <f>BS!U13</f>
        <v>16221.767376538846</v>
      </c>
      <c r="N13" s="258">
        <f>BS!V13</f>
        <v>24895.210475600972</v>
      </c>
      <c r="O13" s="258">
        <f>BS!W13</f>
        <v>18316.373817067783</v>
      </c>
      <c r="P13" s="258">
        <f>BS!X13</f>
        <v>17645.943709875552</v>
      </c>
      <c r="Q13" s="258">
        <f>BS!Y13</f>
        <v>20517.214953697439</v>
      </c>
      <c r="R13" s="258">
        <f>BS!Z13</f>
        <v>18911.740486437833</v>
      </c>
      <c r="S13" s="258">
        <f>BS!AA13</f>
        <v>25310.437899048309</v>
      </c>
      <c r="T13" s="258">
        <f>BS!AB13</f>
        <v>22253.11829652997</v>
      </c>
      <c r="U13" s="258">
        <f>BS!AC13</f>
        <v>23494.040332289915</v>
      </c>
    </row>
    <row r="14" spans="1:21" ht="12.6" x14ac:dyDescent="0.2">
      <c r="A14" s="255" t="s">
        <v>545</v>
      </c>
      <c r="B14" s="256" t="s">
        <v>254</v>
      </c>
      <c r="C14" s="258">
        <f>BS!K32</f>
        <v>28577.360355907098</v>
      </c>
      <c r="D14" s="258">
        <f>BS!L32</f>
        <v>26867.433930093779</v>
      </c>
      <c r="E14" s="258">
        <f>BS!M32</f>
        <v>25358.542342255274</v>
      </c>
      <c r="F14" s="258">
        <f>BS!N32</f>
        <v>20016.484496343142</v>
      </c>
      <c r="G14" s="258">
        <f>BS!O32</f>
        <v>21642.98171075674</v>
      </c>
      <c r="H14" s="258">
        <f>BS!P32</f>
        <v>27467.804875385336</v>
      </c>
      <c r="I14" s="258">
        <f>BS!Q32</f>
        <v>29440.139955526043</v>
      </c>
      <c r="J14" s="258">
        <f>BS!R32</f>
        <v>22950.386601845647</v>
      </c>
      <c r="K14" s="258">
        <f>BS!S32</f>
        <v>19261.297602343577</v>
      </c>
      <c r="L14" s="258">
        <f>BS!T32</f>
        <v>12362.251293045589</v>
      </c>
      <c r="M14" s="258">
        <f>BS!U32</f>
        <v>16794.079399274473</v>
      </c>
      <c r="N14" s="258">
        <f>BS!V32</f>
        <v>18267.136994643221</v>
      </c>
      <c r="O14" s="258">
        <f>BS!W32</f>
        <v>25073.92489980517</v>
      </c>
      <c r="P14" s="258">
        <f>BS!X32</f>
        <v>17859.70073093941</v>
      </c>
      <c r="Q14" s="258">
        <f>BS!Y32</f>
        <v>23229.247015183646</v>
      </c>
      <c r="R14" s="258">
        <f>BS!Z32</f>
        <v>18402.174666868894</v>
      </c>
      <c r="S14" s="258">
        <f>BS!AA32</f>
        <v>24281.876039031442</v>
      </c>
      <c r="T14" s="258">
        <f>BS!AB32</f>
        <v>20541.283062363505</v>
      </c>
      <c r="U14" s="258">
        <f>BS!AC32</f>
        <v>25700.479171683121</v>
      </c>
    </row>
    <row r="15" spans="1:21"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row>
    <row r="16" spans="1:21" ht="12.6" x14ac:dyDescent="0.2">
      <c r="A16" s="255" t="s">
        <v>547</v>
      </c>
      <c r="B16" s="256" t="s">
        <v>110</v>
      </c>
      <c r="C16" s="261"/>
      <c r="D16" s="262">
        <f>D4/C4-1</f>
        <v>0.27686185227673743</v>
      </c>
      <c r="E16" s="262">
        <f t="shared" ref="E16:M16" si="0">E4/D4-1</f>
        <v>-0.18685653966382809</v>
      </c>
      <c r="F16" s="262">
        <f t="shared" si="0"/>
        <v>-9.7722494651458103E-2</v>
      </c>
      <c r="G16" s="262">
        <f t="shared" si="0"/>
        <v>3.5179916628534924E-2</v>
      </c>
      <c r="H16" s="262">
        <f t="shared" si="0"/>
        <v>2.6512414194935552E-2</v>
      </c>
      <c r="I16" s="262">
        <f t="shared" si="0"/>
        <v>-3.4664963682575434E-2</v>
      </c>
      <c r="J16" s="262">
        <f t="shared" si="0"/>
        <v>-0.12780625732330408</v>
      </c>
      <c r="K16" s="262">
        <f t="shared" si="0"/>
        <v>4.9024036625252787E-2</v>
      </c>
      <c r="L16" s="262">
        <f t="shared" si="0"/>
        <v>-4.514705460916757E-2</v>
      </c>
      <c r="M16" s="262">
        <f t="shared" si="0"/>
        <v>4.0916699396920109E-4</v>
      </c>
      <c r="N16" s="262">
        <f t="shared" ref="N16:R16" si="1">N4/M4-1</f>
        <v>0.10304929502463711</v>
      </c>
      <c r="O16" s="262">
        <f t="shared" si="1"/>
        <v>6.3949706859705024E-2</v>
      </c>
      <c r="P16" s="262">
        <f t="shared" si="1"/>
        <v>-4.1133314834919221E-2</v>
      </c>
      <c r="Q16" s="262">
        <f t="shared" si="1"/>
        <v>0.10619627474158699</v>
      </c>
      <c r="R16" s="262">
        <f t="shared" si="1"/>
        <v>-0.11975611473098935</v>
      </c>
      <c r="S16" s="262">
        <f>S4/R4-1</f>
        <v>0.28039849571943654</v>
      </c>
      <c r="T16" s="262">
        <f>T4/S4-1</f>
        <v>-0.10190257339104425</v>
      </c>
      <c r="U16" s="262">
        <f>U4/T4-1</f>
        <v>8.9913430704944952E-2</v>
      </c>
    </row>
    <row r="17" spans="1:21" ht="12.6" x14ac:dyDescent="0.2">
      <c r="A17" s="255" t="s">
        <v>548</v>
      </c>
      <c r="B17" s="256" t="s">
        <v>110</v>
      </c>
      <c r="C17" s="262">
        <f>C5/C4</f>
        <v>6.8588139961565419E-3</v>
      </c>
      <c r="D17" s="262">
        <f t="shared" ref="D17:M17" si="2">D5/D4</f>
        <v>-2.2764244349923147E-3</v>
      </c>
      <c r="E17" s="262">
        <f t="shared" si="2"/>
        <v>7.9646604085400526E-3</v>
      </c>
      <c r="F17" s="262">
        <f t="shared" si="2"/>
        <v>1.7093240894223025E-2</v>
      </c>
      <c r="G17" s="262">
        <f t="shared" si="2"/>
        <v>3.7038212610539063E-3</v>
      </c>
      <c r="H17" s="262">
        <f t="shared" si="2"/>
        <v>2.8790617648990105E-3</v>
      </c>
      <c r="I17" s="262">
        <f t="shared" si="2"/>
        <v>-2.2195534808443988E-2</v>
      </c>
      <c r="J17" s="262">
        <f t="shared" si="2"/>
        <v>-6.4680355564046494E-3</v>
      </c>
      <c r="K17" s="262">
        <f t="shared" si="2"/>
        <v>1.2142545719040214E-2</v>
      </c>
      <c r="L17" s="262">
        <f t="shared" si="2"/>
        <v>8.7199411150353894E-3</v>
      </c>
      <c r="M17" s="262">
        <f t="shared" si="2"/>
        <v>1.8825853377671301E-2</v>
      </c>
      <c r="N17" s="262">
        <f>N5/N4</f>
        <v>2.3961830198924641E-2</v>
      </c>
      <c r="O17" s="262">
        <f>O5/O4</f>
        <v>2.5897842434561627E-2</v>
      </c>
      <c r="P17" s="262">
        <f t="shared" ref="P17:Q17" si="3">P5/P4</f>
        <v>2.1406599130034006E-2</v>
      </c>
      <c r="Q17" s="262">
        <f t="shared" si="3"/>
        <v>2.6695257433588516E-2</v>
      </c>
      <c r="R17" s="262">
        <f>R5/R4</f>
        <v>1.9998702363042131E-2</v>
      </c>
      <c r="S17" s="262">
        <f>S5/S4</f>
        <v>2.0354266860826087E-2</v>
      </c>
      <c r="T17" s="262">
        <f>T5/T4</f>
        <v>2.9113159828804808E-3</v>
      </c>
      <c r="U17" s="262">
        <f>U5/U4</f>
        <v>6.8174012924841973E-3</v>
      </c>
    </row>
    <row r="18" spans="1:21" ht="12.6" x14ac:dyDescent="0.2">
      <c r="A18" s="255" t="s">
        <v>549</v>
      </c>
      <c r="B18" s="256" t="s">
        <v>254</v>
      </c>
      <c r="C18" s="263">
        <f>C5/C6</f>
        <v>97.783266288068589</v>
      </c>
      <c r="D18" s="263">
        <f t="shared" ref="D18:M18" si="4">D5/D6</f>
        <v>-38.25955900245728</v>
      </c>
      <c r="E18" s="263">
        <f t="shared" si="4"/>
        <v>120.78263457812231</v>
      </c>
      <c r="F18" s="263">
        <f t="shared" si="4"/>
        <v>219.27105071265694</v>
      </c>
      <c r="G18" s="263">
        <f t="shared" si="4"/>
        <v>53.296751123733628</v>
      </c>
      <c r="H18" s="263">
        <f t="shared" si="4"/>
        <v>40.463527645380175</v>
      </c>
      <c r="I18" s="263">
        <f t="shared" si="4"/>
        <v>-295.65680282398063</v>
      </c>
      <c r="J18" s="263">
        <f t="shared" si="4"/>
        <v>-85.201153587706045</v>
      </c>
      <c r="K18" s="263">
        <f t="shared" si="4"/>
        <v>161.35898534400329</v>
      </c>
      <c r="L18" s="263">
        <f t="shared" si="4"/>
        <v>116.62478746970145</v>
      </c>
      <c r="M18" s="263">
        <f t="shared" si="4"/>
        <v>250.9324437711187</v>
      </c>
      <c r="N18" s="263">
        <f>N5/N6</f>
        <v>353.54342414857564</v>
      </c>
      <c r="O18" s="263">
        <f>O5/O6</f>
        <v>383.58017959937285</v>
      </c>
      <c r="P18" s="263">
        <f t="shared" ref="P18:R18" si="5">P5/P6</f>
        <v>305.30972962940308</v>
      </c>
      <c r="Q18" s="263">
        <f t="shared" si="5"/>
        <v>410.17940219766365</v>
      </c>
      <c r="R18" s="263">
        <f t="shared" si="5"/>
        <v>273.72577343068241</v>
      </c>
      <c r="S18" s="263">
        <f t="shared" ref="S18:T18" si="6">S5/S6</f>
        <v>327.58569823760149</v>
      </c>
      <c r="T18" s="263">
        <f t="shared" si="6"/>
        <v>44.141825964297873</v>
      </c>
      <c r="U18" s="263">
        <f>U5/U6</f>
        <v>113.54308868739541</v>
      </c>
    </row>
    <row r="19" spans="1:21" ht="12.6" x14ac:dyDescent="0.2">
      <c r="A19" s="255" t="s">
        <v>550</v>
      </c>
      <c r="B19" s="256" t="s">
        <v>441</v>
      </c>
      <c r="C19" s="264">
        <f>(C7-C8)/(C5+C9)</f>
        <v>7.8486669287567761</v>
      </c>
      <c r="D19" s="264">
        <f t="shared" ref="D19:M19" si="7">(D7-D8)/(D5+D9)</f>
        <v>30.220781056723848</v>
      </c>
      <c r="E19" s="264">
        <f t="shared" si="7"/>
        <v>6.8878696107916797</v>
      </c>
      <c r="F19" s="264">
        <f t="shared" si="7"/>
        <v>4.7354179429636707</v>
      </c>
      <c r="G19" s="264">
        <f t="shared" si="7"/>
        <v>13.008615722266038</v>
      </c>
      <c r="H19" s="264">
        <f t="shared" si="7"/>
        <v>12.669484455343261</v>
      </c>
      <c r="I19" s="264">
        <f t="shared" si="7"/>
        <v>118.1339361557358</v>
      </c>
      <c r="J19" s="264">
        <f t="shared" si="7"/>
        <v>32.557447329308701</v>
      </c>
      <c r="K19" s="264">
        <f t="shared" si="7"/>
        <v>9.4915323008197188</v>
      </c>
      <c r="L19" s="264">
        <f t="shared" si="7"/>
        <v>8.0390856030978561</v>
      </c>
      <c r="M19" s="264">
        <f t="shared" si="7"/>
        <v>4.9242625097930235</v>
      </c>
      <c r="N19" s="264">
        <f>(N7-N8)/(N5+N9)</f>
        <v>4.1805483555027472</v>
      </c>
      <c r="O19" s="264">
        <f>(O7-O8)/(O5+O9)</f>
        <v>2.9674015573369865</v>
      </c>
      <c r="P19" s="264">
        <f t="shared" ref="P19:Q19" si="8">(P7-P8)/(P5+P9)</f>
        <v>4.6691573262253483</v>
      </c>
      <c r="Q19" s="264">
        <f t="shared" si="8"/>
        <v>2.515962764449224</v>
      </c>
      <c r="R19" s="264">
        <f>(R7-R8)/(R5+R9)</f>
        <v>5.1365478667158451</v>
      </c>
      <c r="S19" s="264">
        <f>(S7-S8)/(S5+S9)</f>
        <v>4.2458216695732744</v>
      </c>
      <c r="T19" s="264">
        <f>(T7-T8)/(T5+T9)</f>
        <v>4.1625275129790156</v>
      </c>
      <c r="U19" s="264">
        <f>(U7-U8)/(U5+U9)</f>
        <v>4.8950496170029885</v>
      </c>
    </row>
    <row r="20" spans="1:21" ht="12.6" x14ac:dyDescent="0.2">
      <c r="A20" s="255" t="s">
        <v>551</v>
      </c>
      <c r="B20" s="256" t="s">
        <v>552</v>
      </c>
      <c r="C20" s="264">
        <f>(C12+C13-C14)/(C4/12)</f>
        <v>1.7819415324034966</v>
      </c>
      <c r="D20" s="264">
        <f t="shared" ref="D20:M20" si="9">(D12+D13-D14)/(D4/12)</f>
        <v>2.3013389990177839</v>
      </c>
      <c r="E20" s="264">
        <f t="shared" si="9"/>
        <v>2.122420633311302</v>
      </c>
      <c r="F20" s="264">
        <f t="shared" si="9"/>
        <v>2.040143891444377</v>
      </c>
      <c r="G20" s="264">
        <f t="shared" si="9"/>
        <v>2.5362199589295393</v>
      </c>
      <c r="H20" s="264">
        <f t="shared" si="9"/>
        <v>2.6445694685917429</v>
      </c>
      <c r="I20" s="264">
        <f t="shared" si="9"/>
        <v>2.7229637216007867</v>
      </c>
      <c r="J20" s="264">
        <f t="shared" si="9"/>
        <v>2.0632748153543559</v>
      </c>
      <c r="K20" s="264">
        <f t="shared" si="9"/>
        <v>2.8937082822581526</v>
      </c>
      <c r="L20" s="264">
        <f t="shared" si="9"/>
        <v>2.5952220859910784</v>
      </c>
      <c r="M20" s="264">
        <f t="shared" si="9"/>
        <v>1.941689520555717</v>
      </c>
      <c r="N20" s="264">
        <f t="shared" ref="N20:R20" si="10">(N12+N13-N14)/(N4/12)</f>
        <v>3.0675454716838901</v>
      </c>
      <c r="O20" s="264">
        <f t="shared" si="10"/>
        <v>2.1582341368406874</v>
      </c>
      <c r="P20" s="264">
        <f t="shared" si="10"/>
        <v>2.0268822734503731</v>
      </c>
      <c r="Q20" s="264">
        <f t="shared" si="10"/>
        <v>1.6604110271730892</v>
      </c>
      <c r="R20" s="264">
        <f t="shared" si="10"/>
        <v>2.1901392644923643</v>
      </c>
      <c r="S20" s="264">
        <f t="shared" ref="S20:T20" si="11">(S12+S13-S14)/(S4/12)</f>
        <v>2.0064767539137418</v>
      </c>
      <c r="T20" s="264">
        <f t="shared" si="11"/>
        <v>1.8745671170024798</v>
      </c>
      <c r="U20" s="264">
        <f>(U12+U13-U14)/(U4/12)</f>
        <v>1.7693008174871707</v>
      </c>
    </row>
    <row r="21" spans="1:21" ht="12.6" x14ac:dyDescent="0.2">
      <c r="A21" s="255" t="s">
        <v>553</v>
      </c>
      <c r="B21" s="256" t="s">
        <v>110</v>
      </c>
      <c r="C21" s="262">
        <f>C10/(C10+C11)</f>
        <v>0.29928849450206862</v>
      </c>
      <c r="D21" s="262">
        <f t="shared" ref="D21:U21" si="12">D10/(D10+D11)</f>
        <v>0.23302911515899347</v>
      </c>
      <c r="E21" s="262">
        <f t="shared" si="12"/>
        <v>0.31503657206479863</v>
      </c>
      <c r="F21" s="262">
        <f t="shared" si="12"/>
        <v>0.38400173526182546</v>
      </c>
      <c r="G21" s="262">
        <f t="shared" si="12"/>
        <v>0.30798772782611034</v>
      </c>
      <c r="H21" s="262">
        <f t="shared" si="12"/>
        <v>0.33050190728506607</v>
      </c>
      <c r="I21" s="262">
        <f t="shared" si="12"/>
        <v>0.36150223856530855</v>
      </c>
      <c r="J21" s="262">
        <f t="shared" si="12"/>
        <v>0.20237118020568443</v>
      </c>
      <c r="K21" s="262">
        <f t="shared" si="12"/>
        <v>0.29923756632698989</v>
      </c>
      <c r="L21" s="262">
        <f t="shared" si="12"/>
        <v>0.35956814745712135</v>
      </c>
      <c r="M21" s="262">
        <f t="shared" si="12"/>
        <v>0.33984911316536981</v>
      </c>
      <c r="N21" s="262">
        <f>N10/(N10+N11)</f>
        <v>0.44000445560977541</v>
      </c>
      <c r="O21" s="262">
        <f>O10/(O10+O11)</f>
        <v>0.45140892527670928</v>
      </c>
      <c r="P21" s="262">
        <f>P10/(P10+P11)</f>
        <v>0.34852377612525676</v>
      </c>
      <c r="Q21" s="262">
        <f>Q10/(Q10+Q11)</f>
        <v>0.46258950717415553</v>
      </c>
      <c r="R21" s="262">
        <f t="shared" ref="R21:S21" si="13">R10/(R10+R11)</f>
        <v>0.35898051220999627</v>
      </c>
      <c r="S21" s="262">
        <f t="shared" si="13"/>
        <v>0.384954565909778</v>
      </c>
      <c r="T21" s="262">
        <f t="shared" ref="T21" si="14">T10/(T10+T11)</f>
        <v>0.43251637092196815</v>
      </c>
      <c r="U21" s="262">
        <f t="shared" si="12"/>
        <v>0.36910172111534861</v>
      </c>
    </row>
    <row r="23" spans="1:21" x14ac:dyDescent="0.2">
      <c r="A23" s="286"/>
      <c r="B23" s="287"/>
      <c r="C23" s="287"/>
      <c r="D23" s="287"/>
      <c r="E23" s="287"/>
      <c r="F23" s="287"/>
      <c r="G23" s="287"/>
      <c r="H23" s="287"/>
      <c r="I23" s="288"/>
      <c r="J23" s="286"/>
      <c r="K23" s="287"/>
      <c r="L23" s="287"/>
      <c r="M23" s="287"/>
      <c r="N23" s="287"/>
      <c r="O23" s="287"/>
      <c r="P23" s="287"/>
      <c r="Q23" s="287"/>
      <c r="R23" s="287"/>
      <c r="S23" s="287"/>
      <c r="T23" s="287"/>
      <c r="U23" s="288"/>
    </row>
    <row r="24" spans="1:21" x14ac:dyDescent="0.2">
      <c r="A24" s="289"/>
      <c r="B24" s="290"/>
      <c r="C24" s="290"/>
      <c r="D24" s="290"/>
      <c r="E24" s="290"/>
      <c r="F24" s="290"/>
      <c r="G24" s="290"/>
      <c r="H24" s="290"/>
      <c r="I24" s="291"/>
      <c r="J24" s="289"/>
      <c r="K24" s="290"/>
      <c r="L24" s="290"/>
      <c r="M24" s="290"/>
      <c r="N24" s="290"/>
      <c r="O24" s="290"/>
      <c r="P24" s="290"/>
      <c r="Q24" s="290"/>
      <c r="R24" s="290"/>
      <c r="S24" s="290"/>
      <c r="T24" s="290"/>
      <c r="U24" s="291"/>
    </row>
    <row r="25" spans="1:21" x14ac:dyDescent="0.2">
      <c r="A25" s="289"/>
      <c r="B25" s="290"/>
      <c r="C25" s="290"/>
      <c r="D25" s="290"/>
      <c r="E25" s="290"/>
      <c r="F25" s="290"/>
      <c r="G25" s="290"/>
      <c r="H25" s="290"/>
      <c r="I25" s="291"/>
      <c r="J25" s="289"/>
      <c r="K25" s="290"/>
      <c r="L25" s="290"/>
      <c r="M25" s="290"/>
      <c r="N25" s="290"/>
      <c r="O25" s="290"/>
      <c r="P25" s="290"/>
      <c r="Q25" s="290"/>
      <c r="R25" s="290"/>
      <c r="S25" s="290"/>
      <c r="T25" s="290"/>
      <c r="U25" s="291"/>
    </row>
    <row r="26" spans="1:21" x14ac:dyDescent="0.2">
      <c r="A26" s="289"/>
      <c r="B26" s="290"/>
      <c r="C26" s="290"/>
      <c r="D26" s="290"/>
      <c r="E26" s="290"/>
      <c r="F26" s="290"/>
      <c r="G26" s="290"/>
      <c r="H26" s="290"/>
      <c r="I26" s="291"/>
      <c r="J26" s="289"/>
      <c r="K26" s="290"/>
      <c r="L26" s="290"/>
      <c r="M26" s="290"/>
      <c r="N26" s="290"/>
      <c r="O26" s="290"/>
      <c r="P26" s="290"/>
      <c r="Q26" s="290"/>
      <c r="R26" s="290"/>
      <c r="S26" s="290"/>
      <c r="T26" s="290"/>
      <c r="U26" s="291"/>
    </row>
    <row r="27" spans="1:21" x14ac:dyDescent="0.2">
      <c r="A27" s="289"/>
      <c r="B27" s="290"/>
      <c r="C27" s="290"/>
      <c r="D27" s="290"/>
      <c r="E27" s="290"/>
      <c r="F27" s="290"/>
      <c r="G27" s="290"/>
      <c r="H27" s="290"/>
      <c r="I27" s="291"/>
      <c r="J27" s="289"/>
      <c r="K27" s="290"/>
      <c r="L27" s="290"/>
      <c r="M27" s="290"/>
      <c r="N27" s="290"/>
      <c r="O27" s="290"/>
      <c r="P27" s="290"/>
      <c r="Q27" s="290"/>
      <c r="R27" s="290"/>
      <c r="S27" s="290"/>
      <c r="T27" s="290"/>
      <c r="U27" s="291"/>
    </row>
    <row r="28" spans="1:21" x14ac:dyDescent="0.2">
      <c r="A28" s="289"/>
      <c r="B28" s="290"/>
      <c r="C28" s="290"/>
      <c r="D28" s="290"/>
      <c r="E28" s="290"/>
      <c r="F28" s="290"/>
      <c r="G28" s="290"/>
      <c r="H28" s="290"/>
      <c r="I28" s="291"/>
      <c r="J28" s="289"/>
      <c r="K28" s="290"/>
      <c r="L28" s="290"/>
      <c r="M28" s="290"/>
      <c r="N28" s="290"/>
      <c r="O28" s="290"/>
      <c r="P28" s="290"/>
      <c r="Q28" s="290"/>
      <c r="R28" s="290"/>
      <c r="S28" s="290"/>
      <c r="T28" s="290"/>
      <c r="U28" s="291"/>
    </row>
    <row r="29" spans="1:21" x14ac:dyDescent="0.2">
      <c r="A29" s="289"/>
      <c r="B29" s="290"/>
      <c r="C29" s="290"/>
      <c r="D29" s="290"/>
      <c r="E29" s="290"/>
      <c r="F29" s="290"/>
      <c r="G29" s="290"/>
      <c r="H29" s="290"/>
      <c r="I29" s="291"/>
      <c r="J29" s="289"/>
      <c r="K29" s="290"/>
      <c r="L29" s="290"/>
      <c r="M29" s="290"/>
      <c r="N29" s="290"/>
      <c r="O29" s="290"/>
      <c r="P29" s="290"/>
      <c r="Q29" s="290"/>
      <c r="R29" s="290"/>
      <c r="S29" s="290"/>
      <c r="T29" s="290"/>
      <c r="U29" s="291"/>
    </row>
    <row r="30" spans="1:21" x14ac:dyDescent="0.2">
      <c r="A30" s="289"/>
      <c r="B30" s="290"/>
      <c r="C30" s="290"/>
      <c r="D30" s="290"/>
      <c r="E30" s="290"/>
      <c r="F30" s="290"/>
      <c r="G30" s="290"/>
      <c r="H30" s="290"/>
      <c r="I30" s="291"/>
      <c r="J30" s="289"/>
      <c r="K30" s="290"/>
      <c r="L30" s="290"/>
      <c r="M30" s="290"/>
      <c r="N30" s="290"/>
      <c r="O30" s="290"/>
      <c r="P30" s="290"/>
      <c r="Q30" s="290"/>
      <c r="R30" s="290"/>
      <c r="S30" s="290"/>
      <c r="T30" s="290"/>
      <c r="U30" s="291"/>
    </row>
    <row r="31" spans="1:21" x14ac:dyDescent="0.2">
      <c r="A31" s="289"/>
      <c r="B31" s="290"/>
      <c r="C31" s="290"/>
      <c r="D31" s="290"/>
      <c r="E31" s="290"/>
      <c r="F31" s="290"/>
      <c r="G31" s="290"/>
      <c r="H31" s="290"/>
      <c r="I31" s="291"/>
      <c r="J31" s="289"/>
      <c r="K31" s="290"/>
      <c r="L31" s="290"/>
      <c r="M31" s="290"/>
      <c r="N31" s="290"/>
      <c r="O31" s="290"/>
      <c r="P31" s="290"/>
      <c r="Q31" s="290"/>
      <c r="R31" s="290"/>
      <c r="S31" s="290"/>
      <c r="T31" s="290"/>
      <c r="U31" s="291"/>
    </row>
    <row r="32" spans="1:21" x14ac:dyDescent="0.2">
      <c r="A32" s="289"/>
      <c r="B32" s="290"/>
      <c r="C32" s="290"/>
      <c r="D32" s="290"/>
      <c r="E32" s="290"/>
      <c r="F32" s="290"/>
      <c r="G32" s="290"/>
      <c r="H32" s="290"/>
      <c r="I32" s="291"/>
      <c r="J32" s="289"/>
      <c r="K32" s="290"/>
      <c r="L32" s="290"/>
      <c r="M32" s="290"/>
      <c r="N32" s="290"/>
      <c r="O32" s="290"/>
      <c r="P32" s="290"/>
      <c r="Q32" s="290"/>
      <c r="R32" s="290"/>
      <c r="S32" s="290"/>
      <c r="T32" s="290"/>
      <c r="U32" s="291"/>
    </row>
    <row r="33" spans="1:21" x14ac:dyDescent="0.2">
      <c r="A33" s="289"/>
      <c r="B33" s="290"/>
      <c r="C33" s="290"/>
      <c r="D33" s="290"/>
      <c r="E33" s="290"/>
      <c r="F33" s="290"/>
      <c r="G33" s="290"/>
      <c r="H33" s="290"/>
      <c r="I33" s="291"/>
      <c r="J33" s="289"/>
      <c r="K33" s="290"/>
      <c r="L33" s="290"/>
      <c r="M33" s="290"/>
      <c r="N33" s="290"/>
      <c r="O33" s="290"/>
      <c r="P33" s="290"/>
      <c r="Q33" s="290"/>
      <c r="R33" s="290"/>
      <c r="S33" s="290"/>
      <c r="T33" s="290"/>
      <c r="U33" s="291"/>
    </row>
    <row r="34" spans="1:21" x14ac:dyDescent="0.2">
      <c r="A34" s="289"/>
      <c r="B34" s="290"/>
      <c r="C34" s="290"/>
      <c r="D34" s="290"/>
      <c r="E34" s="290"/>
      <c r="F34" s="290"/>
      <c r="G34" s="290"/>
      <c r="H34" s="290"/>
      <c r="I34" s="291"/>
      <c r="J34" s="289"/>
      <c r="K34" s="290"/>
      <c r="L34" s="290"/>
      <c r="M34" s="290"/>
      <c r="N34" s="290"/>
      <c r="O34" s="290"/>
      <c r="P34" s="290"/>
      <c r="Q34" s="290"/>
      <c r="R34" s="290"/>
      <c r="S34" s="290"/>
      <c r="T34" s="290"/>
      <c r="U34" s="291"/>
    </row>
    <row r="35" spans="1:21" x14ac:dyDescent="0.2">
      <c r="A35" s="289"/>
      <c r="B35" s="290"/>
      <c r="C35" s="290"/>
      <c r="D35" s="290"/>
      <c r="E35" s="290"/>
      <c r="F35" s="290"/>
      <c r="G35" s="290"/>
      <c r="H35" s="290"/>
      <c r="I35" s="291"/>
      <c r="J35" s="289"/>
      <c r="K35" s="290"/>
      <c r="L35" s="290"/>
      <c r="M35" s="290"/>
      <c r="N35" s="290"/>
      <c r="O35" s="290"/>
      <c r="P35" s="290"/>
      <c r="Q35" s="290"/>
      <c r="R35" s="290"/>
      <c r="S35" s="290"/>
      <c r="T35" s="290"/>
      <c r="U35" s="291"/>
    </row>
    <row r="36" spans="1:21" x14ac:dyDescent="0.2">
      <c r="A36" s="289"/>
      <c r="B36" s="290"/>
      <c r="C36" s="290"/>
      <c r="D36" s="290"/>
      <c r="E36" s="290"/>
      <c r="F36" s="290"/>
      <c r="G36" s="290"/>
      <c r="H36" s="290"/>
      <c r="I36" s="291"/>
      <c r="J36" s="289"/>
      <c r="K36" s="290"/>
      <c r="L36" s="290"/>
      <c r="M36" s="290"/>
      <c r="N36" s="290"/>
      <c r="O36" s="290"/>
      <c r="P36" s="290"/>
      <c r="Q36" s="290"/>
      <c r="R36" s="290"/>
      <c r="S36" s="290"/>
      <c r="T36" s="290"/>
      <c r="U36" s="291"/>
    </row>
    <row r="37" spans="1:21" x14ac:dyDescent="0.2">
      <c r="A37" s="289"/>
      <c r="B37" s="290"/>
      <c r="C37" s="290"/>
      <c r="D37" s="290"/>
      <c r="E37" s="290"/>
      <c r="F37" s="290"/>
      <c r="G37" s="290"/>
      <c r="H37" s="290"/>
      <c r="I37" s="291"/>
      <c r="J37" s="289"/>
      <c r="K37" s="290"/>
      <c r="L37" s="290"/>
      <c r="M37" s="290"/>
      <c r="N37" s="290"/>
      <c r="O37" s="290"/>
      <c r="P37" s="290"/>
      <c r="Q37" s="290"/>
      <c r="R37" s="290"/>
      <c r="S37" s="290"/>
      <c r="T37" s="290"/>
      <c r="U37" s="291"/>
    </row>
    <row r="38" spans="1:21" x14ac:dyDescent="0.2">
      <c r="A38" s="289"/>
      <c r="B38" s="290"/>
      <c r="C38" s="290"/>
      <c r="D38" s="290"/>
      <c r="E38" s="290"/>
      <c r="F38" s="290"/>
      <c r="G38" s="290"/>
      <c r="H38" s="290"/>
      <c r="I38" s="291"/>
      <c r="J38" s="289"/>
      <c r="K38" s="290"/>
      <c r="L38" s="290"/>
      <c r="M38" s="290"/>
      <c r="N38" s="290"/>
      <c r="O38" s="290"/>
      <c r="P38" s="290"/>
      <c r="Q38" s="290"/>
      <c r="R38" s="290"/>
      <c r="S38" s="290"/>
      <c r="T38" s="290"/>
      <c r="U38" s="291"/>
    </row>
    <row r="39" spans="1:21" x14ac:dyDescent="0.2">
      <c r="A39" s="289"/>
      <c r="B39" s="290"/>
      <c r="C39" s="290"/>
      <c r="D39" s="290"/>
      <c r="E39" s="290"/>
      <c r="F39" s="290"/>
      <c r="G39" s="290"/>
      <c r="H39" s="290"/>
      <c r="I39" s="291"/>
      <c r="J39" s="289"/>
      <c r="K39" s="290"/>
      <c r="L39" s="290"/>
      <c r="M39" s="290"/>
      <c r="N39" s="290"/>
      <c r="O39" s="290"/>
      <c r="P39" s="290"/>
      <c r="Q39" s="290"/>
      <c r="R39" s="290"/>
      <c r="S39" s="290"/>
      <c r="T39" s="290"/>
      <c r="U39" s="291"/>
    </row>
    <row r="40" spans="1:21" x14ac:dyDescent="0.2">
      <c r="A40" s="289"/>
      <c r="B40" s="290"/>
      <c r="C40" s="290"/>
      <c r="D40" s="290"/>
      <c r="E40" s="290"/>
      <c r="F40" s="290"/>
      <c r="G40" s="290"/>
      <c r="H40" s="290"/>
      <c r="I40" s="291"/>
      <c r="J40" s="289"/>
      <c r="K40" s="290"/>
      <c r="L40" s="290"/>
      <c r="M40" s="290"/>
      <c r="N40" s="290"/>
      <c r="O40" s="290"/>
      <c r="P40" s="290"/>
      <c r="Q40" s="290"/>
      <c r="R40" s="290"/>
      <c r="S40" s="290"/>
      <c r="T40" s="290"/>
      <c r="U40" s="291"/>
    </row>
    <row r="41" spans="1:21" x14ac:dyDescent="0.2">
      <c r="A41" s="289"/>
      <c r="B41" s="290"/>
      <c r="C41" s="290"/>
      <c r="D41" s="290"/>
      <c r="E41" s="290"/>
      <c r="F41" s="290"/>
      <c r="G41" s="290"/>
      <c r="H41" s="290"/>
      <c r="I41" s="291"/>
      <c r="J41" s="289"/>
      <c r="K41" s="290"/>
      <c r="L41" s="290"/>
      <c r="M41" s="290"/>
      <c r="N41" s="290"/>
      <c r="O41" s="290"/>
      <c r="P41" s="290"/>
      <c r="Q41" s="290"/>
      <c r="R41" s="290"/>
      <c r="S41" s="290"/>
      <c r="T41" s="290"/>
      <c r="U41" s="291"/>
    </row>
    <row r="42" spans="1:21" x14ac:dyDescent="0.2">
      <c r="A42" s="289"/>
      <c r="B42" s="290"/>
      <c r="C42" s="290"/>
      <c r="D42" s="290"/>
      <c r="E42" s="290"/>
      <c r="F42" s="290"/>
      <c r="G42" s="290"/>
      <c r="H42" s="290"/>
      <c r="I42" s="291"/>
      <c r="J42" s="289"/>
      <c r="K42" s="290"/>
      <c r="L42" s="290"/>
      <c r="M42" s="290"/>
      <c r="N42" s="290"/>
      <c r="O42" s="290"/>
      <c r="P42" s="290"/>
      <c r="Q42" s="290"/>
      <c r="R42" s="290"/>
      <c r="S42" s="290"/>
      <c r="T42" s="290"/>
      <c r="U42" s="291"/>
    </row>
    <row r="43" spans="1:21" x14ac:dyDescent="0.2">
      <c r="A43" s="292"/>
      <c r="B43" s="293"/>
      <c r="C43" s="293"/>
      <c r="D43" s="293"/>
      <c r="E43" s="293"/>
      <c r="F43" s="293"/>
      <c r="G43" s="293"/>
      <c r="H43" s="293"/>
      <c r="I43" s="294"/>
      <c r="J43" s="292"/>
      <c r="K43" s="293"/>
      <c r="L43" s="293"/>
      <c r="M43" s="293"/>
      <c r="N43" s="293"/>
      <c r="O43" s="293"/>
      <c r="P43" s="293"/>
      <c r="Q43" s="293"/>
      <c r="R43" s="293"/>
      <c r="S43" s="293"/>
      <c r="T43" s="293"/>
      <c r="U43" s="294"/>
    </row>
    <row r="44" spans="1:21" x14ac:dyDescent="0.2">
      <c r="A44" s="286"/>
      <c r="B44" s="287"/>
      <c r="C44" s="287"/>
      <c r="D44" s="287"/>
      <c r="E44" s="287"/>
      <c r="F44" s="287"/>
      <c r="G44" s="287"/>
      <c r="H44" s="287"/>
      <c r="I44" s="288"/>
      <c r="J44" s="286"/>
      <c r="K44" s="287"/>
      <c r="L44" s="287"/>
      <c r="M44" s="287"/>
      <c r="N44" s="287"/>
      <c r="O44" s="287"/>
      <c r="P44" s="287"/>
      <c r="Q44" s="287"/>
      <c r="R44" s="287"/>
      <c r="S44" s="287"/>
      <c r="T44" s="287"/>
      <c r="U44" s="288"/>
    </row>
    <row r="45" spans="1:21" x14ac:dyDescent="0.2">
      <c r="A45" s="289"/>
      <c r="B45" s="290"/>
      <c r="C45" s="290"/>
      <c r="D45" s="290"/>
      <c r="E45" s="290"/>
      <c r="F45" s="290"/>
      <c r="G45" s="290"/>
      <c r="H45" s="290"/>
      <c r="I45" s="291"/>
      <c r="J45" s="289"/>
      <c r="K45" s="290"/>
      <c r="L45" s="290"/>
      <c r="M45" s="290"/>
      <c r="N45" s="290"/>
      <c r="O45" s="290"/>
      <c r="P45" s="290"/>
      <c r="Q45" s="290"/>
      <c r="R45" s="290"/>
      <c r="S45" s="290"/>
      <c r="T45" s="290"/>
      <c r="U45" s="291"/>
    </row>
    <row r="46" spans="1:21" x14ac:dyDescent="0.2">
      <c r="A46" s="289"/>
      <c r="B46" s="290"/>
      <c r="C46" s="290"/>
      <c r="D46" s="290"/>
      <c r="E46" s="290"/>
      <c r="F46" s="290"/>
      <c r="G46" s="290"/>
      <c r="H46" s="290"/>
      <c r="I46" s="291"/>
      <c r="J46" s="289"/>
      <c r="K46" s="290"/>
      <c r="L46" s="290"/>
      <c r="M46" s="290"/>
      <c r="N46" s="290"/>
      <c r="O46" s="290"/>
      <c r="P46" s="290"/>
      <c r="Q46" s="290"/>
      <c r="R46" s="290"/>
      <c r="S46" s="290"/>
      <c r="T46" s="290"/>
      <c r="U46" s="291"/>
    </row>
    <row r="47" spans="1:21" x14ac:dyDescent="0.2">
      <c r="A47" s="289"/>
      <c r="B47" s="290"/>
      <c r="C47" s="290"/>
      <c r="D47" s="290"/>
      <c r="E47" s="290"/>
      <c r="F47" s="290"/>
      <c r="G47" s="290"/>
      <c r="H47" s="290"/>
      <c r="I47" s="291"/>
      <c r="J47" s="289"/>
      <c r="K47" s="290"/>
      <c r="L47" s="290"/>
      <c r="M47" s="290"/>
      <c r="N47" s="290"/>
      <c r="O47" s="290"/>
      <c r="P47" s="290"/>
      <c r="Q47" s="290"/>
      <c r="R47" s="290"/>
      <c r="S47" s="290"/>
      <c r="T47" s="290"/>
      <c r="U47" s="291"/>
    </row>
    <row r="48" spans="1:21" x14ac:dyDescent="0.2">
      <c r="A48" s="289"/>
      <c r="B48" s="290"/>
      <c r="C48" s="290"/>
      <c r="D48" s="290"/>
      <c r="E48" s="290"/>
      <c r="F48" s="290"/>
      <c r="G48" s="290"/>
      <c r="H48" s="290"/>
      <c r="I48" s="291"/>
      <c r="J48" s="289"/>
      <c r="K48" s="290"/>
      <c r="L48" s="290"/>
      <c r="M48" s="290"/>
      <c r="N48" s="290"/>
      <c r="O48" s="290"/>
      <c r="P48" s="290"/>
      <c r="Q48" s="290"/>
      <c r="R48" s="290"/>
      <c r="S48" s="290"/>
      <c r="T48" s="290"/>
      <c r="U48" s="291"/>
    </row>
    <row r="49" spans="1:21" x14ac:dyDescent="0.2">
      <c r="A49" s="289"/>
      <c r="B49" s="290"/>
      <c r="C49" s="290"/>
      <c r="D49" s="290"/>
      <c r="E49" s="290"/>
      <c r="F49" s="290"/>
      <c r="G49" s="290"/>
      <c r="H49" s="290"/>
      <c r="I49" s="291"/>
      <c r="J49" s="289"/>
      <c r="K49" s="290"/>
      <c r="L49" s="290"/>
      <c r="M49" s="290"/>
      <c r="N49" s="290"/>
      <c r="O49" s="290"/>
      <c r="P49" s="290"/>
      <c r="Q49" s="290"/>
      <c r="R49" s="290"/>
      <c r="S49" s="290"/>
      <c r="T49" s="290"/>
      <c r="U49" s="291"/>
    </row>
    <row r="50" spans="1:21" x14ac:dyDescent="0.2">
      <c r="A50" s="289"/>
      <c r="B50" s="290"/>
      <c r="C50" s="290"/>
      <c r="D50" s="290"/>
      <c r="E50" s="290"/>
      <c r="F50" s="290"/>
      <c r="G50" s="290"/>
      <c r="H50" s="290"/>
      <c r="I50" s="291"/>
      <c r="J50" s="289"/>
      <c r="K50" s="290"/>
      <c r="L50" s="290"/>
      <c r="M50" s="290"/>
      <c r="N50" s="290"/>
      <c r="O50" s="290"/>
      <c r="P50" s="290"/>
      <c r="Q50" s="290"/>
      <c r="R50" s="290"/>
      <c r="S50" s="290"/>
      <c r="T50" s="290"/>
      <c r="U50" s="291"/>
    </row>
    <row r="51" spans="1:21" x14ac:dyDescent="0.2">
      <c r="A51" s="289"/>
      <c r="B51" s="290"/>
      <c r="C51" s="290"/>
      <c r="D51" s="290"/>
      <c r="E51" s="290"/>
      <c r="F51" s="290"/>
      <c r="G51" s="290"/>
      <c r="H51" s="290"/>
      <c r="I51" s="291"/>
      <c r="J51" s="289"/>
      <c r="K51" s="290"/>
      <c r="L51" s="290"/>
      <c r="M51" s="290"/>
      <c r="N51" s="290"/>
      <c r="O51" s="290"/>
      <c r="P51" s="290"/>
      <c r="Q51" s="290"/>
      <c r="R51" s="290"/>
      <c r="S51" s="290"/>
      <c r="T51" s="290"/>
      <c r="U51" s="291"/>
    </row>
    <row r="52" spans="1:21" x14ac:dyDescent="0.2">
      <c r="A52" s="289"/>
      <c r="B52" s="290"/>
      <c r="C52" s="290"/>
      <c r="D52" s="290"/>
      <c r="E52" s="290"/>
      <c r="F52" s="290"/>
      <c r="G52" s="290"/>
      <c r="H52" s="290"/>
      <c r="I52" s="291"/>
      <c r="J52" s="289"/>
      <c r="K52" s="290"/>
      <c r="L52" s="290"/>
      <c r="M52" s="290"/>
      <c r="N52" s="290"/>
      <c r="O52" s="290"/>
      <c r="P52" s="290"/>
      <c r="Q52" s="290"/>
      <c r="R52" s="290"/>
      <c r="S52" s="290"/>
      <c r="T52" s="290"/>
      <c r="U52" s="291"/>
    </row>
    <row r="53" spans="1:21" x14ac:dyDescent="0.2">
      <c r="A53" s="289"/>
      <c r="B53" s="290"/>
      <c r="C53" s="290"/>
      <c r="D53" s="290"/>
      <c r="E53" s="290"/>
      <c r="F53" s="290"/>
      <c r="G53" s="290"/>
      <c r="H53" s="290"/>
      <c r="I53" s="291"/>
      <c r="J53" s="289"/>
      <c r="K53" s="290"/>
      <c r="L53" s="290"/>
      <c r="M53" s="290"/>
      <c r="N53" s="290"/>
      <c r="O53" s="290"/>
      <c r="P53" s="290"/>
      <c r="Q53" s="290"/>
      <c r="R53" s="290"/>
      <c r="S53" s="290"/>
      <c r="T53" s="290"/>
      <c r="U53" s="291"/>
    </row>
    <row r="54" spans="1:21" x14ac:dyDescent="0.2">
      <c r="A54" s="289"/>
      <c r="B54" s="290"/>
      <c r="C54" s="290"/>
      <c r="D54" s="290"/>
      <c r="E54" s="290"/>
      <c r="F54" s="290"/>
      <c r="G54" s="290"/>
      <c r="H54" s="290"/>
      <c r="I54" s="291"/>
      <c r="J54" s="289"/>
      <c r="K54" s="290"/>
      <c r="L54" s="290"/>
      <c r="M54" s="290"/>
      <c r="N54" s="290"/>
      <c r="O54" s="290"/>
      <c r="P54" s="290"/>
      <c r="Q54" s="290"/>
      <c r="R54" s="290"/>
      <c r="S54" s="290"/>
      <c r="T54" s="290"/>
      <c r="U54" s="291"/>
    </row>
    <row r="55" spans="1:21" x14ac:dyDescent="0.2">
      <c r="A55" s="289"/>
      <c r="B55" s="290"/>
      <c r="C55" s="290"/>
      <c r="D55" s="290"/>
      <c r="E55" s="290"/>
      <c r="F55" s="290"/>
      <c r="G55" s="290"/>
      <c r="H55" s="290"/>
      <c r="I55" s="291"/>
      <c r="J55" s="289"/>
      <c r="K55" s="290"/>
      <c r="L55" s="290"/>
      <c r="M55" s="290"/>
      <c r="N55" s="290"/>
      <c r="O55" s="290"/>
      <c r="P55" s="290"/>
      <c r="Q55" s="290"/>
      <c r="R55" s="290"/>
      <c r="S55" s="290"/>
      <c r="T55" s="290"/>
      <c r="U55" s="291"/>
    </row>
    <row r="56" spans="1:21" x14ac:dyDescent="0.2">
      <c r="A56" s="289"/>
      <c r="B56" s="290"/>
      <c r="C56" s="290"/>
      <c r="D56" s="290"/>
      <c r="E56" s="290"/>
      <c r="F56" s="290"/>
      <c r="G56" s="290"/>
      <c r="H56" s="290"/>
      <c r="I56" s="291"/>
      <c r="J56" s="289"/>
      <c r="K56" s="290"/>
      <c r="L56" s="290"/>
      <c r="M56" s="290"/>
      <c r="N56" s="290"/>
      <c r="O56" s="290"/>
      <c r="P56" s="290"/>
      <c r="Q56" s="290"/>
      <c r="R56" s="290"/>
      <c r="S56" s="290"/>
      <c r="T56" s="290"/>
      <c r="U56" s="291"/>
    </row>
    <row r="57" spans="1:21" x14ac:dyDescent="0.2">
      <c r="A57" s="289"/>
      <c r="B57" s="290"/>
      <c r="C57" s="290"/>
      <c r="D57" s="290"/>
      <c r="E57" s="290"/>
      <c r="F57" s="290"/>
      <c r="G57" s="290"/>
      <c r="H57" s="290"/>
      <c r="I57" s="291"/>
      <c r="J57" s="289"/>
      <c r="K57" s="290"/>
      <c r="L57" s="290"/>
      <c r="M57" s="290"/>
      <c r="N57" s="290"/>
      <c r="O57" s="290"/>
      <c r="P57" s="290"/>
      <c r="Q57" s="290"/>
      <c r="R57" s="290"/>
      <c r="S57" s="290"/>
      <c r="T57" s="290"/>
      <c r="U57" s="291"/>
    </row>
    <row r="58" spans="1:21" x14ac:dyDescent="0.2">
      <c r="A58" s="289"/>
      <c r="B58" s="290"/>
      <c r="C58" s="290"/>
      <c r="D58" s="290"/>
      <c r="E58" s="290"/>
      <c r="F58" s="290"/>
      <c r="G58" s="290"/>
      <c r="H58" s="290"/>
      <c r="I58" s="291"/>
      <c r="J58" s="289"/>
      <c r="K58" s="290"/>
      <c r="L58" s="290"/>
      <c r="M58" s="290"/>
      <c r="N58" s="290"/>
      <c r="O58" s="290"/>
      <c r="P58" s="290"/>
      <c r="Q58" s="290"/>
      <c r="R58" s="290"/>
      <c r="S58" s="290"/>
      <c r="T58" s="290"/>
      <c r="U58" s="291"/>
    </row>
    <row r="59" spans="1:21" x14ac:dyDescent="0.2">
      <c r="A59" s="289"/>
      <c r="B59" s="290"/>
      <c r="C59" s="290"/>
      <c r="D59" s="290"/>
      <c r="E59" s="290"/>
      <c r="F59" s="290"/>
      <c r="G59" s="290"/>
      <c r="H59" s="290"/>
      <c r="I59" s="291"/>
      <c r="J59" s="289"/>
      <c r="K59" s="290"/>
      <c r="L59" s="290"/>
      <c r="M59" s="290"/>
      <c r="N59" s="290"/>
      <c r="O59" s="290"/>
      <c r="P59" s="290"/>
      <c r="Q59" s="290"/>
      <c r="R59" s="290"/>
      <c r="S59" s="290"/>
      <c r="T59" s="290"/>
      <c r="U59" s="291"/>
    </row>
    <row r="60" spans="1:21" x14ac:dyDescent="0.2">
      <c r="A60" s="289"/>
      <c r="B60" s="290"/>
      <c r="C60" s="290"/>
      <c r="D60" s="290"/>
      <c r="E60" s="290"/>
      <c r="F60" s="290"/>
      <c r="G60" s="290"/>
      <c r="H60" s="290"/>
      <c r="I60" s="291"/>
      <c r="J60" s="289"/>
      <c r="K60" s="290"/>
      <c r="L60" s="290"/>
      <c r="M60" s="290"/>
      <c r="N60" s="290"/>
      <c r="O60" s="290"/>
      <c r="P60" s="290"/>
      <c r="Q60" s="290"/>
      <c r="R60" s="290"/>
      <c r="S60" s="290"/>
      <c r="T60" s="290"/>
      <c r="U60" s="291"/>
    </row>
    <row r="61" spans="1:21" x14ac:dyDescent="0.2">
      <c r="A61" s="289"/>
      <c r="B61" s="290"/>
      <c r="C61" s="290"/>
      <c r="D61" s="290"/>
      <c r="E61" s="290"/>
      <c r="F61" s="290"/>
      <c r="G61" s="290"/>
      <c r="H61" s="290"/>
      <c r="I61" s="291"/>
      <c r="J61" s="289"/>
      <c r="K61" s="290"/>
      <c r="L61" s="290"/>
      <c r="M61" s="290"/>
      <c r="N61" s="290"/>
      <c r="O61" s="290"/>
      <c r="P61" s="290"/>
      <c r="Q61" s="290"/>
      <c r="R61" s="290"/>
      <c r="S61" s="290"/>
      <c r="T61" s="290"/>
      <c r="U61" s="291"/>
    </row>
    <row r="62" spans="1:21" x14ac:dyDescent="0.2">
      <c r="A62" s="289"/>
      <c r="B62" s="290"/>
      <c r="C62" s="290"/>
      <c r="D62" s="290"/>
      <c r="E62" s="290"/>
      <c r="F62" s="290"/>
      <c r="G62" s="290"/>
      <c r="H62" s="290"/>
      <c r="I62" s="291"/>
      <c r="J62" s="289"/>
      <c r="K62" s="290"/>
      <c r="L62" s="290"/>
      <c r="M62" s="290"/>
      <c r="N62" s="290"/>
      <c r="O62" s="290"/>
      <c r="P62" s="290"/>
      <c r="Q62" s="290"/>
      <c r="R62" s="290"/>
      <c r="S62" s="290"/>
      <c r="T62" s="290"/>
      <c r="U62" s="291"/>
    </row>
    <row r="63" spans="1:21" x14ac:dyDescent="0.2">
      <c r="A63" s="289"/>
      <c r="B63" s="290"/>
      <c r="C63" s="290"/>
      <c r="D63" s="290"/>
      <c r="E63" s="290"/>
      <c r="F63" s="290"/>
      <c r="G63" s="290"/>
      <c r="H63" s="290"/>
      <c r="I63" s="291"/>
      <c r="J63" s="289"/>
      <c r="K63" s="290"/>
      <c r="L63" s="290"/>
      <c r="M63" s="290"/>
      <c r="N63" s="290"/>
      <c r="O63" s="290"/>
      <c r="P63" s="290"/>
      <c r="Q63" s="290"/>
      <c r="R63" s="290"/>
      <c r="S63" s="290"/>
      <c r="T63" s="290"/>
      <c r="U63" s="291"/>
    </row>
    <row r="64" spans="1:21" x14ac:dyDescent="0.2">
      <c r="A64" s="292"/>
      <c r="B64" s="293"/>
      <c r="C64" s="293"/>
      <c r="D64" s="293"/>
      <c r="E64" s="293"/>
      <c r="F64" s="293"/>
      <c r="G64" s="293"/>
      <c r="H64" s="293"/>
      <c r="I64" s="294"/>
      <c r="J64" s="292"/>
      <c r="K64" s="293"/>
      <c r="L64" s="293"/>
      <c r="M64" s="293"/>
      <c r="N64" s="293"/>
      <c r="O64" s="293"/>
      <c r="P64" s="293"/>
      <c r="Q64" s="293"/>
      <c r="R64" s="293"/>
      <c r="S64" s="293"/>
      <c r="T64" s="293"/>
      <c r="U64" s="294"/>
    </row>
    <row r="65" spans="1:21" x14ac:dyDescent="0.2">
      <c r="A65" s="286"/>
      <c r="B65" s="287"/>
      <c r="C65" s="287"/>
      <c r="D65" s="287"/>
      <c r="E65" s="287"/>
      <c r="F65" s="287"/>
      <c r="G65" s="287"/>
      <c r="H65" s="287"/>
      <c r="I65" s="288"/>
      <c r="J65" s="286"/>
      <c r="K65" s="287"/>
      <c r="L65" s="287"/>
      <c r="M65" s="287"/>
      <c r="N65" s="287"/>
      <c r="O65" s="287"/>
      <c r="P65" s="287"/>
      <c r="Q65" s="287"/>
      <c r="R65" s="287"/>
      <c r="S65" s="287"/>
      <c r="T65" s="287"/>
      <c r="U65" s="288"/>
    </row>
    <row r="66" spans="1:21" x14ac:dyDescent="0.2">
      <c r="A66" s="289"/>
      <c r="B66" s="290"/>
      <c r="C66" s="290"/>
      <c r="D66" s="290"/>
      <c r="E66" s="290"/>
      <c r="F66" s="290"/>
      <c r="G66" s="290"/>
      <c r="H66" s="290"/>
      <c r="I66" s="291"/>
      <c r="J66" s="289"/>
      <c r="K66" s="290"/>
      <c r="L66" s="290"/>
      <c r="M66" s="290"/>
      <c r="N66" s="290"/>
      <c r="O66" s="290"/>
      <c r="P66" s="290"/>
      <c r="Q66" s="290"/>
      <c r="R66" s="290"/>
      <c r="S66" s="290"/>
      <c r="T66" s="290"/>
      <c r="U66" s="291"/>
    </row>
    <row r="67" spans="1:21" x14ac:dyDescent="0.2">
      <c r="A67" s="289"/>
      <c r="B67" s="290"/>
      <c r="C67" s="290"/>
      <c r="D67" s="290"/>
      <c r="E67" s="290"/>
      <c r="F67" s="290"/>
      <c r="G67" s="290"/>
      <c r="H67" s="290"/>
      <c r="I67" s="291"/>
      <c r="J67" s="289"/>
      <c r="K67" s="290"/>
      <c r="L67" s="290"/>
      <c r="M67" s="290"/>
      <c r="N67" s="290"/>
      <c r="O67" s="290"/>
      <c r="P67" s="290"/>
      <c r="Q67" s="290"/>
      <c r="R67" s="290"/>
      <c r="S67" s="290"/>
      <c r="T67" s="290"/>
      <c r="U67" s="291"/>
    </row>
    <row r="68" spans="1:21" x14ac:dyDescent="0.2">
      <c r="A68" s="289"/>
      <c r="B68" s="290"/>
      <c r="C68" s="290"/>
      <c r="D68" s="290"/>
      <c r="E68" s="290"/>
      <c r="F68" s="290"/>
      <c r="G68" s="290"/>
      <c r="H68" s="290"/>
      <c r="I68" s="291"/>
      <c r="J68" s="289"/>
      <c r="K68" s="290"/>
      <c r="L68" s="290"/>
      <c r="M68" s="290"/>
      <c r="N68" s="290"/>
      <c r="O68" s="290"/>
      <c r="P68" s="290"/>
      <c r="Q68" s="290"/>
      <c r="R68" s="290"/>
      <c r="S68" s="290"/>
      <c r="T68" s="290"/>
      <c r="U68" s="291"/>
    </row>
    <row r="69" spans="1:21" x14ac:dyDescent="0.2">
      <c r="A69" s="289"/>
      <c r="B69" s="290"/>
      <c r="C69" s="290"/>
      <c r="D69" s="290"/>
      <c r="E69" s="290"/>
      <c r="F69" s="290"/>
      <c r="G69" s="290"/>
      <c r="H69" s="290"/>
      <c r="I69" s="291"/>
      <c r="J69" s="289"/>
      <c r="K69" s="290"/>
      <c r="L69" s="290"/>
      <c r="M69" s="290"/>
      <c r="N69" s="290"/>
      <c r="O69" s="290"/>
      <c r="P69" s="290"/>
      <c r="Q69" s="290"/>
      <c r="R69" s="290"/>
      <c r="S69" s="290"/>
      <c r="T69" s="290"/>
      <c r="U69" s="291"/>
    </row>
    <row r="70" spans="1:21" x14ac:dyDescent="0.2">
      <c r="A70" s="289"/>
      <c r="B70" s="290"/>
      <c r="C70" s="290"/>
      <c r="D70" s="290"/>
      <c r="E70" s="290"/>
      <c r="F70" s="290"/>
      <c r="G70" s="290"/>
      <c r="H70" s="290"/>
      <c r="I70" s="291"/>
      <c r="J70" s="289"/>
      <c r="K70" s="290"/>
      <c r="L70" s="290"/>
      <c r="M70" s="290"/>
      <c r="N70" s="290"/>
      <c r="O70" s="290"/>
      <c r="P70" s="290"/>
      <c r="Q70" s="290"/>
      <c r="R70" s="290"/>
      <c r="S70" s="290"/>
      <c r="T70" s="290"/>
      <c r="U70" s="291"/>
    </row>
    <row r="71" spans="1:21" x14ac:dyDescent="0.2">
      <c r="A71" s="289"/>
      <c r="B71" s="290"/>
      <c r="C71" s="290"/>
      <c r="D71" s="290"/>
      <c r="E71" s="290"/>
      <c r="F71" s="290"/>
      <c r="G71" s="290"/>
      <c r="H71" s="290"/>
      <c r="I71" s="291"/>
      <c r="J71" s="289"/>
      <c r="K71" s="290"/>
      <c r="L71" s="290"/>
      <c r="M71" s="290"/>
      <c r="N71" s="290"/>
      <c r="O71" s="290"/>
      <c r="P71" s="290"/>
      <c r="Q71" s="290"/>
      <c r="R71" s="290"/>
      <c r="S71" s="290"/>
      <c r="T71" s="290"/>
      <c r="U71" s="291"/>
    </row>
    <row r="72" spans="1:21" x14ac:dyDescent="0.2">
      <c r="A72" s="289"/>
      <c r="B72" s="290"/>
      <c r="C72" s="290"/>
      <c r="D72" s="290"/>
      <c r="E72" s="290"/>
      <c r="F72" s="290"/>
      <c r="G72" s="290"/>
      <c r="H72" s="290"/>
      <c r="I72" s="291"/>
      <c r="J72" s="289"/>
      <c r="K72" s="290"/>
      <c r="L72" s="290"/>
      <c r="M72" s="290"/>
      <c r="N72" s="290"/>
      <c r="O72" s="290"/>
      <c r="P72" s="290"/>
      <c r="Q72" s="290"/>
      <c r="R72" s="290"/>
      <c r="S72" s="290"/>
      <c r="T72" s="290"/>
      <c r="U72" s="291"/>
    </row>
    <row r="73" spans="1:21" x14ac:dyDescent="0.2">
      <c r="A73" s="289"/>
      <c r="B73" s="290"/>
      <c r="C73" s="290"/>
      <c r="D73" s="290"/>
      <c r="E73" s="290"/>
      <c r="F73" s="290"/>
      <c r="G73" s="290"/>
      <c r="H73" s="290"/>
      <c r="I73" s="291"/>
      <c r="J73" s="289"/>
      <c r="K73" s="290"/>
      <c r="L73" s="290"/>
      <c r="M73" s="290"/>
      <c r="N73" s="290"/>
      <c r="O73" s="290"/>
      <c r="P73" s="290"/>
      <c r="Q73" s="290"/>
      <c r="R73" s="290"/>
      <c r="S73" s="290"/>
      <c r="T73" s="290"/>
      <c r="U73" s="291"/>
    </row>
    <row r="74" spans="1:21" x14ac:dyDescent="0.2">
      <c r="A74" s="289"/>
      <c r="B74" s="290"/>
      <c r="C74" s="290"/>
      <c r="D74" s="290"/>
      <c r="E74" s="290"/>
      <c r="F74" s="290"/>
      <c r="G74" s="290"/>
      <c r="H74" s="290"/>
      <c r="I74" s="291"/>
      <c r="J74" s="289"/>
      <c r="K74" s="290"/>
      <c r="L74" s="290"/>
      <c r="M74" s="290"/>
      <c r="N74" s="290"/>
      <c r="O74" s="290"/>
      <c r="P74" s="290"/>
      <c r="Q74" s="290"/>
      <c r="R74" s="290"/>
      <c r="S74" s="290"/>
      <c r="T74" s="290"/>
      <c r="U74" s="291"/>
    </row>
    <row r="75" spans="1:21" x14ac:dyDescent="0.2">
      <c r="A75" s="289"/>
      <c r="B75" s="290"/>
      <c r="C75" s="290"/>
      <c r="D75" s="290"/>
      <c r="E75" s="290"/>
      <c r="F75" s="290"/>
      <c r="G75" s="290"/>
      <c r="H75" s="290"/>
      <c r="I75" s="291"/>
      <c r="J75" s="289"/>
      <c r="K75" s="290"/>
      <c r="L75" s="290"/>
      <c r="M75" s="290"/>
      <c r="N75" s="290"/>
      <c r="O75" s="290"/>
      <c r="P75" s="290"/>
      <c r="Q75" s="290"/>
      <c r="R75" s="290"/>
      <c r="S75" s="290"/>
      <c r="T75" s="290"/>
      <c r="U75" s="291"/>
    </row>
    <row r="76" spans="1:21" x14ac:dyDescent="0.2">
      <c r="A76" s="289"/>
      <c r="B76" s="290"/>
      <c r="C76" s="290"/>
      <c r="D76" s="290"/>
      <c r="E76" s="290"/>
      <c r="F76" s="290"/>
      <c r="G76" s="290"/>
      <c r="H76" s="290"/>
      <c r="I76" s="291"/>
      <c r="J76" s="289"/>
      <c r="K76" s="290"/>
      <c r="L76" s="290"/>
      <c r="M76" s="290"/>
      <c r="N76" s="290"/>
      <c r="O76" s="290"/>
      <c r="P76" s="290"/>
      <c r="Q76" s="290"/>
      <c r="R76" s="290"/>
      <c r="S76" s="290"/>
      <c r="T76" s="290"/>
      <c r="U76" s="291"/>
    </row>
    <row r="77" spans="1:21" x14ac:dyDescent="0.2">
      <c r="A77" s="289"/>
      <c r="B77" s="290"/>
      <c r="C77" s="290"/>
      <c r="D77" s="290"/>
      <c r="E77" s="290"/>
      <c r="F77" s="290"/>
      <c r="G77" s="290"/>
      <c r="H77" s="290"/>
      <c r="I77" s="291"/>
      <c r="J77" s="289"/>
      <c r="K77" s="290"/>
      <c r="L77" s="290"/>
      <c r="M77" s="290"/>
      <c r="N77" s="290"/>
      <c r="O77" s="290"/>
      <c r="P77" s="290"/>
      <c r="Q77" s="290"/>
      <c r="R77" s="290"/>
      <c r="S77" s="290"/>
      <c r="T77" s="290"/>
      <c r="U77" s="291"/>
    </row>
    <row r="78" spans="1:21" x14ac:dyDescent="0.2">
      <c r="A78" s="289"/>
      <c r="B78" s="290"/>
      <c r="C78" s="290"/>
      <c r="D78" s="290"/>
      <c r="E78" s="290"/>
      <c r="F78" s="290"/>
      <c r="G78" s="290"/>
      <c r="H78" s="290"/>
      <c r="I78" s="291"/>
      <c r="J78" s="289"/>
      <c r="K78" s="290"/>
      <c r="L78" s="290"/>
      <c r="M78" s="290"/>
      <c r="N78" s="290"/>
      <c r="O78" s="290"/>
      <c r="P78" s="290"/>
      <c r="Q78" s="290"/>
      <c r="R78" s="290"/>
      <c r="S78" s="290"/>
      <c r="T78" s="290"/>
      <c r="U78" s="291"/>
    </row>
    <row r="79" spans="1:21" x14ac:dyDescent="0.2">
      <c r="A79" s="289"/>
      <c r="B79" s="290"/>
      <c r="C79" s="290"/>
      <c r="D79" s="290"/>
      <c r="E79" s="290"/>
      <c r="F79" s="290"/>
      <c r="G79" s="290"/>
      <c r="H79" s="290"/>
      <c r="I79" s="291"/>
      <c r="J79" s="289"/>
      <c r="K79" s="290"/>
      <c r="L79" s="290"/>
      <c r="M79" s="290"/>
      <c r="N79" s="290"/>
      <c r="O79" s="290"/>
      <c r="P79" s="290"/>
      <c r="Q79" s="290"/>
      <c r="R79" s="290"/>
      <c r="S79" s="290"/>
      <c r="T79" s="290"/>
      <c r="U79" s="291"/>
    </row>
    <row r="80" spans="1:21" x14ac:dyDescent="0.2">
      <c r="A80" s="289"/>
      <c r="B80" s="290"/>
      <c r="C80" s="290"/>
      <c r="D80" s="290"/>
      <c r="E80" s="290"/>
      <c r="F80" s="290"/>
      <c r="G80" s="290"/>
      <c r="H80" s="290"/>
      <c r="I80" s="291"/>
      <c r="J80" s="289"/>
      <c r="K80" s="290"/>
      <c r="L80" s="290"/>
      <c r="M80" s="290"/>
      <c r="N80" s="290"/>
      <c r="O80" s="290"/>
      <c r="P80" s="290"/>
      <c r="Q80" s="290"/>
      <c r="R80" s="290"/>
      <c r="S80" s="290"/>
      <c r="T80" s="290"/>
      <c r="U80" s="291"/>
    </row>
    <row r="81" spans="1:21" x14ac:dyDescent="0.2">
      <c r="A81" s="289"/>
      <c r="B81" s="290"/>
      <c r="C81" s="290"/>
      <c r="D81" s="290"/>
      <c r="E81" s="290"/>
      <c r="F81" s="290"/>
      <c r="G81" s="290"/>
      <c r="H81" s="290"/>
      <c r="I81" s="291"/>
      <c r="J81" s="289"/>
      <c r="K81" s="290"/>
      <c r="L81" s="290"/>
      <c r="M81" s="290"/>
      <c r="N81" s="290"/>
      <c r="O81" s="290"/>
      <c r="P81" s="290"/>
      <c r="Q81" s="290"/>
      <c r="R81" s="290"/>
      <c r="S81" s="290"/>
      <c r="T81" s="290"/>
      <c r="U81" s="291"/>
    </row>
    <row r="82" spans="1:21" x14ac:dyDescent="0.2">
      <c r="A82" s="289"/>
      <c r="B82" s="290"/>
      <c r="C82" s="290"/>
      <c r="D82" s="290"/>
      <c r="E82" s="290"/>
      <c r="F82" s="290"/>
      <c r="G82" s="290"/>
      <c r="H82" s="290"/>
      <c r="I82" s="291"/>
      <c r="J82" s="289"/>
      <c r="K82" s="290"/>
      <c r="L82" s="290"/>
      <c r="M82" s="290"/>
      <c r="N82" s="290"/>
      <c r="O82" s="290"/>
      <c r="P82" s="290"/>
      <c r="Q82" s="290"/>
      <c r="R82" s="290"/>
      <c r="S82" s="290"/>
      <c r="T82" s="290"/>
      <c r="U82" s="291"/>
    </row>
    <row r="83" spans="1:21" x14ac:dyDescent="0.2">
      <c r="A83" s="289"/>
      <c r="B83" s="290"/>
      <c r="C83" s="290"/>
      <c r="D83" s="290"/>
      <c r="E83" s="290"/>
      <c r="F83" s="290"/>
      <c r="G83" s="290"/>
      <c r="H83" s="290"/>
      <c r="I83" s="291"/>
      <c r="J83" s="289"/>
      <c r="K83" s="290"/>
      <c r="L83" s="290"/>
      <c r="M83" s="290"/>
      <c r="N83" s="290"/>
      <c r="O83" s="290"/>
      <c r="P83" s="290"/>
      <c r="Q83" s="290"/>
      <c r="R83" s="290"/>
      <c r="S83" s="290"/>
      <c r="T83" s="290"/>
      <c r="U83" s="291"/>
    </row>
    <row r="84" spans="1:21" x14ac:dyDescent="0.2">
      <c r="A84" s="289"/>
      <c r="B84" s="290"/>
      <c r="C84" s="290"/>
      <c r="D84" s="290"/>
      <c r="E84" s="290"/>
      <c r="F84" s="290"/>
      <c r="G84" s="290"/>
      <c r="H84" s="290"/>
      <c r="I84" s="291"/>
      <c r="J84" s="289"/>
      <c r="K84" s="290"/>
      <c r="L84" s="290"/>
      <c r="M84" s="290"/>
      <c r="N84" s="290"/>
      <c r="O84" s="290"/>
      <c r="P84" s="290"/>
      <c r="Q84" s="290"/>
      <c r="R84" s="290"/>
      <c r="S84" s="290"/>
      <c r="T84" s="290"/>
      <c r="U84" s="291"/>
    </row>
    <row r="85" spans="1:21" x14ac:dyDescent="0.2">
      <c r="A85" s="292"/>
      <c r="B85" s="293"/>
      <c r="C85" s="293"/>
      <c r="D85" s="293"/>
      <c r="E85" s="293"/>
      <c r="F85" s="293"/>
      <c r="G85" s="293"/>
      <c r="H85" s="293"/>
      <c r="I85" s="294"/>
      <c r="J85" s="292"/>
      <c r="K85" s="293"/>
      <c r="L85" s="293"/>
      <c r="M85" s="293"/>
      <c r="N85" s="293"/>
      <c r="O85" s="293"/>
      <c r="P85" s="293"/>
      <c r="Q85" s="293"/>
      <c r="R85" s="293"/>
      <c r="S85" s="293"/>
      <c r="T85" s="293"/>
      <c r="U85" s="294"/>
    </row>
    <row r="86" spans="1:21" x14ac:dyDescent="0.2">
      <c r="A86" s="76" t="s">
        <v>582</v>
      </c>
    </row>
  </sheetData>
  <sheetProtection algorithmName="SHA-512" hashValue="DdiSIyxOV78SBPk9uxRs5WwqMDgB3c1YPwZU7ZhBYJs0G+a+CLAyl3XQQdLaVDZaLqOQoGAdqJjl5er7+/7SyQ==" saltValue="mcE8ulfhPRTDO4BfDz/Clg==" spinCount="100000" sheet="1" objects="1" scenarios="1"/>
  <mergeCells count="6">
    <mergeCell ref="J23:U43"/>
    <mergeCell ref="A23:I43"/>
    <mergeCell ref="J44:U64"/>
    <mergeCell ref="A44:I64"/>
    <mergeCell ref="J65:U85"/>
    <mergeCell ref="A65:I85"/>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8" width="10.44140625" customWidth="1"/>
    <col min="29" max="29" width="10.44140625" style="1" customWidth="1"/>
  </cols>
  <sheetData>
    <row r="1" spans="1:29"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row>
    <row r="2" spans="1:29" ht="21" customHeight="1" x14ac:dyDescent="0.2">
      <c r="A2" s="345" t="str">
        <f>BS!A2</f>
        <v>１３　家具・装備品製造業</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46" t="s">
        <v>33</v>
      </c>
      <c r="B4" s="347"/>
      <c r="C4" s="347"/>
      <c r="D4" s="347"/>
      <c r="E4" s="347"/>
      <c r="F4" s="347"/>
      <c r="G4" s="347"/>
      <c r="H4" s="347"/>
      <c r="I4" s="347"/>
      <c r="J4" s="347"/>
      <c r="K4" s="68">
        <v>8092</v>
      </c>
      <c r="L4" s="68">
        <v>9384</v>
      </c>
      <c r="M4" s="68">
        <v>9092.3233300636293</v>
      </c>
      <c r="N4" s="68">
        <v>7858.9640690037304</v>
      </c>
      <c r="O4" s="68">
        <v>8515.77889094893</v>
      </c>
      <c r="P4" s="68">
        <v>8251.3727196559394</v>
      </c>
      <c r="Q4" s="68">
        <v>7272.9007589827597</v>
      </c>
      <c r="R4" s="68">
        <v>8544.9472375593377</v>
      </c>
      <c r="S4" s="68">
        <v>8225.3540949999933</v>
      </c>
      <c r="T4" s="68">
        <v>8854.8999305324778</v>
      </c>
      <c r="U4" s="68">
        <v>8770.0307843999981</v>
      </c>
      <c r="V4" s="68">
        <v>8686.5756708000627</v>
      </c>
      <c r="W4" s="68">
        <v>8604.5058003000322</v>
      </c>
      <c r="X4" s="68">
        <v>8523.7930070000093</v>
      </c>
      <c r="Y4" s="68">
        <v>8289.3677795999847</v>
      </c>
      <c r="Z4" s="68">
        <v>8279</v>
      </c>
      <c r="AA4" s="68">
        <v>8301</v>
      </c>
      <c r="AB4" s="68">
        <v>8242</v>
      </c>
      <c r="AC4" s="68">
        <v>8306</v>
      </c>
    </row>
    <row r="5" spans="1:29" s="31" customFormat="1" ht="18" customHeight="1" x14ac:dyDescent="0.2">
      <c r="A5" s="363" t="s">
        <v>34</v>
      </c>
      <c r="B5" s="364"/>
      <c r="C5" s="364"/>
      <c r="D5" s="364"/>
      <c r="E5" s="364"/>
      <c r="F5" s="364"/>
      <c r="G5" s="364"/>
      <c r="H5" s="364"/>
      <c r="I5" s="364"/>
      <c r="J5" s="364"/>
      <c r="K5" s="251">
        <v>12.533860603064801</v>
      </c>
      <c r="L5" s="251">
        <v>13.575554134697358</v>
      </c>
      <c r="M5" s="251">
        <v>12.234161961694509</v>
      </c>
      <c r="N5" s="251">
        <v>13.049525075729587</v>
      </c>
      <c r="O5" s="251">
        <v>12.042501603928507</v>
      </c>
      <c r="P5" s="251">
        <v>12.65665301851298</v>
      </c>
      <c r="Q5" s="251">
        <v>12.891024716625235</v>
      </c>
      <c r="R5" s="251">
        <v>11.369715396230543</v>
      </c>
      <c r="S5" s="251">
        <v>11.822918680996302</v>
      </c>
      <c r="T5" s="251">
        <v>11.216756404879648</v>
      </c>
      <c r="U5" s="251">
        <v>11.259526306681627</v>
      </c>
      <c r="V5" s="251">
        <v>11.220040071415035</v>
      </c>
      <c r="W5" s="251">
        <v>11.891748367618137</v>
      </c>
      <c r="X5" s="251">
        <v>11.841413482968505</v>
      </c>
      <c r="Y5" s="251">
        <v>12.158751196879896</v>
      </c>
      <c r="Z5" s="251">
        <v>12.014836033329496</v>
      </c>
      <c r="AA5" s="251">
        <v>13.08300204794603</v>
      </c>
      <c r="AB5" s="251">
        <v>12.472094151904878</v>
      </c>
      <c r="AC5" s="251">
        <v>12.375150493619071</v>
      </c>
    </row>
    <row r="6" spans="1:29" s="31" customFormat="1" ht="18" customHeight="1" x14ac:dyDescent="0.2">
      <c r="A6" s="359" t="s">
        <v>514</v>
      </c>
      <c r="B6" s="360"/>
      <c r="C6" s="360"/>
      <c r="D6" s="360"/>
      <c r="E6" s="360"/>
      <c r="F6" s="360"/>
      <c r="G6" s="360"/>
      <c r="H6" s="360"/>
      <c r="I6" s="360"/>
      <c r="J6" s="360"/>
      <c r="K6" s="71">
        <v>178690.05190311401</v>
      </c>
      <c r="L6" s="71">
        <v>228162.5106564365</v>
      </c>
      <c r="M6" s="71">
        <v>185528.85343416347</v>
      </c>
      <c r="N6" s="71">
        <v>167398.51104675228</v>
      </c>
      <c r="O6" s="71">
        <v>173287.57670911792</v>
      </c>
      <c r="P6" s="71">
        <v>177881.84871766673</v>
      </c>
      <c r="Q6" s="71">
        <v>171715.58089207942</v>
      </c>
      <c r="R6" s="71">
        <v>149769.25517416568</v>
      </c>
      <c r="S6" s="71">
        <v>157111.54862516082</v>
      </c>
      <c r="T6" s="71">
        <v>150018.4249596498</v>
      </c>
      <c r="U6" s="71">
        <v>150079.80754763054</v>
      </c>
      <c r="V6" s="71">
        <v>165545.42591284707</v>
      </c>
      <c r="W6" s="71">
        <v>176132.00737193864</v>
      </c>
      <c r="X6" s="71">
        <v>168887.11406020238</v>
      </c>
      <c r="Y6" s="71">
        <v>186822.29642525339</v>
      </c>
      <c r="Z6" s="71">
        <v>164449.18406024383</v>
      </c>
      <c r="AA6" s="71">
        <v>210560.48789302495</v>
      </c>
      <c r="AB6" s="71">
        <v>189103.8323222519</v>
      </c>
      <c r="AC6" s="71">
        <v>206106.80664579821</v>
      </c>
    </row>
    <row r="7" spans="1:29" s="31" customFormat="1" ht="18" customHeight="1" x14ac:dyDescent="0.2">
      <c r="A7" s="366" t="s">
        <v>35</v>
      </c>
      <c r="B7" s="367"/>
      <c r="C7" s="367"/>
      <c r="D7" s="367"/>
      <c r="E7" s="367"/>
      <c r="F7" s="367"/>
      <c r="G7" s="367"/>
      <c r="H7" s="367"/>
      <c r="I7" s="367"/>
      <c r="J7" s="367"/>
      <c r="K7" s="211">
        <v>177464.450074147</v>
      </c>
      <c r="L7" s="211">
        <v>228681.905370844</v>
      </c>
      <c r="M7" s="211">
        <v>184051.17912057455</v>
      </c>
      <c r="N7" s="211">
        <v>164537.12797209588</v>
      </c>
      <c r="O7" s="211">
        <v>172645.75049822617</v>
      </c>
      <c r="P7" s="211">
        <v>177369.71588835414</v>
      </c>
      <c r="Q7" s="211"/>
      <c r="R7" s="211"/>
      <c r="S7" s="211"/>
      <c r="T7" s="211"/>
      <c r="U7" s="211"/>
      <c r="V7" s="211"/>
      <c r="W7" s="211"/>
      <c r="X7" s="211"/>
      <c r="Y7" s="211"/>
      <c r="Z7" s="211"/>
      <c r="AA7" s="211"/>
      <c r="AB7" s="211"/>
      <c r="AC7" s="211"/>
    </row>
    <row r="8" spans="1:29" s="31" customFormat="1" ht="18" customHeight="1" x14ac:dyDescent="0.2">
      <c r="A8" s="212"/>
      <c r="B8" s="366" t="s">
        <v>36</v>
      </c>
      <c r="C8" s="367"/>
      <c r="D8" s="367"/>
      <c r="E8" s="367"/>
      <c r="F8" s="367"/>
      <c r="G8" s="367"/>
      <c r="H8" s="367"/>
      <c r="I8" s="367"/>
      <c r="J8" s="372"/>
      <c r="K8" s="211">
        <v>133340.714285714</v>
      </c>
      <c r="L8" s="211">
        <v>173476.0230179028</v>
      </c>
      <c r="M8" s="211">
        <v>139157.77381197087</v>
      </c>
      <c r="N8" s="211">
        <v>123661.25600413376</v>
      </c>
      <c r="O8" s="211">
        <v>130094.74704626802</v>
      </c>
      <c r="P8" s="211">
        <v>131271.47408138597</v>
      </c>
      <c r="Q8" s="211">
        <v>130485.97199155191</v>
      </c>
      <c r="R8" s="211">
        <v>111022.24770151881</v>
      </c>
      <c r="S8" s="211">
        <v>118092.9075458483</v>
      </c>
      <c r="T8" s="211">
        <v>112587.90177338161</v>
      </c>
      <c r="U8" s="211">
        <v>109830.71770268393</v>
      </c>
      <c r="V8" s="211">
        <v>117314.53951608403</v>
      </c>
      <c r="W8" s="211">
        <v>130497.69960965557</v>
      </c>
      <c r="X8" s="211">
        <v>122378.66425240894</v>
      </c>
      <c r="Y8" s="211">
        <v>145296.31086244219</v>
      </c>
      <c r="Z8" s="211">
        <v>120674.88889839352</v>
      </c>
      <c r="AA8" s="211">
        <v>156299.98554391036</v>
      </c>
      <c r="AB8" s="211">
        <v>140220.85816549382</v>
      </c>
      <c r="AC8" s="211">
        <v>162917.54671321934</v>
      </c>
    </row>
    <row r="9" spans="1:29" s="31" customFormat="1" ht="18" customHeight="1" x14ac:dyDescent="0.2">
      <c r="A9" s="212"/>
      <c r="B9" s="73"/>
      <c r="C9" s="346" t="s">
        <v>37</v>
      </c>
      <c r="D9" s="347"/>
      <c r="E9" s="347"/>
      <c r="F9" s="347"/>
      <c r="G9" s="347"/>
      <c r="H9" s="347"/>
      <c r="I9" s="347"/>
      <c r="J9" s="347"/>
      <c r="K9" s="68">
        <v>30622.530894710799</v>
      </c>
      <c r="L9" s="68">
        <v>24879.582267689686</v>
      </c>
      <c r="M9" s="68">
        <v>57466.825822281709</v>
      </c>
      <c r="N9" s="68">
        <v>11399.851848238075</v>
      </c>
      <c r="O9" s="68">
        <v>30124.313678228922</v>
      </c>
      <c r="P9" s="68">
        <v>17804.848157716351</v>
      </c>
      <c r="Q9" s="68">
        <v>14833.686265640234</v>
      </c>
      <c r="R9" s="68">
        <v>40263.75059133477</v>
      </c>
      <c r="S9" s="68">
        <v>22945.022192793127</v>
      </c>
      <c r="T9" s="68">
        <v>32272.441914399111</v>
      </c>
      <c r="U9" s="68">
        <v>29647.655876124885</v>
      </c>
      <c r="V9" s="68">
        <v>37458.900680614381</v>
      </c>
      <c r="W9" s="68">
        <v>34536.582574829983</v>
      </c>
      <c r="X9" s="68">
        <v>18616.572848577358</v>
      </c>
      <c r="Y9" s="68">
        <v>35410.680566596471</v>
      </c>
      <c r="Z9" s="68">
        <v>68397.598942372118</v>
      </c>
      <c r="AA9" s="68">
        <v>89115.871220334899</v>
      </c>
      <c r="AB9" s="68">
        <v>79252.681994661485</v>
      </c>
      <c r="AC9" s="68">
        <v>80010.513363833379</v>
      </c>
    </row>
    <row r="10" spans="1:29" s="31" customFormat="1" ht="18" customHeight="1" x14ac:dyDescent="0.2">
      <c r="A10" s="212"/>
      <c r="B10" s="73"/>
      <c r="C10" s="355" t="s">
        <v>38</v>
      </c>
      <c r="D10" s="356"/>
      <c r="E10" s="356"/>
      <c r="F10" s="356"/>
      <c r="G10" s="356"/>
      <c r="H10" s="356"/>
      <c r="I10" s="356"/>
      <c r="J10" s="356"/>
      <c r="K10" s="69">
        <v>51543.929807216999</v>
      </c>
      <c r="L10" s="69">
        <v>63617.860187553284</v>
      </c>
      <c r="M10" s="69">
        <v>31512.584618253441</v>
      </c>
      <c r="N10" s="69">
        <v>52365.19563346303</v>
      </c>
      <c r="O10" s="69">
        <v>50175.13408145139</v>
      </c>
      <c r="P10" s="69">
        <v>57815.996103243684</v>
      </c>
      <c r="Q10" s="69">
        <v>57051.955836532899</v>
      </c>
      <c r="R10" s="69">
        <v>34614.220500339296</v>
      </c>
      <c r="S10" s="69">
        <v>45268.262611548904</v>
      </c>
      <c r="T10" s="69">
        <v>32689.545476979554</v>
      </c>
      <c r="U10" s="69">
        <v>38229.086568022831</v>
      </c>
      <c r="V10" s="69">
        <v>35234.443010125542</v>
      </c>
      <c r="W10" s="69">
        <v>46235.427254970709</v>
      </c>
      <c r="X10" s="69">
        <v>42843.071904681448</v>
      </c>
      <c r="Y10" s="69">
        <v>53216.789503373206</v>
      </c>
      <c r="Z10" s="69"/>
      <c r="AA10" s="69"/>
      <c r="AB10" s="69"/>
      <c r="AC10" s="69"/>
    </row>
    <row r="11" spans="1:29" s="31" customFormat="1" ht="18" customHeight="1" x14ac:dyDescent="0.2">
      <c r="A11" s="212"/>
      <c r="B11" s="73"/>
      <c r="C11" s="355" t="s">
        <v>39</v>
      </c>
      <c r="D11" s="356"/>
      <c r="E11" s="356"/>
      <c r="F11" s="356"/>
      <c r="G11" s="356"/>
      <c r="H11" s="356"/>
      <c r="I11" s="356"/>
      <c r="J11" s="356"/>
      <c r="K11" s="69">
        <v>20934.483440435</v>
      </c>
      <c r="L11" s="69">
        <v>32400.149190110824</v>
      </c>
      <c r="M11" s="69">
        <v>25157.218457006769</v>
      </c>
      <c r="N11" s="69">
        <v>26880.454384545006</v>
      </c>
      <c r="O11" s="69">
        <v>23080.245239840708</v>
      </c>
      <c r="P11" s="69">
        <v>21511.292884664796</v>
      </c>
      <c r="Q11" s="69">
        <v>26975.320841658006</v>
      </c>
      <c r="R11" s="69">
        <v>20266.301411374447</v>
      </c>
      <c r="S11" s="69">
        <v>21305.266434521487</v>
      </c>
      <c r="T11" s="69">
        <v>27789.490554267901</v>
      </c>
      <c r="U11" s="69">
        <v>19668.592062796597</v>
      </c>
      <c r="V11" s="69">
        <v>20004.882055477072</v>
      </c>
      <c r="W11" s="69">
        <v>21368.314933253452</v>
      </c>
      <c r="X11" s="69">
        <v>27760.06072323105</v>
      </c>
      <c r="Y11" s="69">
        <v>28783.090481718191</v>
      </c>
      <c r="Z11" s="69">
        <v>25963.630047600986</v>
      </c>
      <c r="AA11" s="69">
        <v>27469.898807372603</v>
      </c>
      <c r="AB11" s="69">
        <v>24993.990293618055</v>
      </c>
      <c r="AC11" s="69">
        <v>29875.307127377797</v>
      </c>
    </row>
    <row r="12" spans="1:29" s="31" customFormat="1" ht="18" customHeight="1" x14ac:dyDescent="0.2">
      <c r="A12" s="212"/>
      <c r="B12" s="73"/>
      <c r="C12" s="355" t="s">
        <v>40</v>
      </c>
      <c r="D12" s="356"/>
      <c r="E12" s="356"/>
      <c r="F12" s="356"/>
      <c r="G12" s="356"/>
      <c r="H12" s="356"/>
      <c r="I12" s="356"/>
      <c r="J12" s="356"/>
      <c r="K12" s="69">
        <v>16311.8660405339</v>
      </c>
      <c r="L12" s="69">
        <v>41463.554987212279</v>
      </c>
      <c r="M12" s="69">
        <v>12578.139320140925</v>
      </c>
      <c r="N12" s="69">
        <v>18270.733797340999</v>
      </c>
      <c r="O12" s="69">
        <v>16729.056313013934</v>
      </c>
      <c r="P12" s="69">
        <v>13760.763026657283</v>
      </c>
      <c r="Q12" s="69">
        <v>11897.889206975498</v>
      </c>
      <c r="R12" s="69">
        <v>7950.0396063750359</v>
      </c>
      <c r="S12" s="69">
        <v>17439.358411431447</v>
      </c>
      <c r="T12" s="69">
        <v>8034.6257872055703</v>
      </c>
      <c r="U12" s="69">
        <v>12692.760675837613</v>
      </c>
      <c r="V12" s="69">
        <v>15581.698901465337</v>
      </c>
      <c r="W12" s="69">
        <v>15994.891127367338</v>
      </c>
      <c r="X12" s="69">
        <v>16257.204598361899</v>
      </c>
      <c r="Y12" s="69">
        <v>8400.5601868226695</v>
      </c>
      <c r="Z12" s="69">
        <v>9966.4920539126088</v>
      </c>
      <c r="AA12" s="69">
        <v>12002.496205276473</v>
      </c>
      <c r="AB12" s="69">
        <v>13429.840208687212</v>
      </c>
      <c r="AC12" s="69">
        <v>15284.570671803516</v>
      </c>
    </row>
    <row r="13" spans="1:29" s="31" customFormat="1" ht="18" customHeight="1" x14ac:dyDescent="0.2">
      <c r="A13" s="212"/>
      <c r="B13" s="73"/>
      <c r="C13" s="355" t="s">
        <v>41</v>
      </c>
      <c r="D13" s="356"/>
      <c r="E13" s="356"/>
      <c r="F13" s="356"/>
      <c r="G13" s="356"/>
      <c r="H13" s="356"/>
      <c r="I13" s="356"/>
      <c r="J13" s="356"/>
      <c r="K13" s="69">
        <v>2530.13346515077</v>
      </c>
      <c r="L13" s="69">
        <v>1626.3853367433928</v>
      </c>
      <c r="M13" s="69">
        <v>1105.7280778693387</v>
      </c>
      <c r="N13" s="69">
        <v>2262.5999047170044</v>
      </c>
      <c r="O13" s="69">
        <v>2123.3192585475313</v>
      </c>
      <c r="P13" s="69">
        <v>2611.8100071169879</v>
      </c>
      <c r="Q13" s="69">
        <v>2443.079859817075</v>
      </c>
      <c r="R13" s="69">
        <v>1209.1773092476731</v>
      </c>
      <c r="S13" s="69">
        <v>1719.1354303109133</v>
      </c>
      <c r="T13" s="69">
        <v>2162.7082349384505</v>
      </c>
      <c r="U13" s="69">
        <v>1569.4772527537377</v>
      </c>
      <c r="V13" s="69">
        <v>1689.7337987659087</v>
      </c>
      <c r="W13" s="69">
        <v>2320.4712289141444</v>
      </c>
      <c r="X13" s="69">
        <v>2872.0797658741467</v>
      </c>
      <c r="Y13" s="69">
        <v>2861.5380340279858</v>
      </c>
      <c r="Z13" s="69">
        <v>2306.5055717303544</v>
      </c>
      <c r="AA13" s="69">
        <v>2858.783881460065</v>
      </c>
      <c r="AB13" s="69">
        <v>3216.4490414947832</v>
      </c>
      <c r="AC13" s="69">
        <v>3007.7169516012523</v>
      </c>
    </row>
    <row r="14" spans="1:29" s="31" customFormat="1" ht="18" customHeight="1" x14ac:dyDescent="0.2">
      <c r="A14" s="212"/>
      <c r="B14" s="73"/>
      <c r="C14" s="363" t="s">
        <v>42</v>
      </c>
      <c r="D14" s="364"/>
      <c r="E14" s="364"/>
      <c r="F14" s="364"/>
      <c r="G14" s="364"/>
      <c r="H14" s="364"/>
      <c r="I14" s="364"/>
      <c r="J14" s="364"/>
      <c r="K14" s="70">
        <v>11397.770637666799</v>
      </c>
      <c r="L14" s="70">
        <v>9488.4910485933488</v>
      </c>
      <c r="M14" s="70">
        <v>11337.277516418193</v>
      </c>
      <c r="N14" s="70">
        <v>12482.420435829663</v>
      </c>
      <c r="O14" s="70">
        <v>7862.6784751861223</v>
      </c>
      <c r="P14" s="70">
        <v>17766.763901987433</v>
      </c>
      <c r="Q14" s="70">
        <v>17284.039980928326</v>
      </c>
      <c r="R14" s="70">
        <v>6718.7582828475697</v>
      </c>
      <c r="S14" s="70">
        <v>9415.8624652423496</v>
      </c>
      <c r="T14" s="70">
        <v>9639.0898055910693</v>
      </c>
      <c r="U14" s="70">
        <v>8023.1452671482339</v>
      </c>
      <c r="V14" s="70">
        <v>7344.8810696358032</v>
      </c>
      <c r="W14" s="70">
        <v>10042.012490319928</v>
      </c>
      <c r="X14" s="70">
        <v>14029.674411683101</v>
      </c>
      <c r="Y14" s="70">
        <v>16623.652089903702</v>
      </c>
      <c r="Z14" s="70">
        <v>14040.662282777455</v>
      </c>
      <c r="AA14" s="70">
        <v>24852.935429466306</v>
      </c>
      <c r="AB14" s="70">
        <v>19327.896627032285</v>
      </c>
      <c r="AC14" s="70">
        <v>34739.438598603403</v>
      </c>
    </row>
    <row r="15" spans="1:29" s="31" customFormat="1" ht="18" customHeight="1" x14ac:dyDescent="0.2">
      <c r="A15" s="366" t="s">
        <v>392</v>
      </c>
      <c r="B15" s="367"/>
      <c r="C15" s="367"/>
      <c r="D15" s="367"/>
      <c r="E15" s="367"/>
      <c r="F15" s="367"/>
      <c r="G15" s="367"/>
      <c r="H15" s="367"/>
      <c r="I15" s="367"/>
      <c r="J15" s="367"/>
      <c r="K15" s="211"/>
      <c r="L15" s="211"/>
      <c r="M15" s="211"/>
      <c r="N15" s="211"/>
      <c r="O15" s="211"/>
      <c r="P15" s="211"/>
      <c r="Q15" s="211">
        <v>41229.608900527805</v>
      </c>
      <c r="R15" s="211">
        <v>38747.007472646888</v>
      </c>
      <c r="S15" s="211">
        <v>39018.641079312518</v>
      </c>
      <c r="T15" s="211">
        <v>37430.523186268183</v>
      </c>
      <c r="U15" s="211">
        <v>40249.089844946604</v>
      </c>
      <c r="V15" s="211">
        <v>48230.886396763024</v>
      </c>
      <c r="W15" s="211">
        <v>45634.307762283053</v>
      </c>
      <c r="X15" s="211">
        <v>46508.449807793448</v>
      </c>
      <c r="Y15" s="211">
        <v>41525.985562811198</v>
      </c>
      <c r="Z15" s="211">
        <v>43774.295161850408</v>
      </c>
      <c r="AA15" s="211">
        <v>54260.502469581981</v>
      </c>
      <c r="AB15" s="211">
        <v>48882.974035428299</v>
      </c>
      <c r="AC15" s="211">
        <v>43189.259932578861</v>
      </c>
    </row>
    <row r="16" spans="1:29" s="31" customFormat="1" ht="18" customHeight="1" x14ac:dyDescent="0.2">
      <c r="A16" s="73"/>
      <c r="B16" s="366" t="s">
        <v>43</v>
      </c>
      <c r="C16" s="367"/>
      <c r="D16" s="367"/>
      <c r="E16" s="367"/>
      <c r="F16" s="367"/>
      <c r="G16" s="367"/>
      <c r="H16" s="367"/>
      <c r="I16" s="367"/>
      <c r="J16" s="367"/>
      <c r="K16" s="211">
        <v>44123.735788432998</v>
      </c>
      <c r="L16" s="211">
        <v>55205.882352941175</v>
      </c>
      <c r="M16" s="211">
        <v>44893.405308604495</v>
      </c>
      <c r="N16" s="211">
        <v>40875.871967961975</v>
      </c>
      <c r="O16" s="211">
        <v>42551.003451957884</v>
      </c>
      <c r="P16" s="211">
        <v>46098.241806967548</v>
      </c>
      <c r="Q16" s="211">
        <v>45040.928053370058</v>
      </c>
      <c r="R16" s="211">
        <v>39715.720340369626</v>
      </c>
      <c r="S16" s="211">
        <v>37110.906917142296</v>
      </c>
      <c r="T16" s="211">
        <v>36122.371354449679</v>
      </c>
      <c r="U16" s="211">
        <v>37423.70939310579</v>
      </c>
      <c r="V16" s="211">
        <v>44264.115010830719</v>
      </c>
      <c r="W16" s="211">
        <v>41072.868787681538</v>
      </c>
      <c r="X16" s="211">
        <v>42893.151058878364</v>
      </c>
      <c r="Y16" s="211">
        <v>36538.716265404881</v>
      </c>
      <c r="Z16" s="211">
        <v>40485.52487598444</v>
      </c>
      <c r="AA16" s="211">
        <v>49974.697988194195</v>
      </c>
      <c r="AB16" s="211">
        <v>48332.433025964572</v>
      </c>
      <c r="AC16" s="211">
        <v>41784.147122562004</v>
      </c>
    </row>
    <row r="17" spans="1:29" s="31" customFormat="1" ht="18" customHeight="1" x14ac:dyDescent="0.2">
      <c r="A17" s="212"/>
      <c r="B17" s="73"/>
      <c r="C17" s="346" t="s">
        <v>44</v>
      </c>
      <c r="D17" s="347"/>
      <c r="E17" s="347"/>
      <c r="F17" s="347"/>
      <c r="G17" s="347"/>
      <c r="H17" s="347"/>
      <c r="I17" s="347"/>
      <c r="J17" s="347"/>
      <c r="K17" s="68">
        <v>20348.442906574401</v>
      </c>
      <c r="L17" s="68">
        <v>25542.092924126173</v>
      </c>
      <c r="M17" s="68">
        <v>24115.918363228015</v>
      </c>
      <c r="N17" s="68">
        <v>20141.614672219832</v>
      </c>
      <c r="O17" s="68">
        <v>21654.67621534596</v>
      </c>
      <c r="P17" s="68">
        <v>22550.519775081346</v>
      </c>
      <c r="Q17" s="68">
        <v>21952.635462671446</v>
      </c>
      <c r="R17" s="68">
        <v>19917.685087348404</v>
      </c>
      <c r="S17" s="68">
        <v>17458.547571797473</v>
      </c>
      <c r="T17" s="68">
        <v>17433.212462309377</v>
      </c>
      <c r="U17" s="68">
        <v>16308.414183923578</v>
      </c>
      <c r="V17" s="68">
        <v>20889.062377347967</v>
      </c>
      <c r="W17" s="68">
        <v>18532.24327035774</v>
      </c>
      <c r="X17" s="68">
        <v>19035.621463466421</v>
      </c>
      <c r="Y17" s="68">
        <v>15404.243614430863</v>
      </c>
      <c r="Z17" s="68">
        <v>19834.521297895073</v>
      </c>
      <c r="AA17" s="68">
        <v>21563.948199012168</v>
      </c>
      <c r="AB17" s="68">
        <v>21987.932055326375</v>
      </c>
      <c r="AC17" s="68">
        <v>19143.298097760657</v>
      </c>
    </row>
    <row r="18" spans="1:29" s="31" customFormat="1" ht="18" customHeight="1" x14ac:dyDescent="0.2">
      <c r="A18" s="212"/>
      <c r="B18" s="73"/>
      <c r="C18" s="355" t="s">
        <v>45</v>
      </c>
      <c r="D18" s="356"/>
      <c r="E18" s="356"/>
      <c r="F18" s="356"/>
      <c r="G18" s="356"/>
      <c r="H18" s="356"/>
      <c r="I18" s="356"/>
      <c r="J18" s="356"/>
      <c r="K18" s="69">
        <v>2303.18215521503</v>
      </c>
      <c r="L18" s="69">
        <v>2621.2702472293263</v>
      </c>
      <c r="M18" s="69">
        <v>2213.275547370396</v>
      </c>
      <c r="N18" s="69">
        <v>1413.9319120553323</v>
      </c>
      <c r="O18" s="69">
        <v>1956.5043546577351</v>
      </c>
      <c r="P18" s="69">
        <v>2152.616014862062</v>
      </c>
      <c r="Q18" s="69">
        <v>2174.6415127698006</v>
      </c>
      <c r="R18" s="69">
        <v>1948.1812916018719</v>
      </c>
      <c r="S18" s="69">
        <v>1584.7724026961178</v>
      </c>
      <c r="T18" s="69">
        <v>1848.7517766989838</v>
      </c>
      <c r="U18" s="69">
        <v>2016.5912321057676</v>
      </c>
      <c r="V18" s="69">
        <v>2510.0525210156065</v>
      </c>
      <c r="W18" s="69">
        <v>2150.7275885656841</v>
      </c>
      <c r="X18" s="69">
        <v>2308.491387089683</v>
      </c>
      <c r="Y18" s="69">
        <v>1773.6398922161175</v>
      </c>
      <c r="Z18" s="69">
        <v>2183.6332644777649</v>
      </c>
      <c r="AA18" s="69">
        <v>2463.8591735935429</v>
      </c>
      <c r="AB18" s="69">
        <v>2662.3568308662948</v>
      </c>
      <c r="AC18" s="69">
        <v>1807.8509511196726</v>
      </c>
    </row>
    <row r="19" spans="1:29" s="31" customFormat="1" ht="18" customHeight="1" x14ac:dyDescent="0.2">
      <c r="A19" s="212"/>
      <c r="B19" s="73"/>
      <c r="C19" s="355" t="s">
        <v>46</v>
      </c>
      <c r="D19" s="356"/>
      <c r="E19" s="356"/>
      <c r="F19" s="356"/>
      <c r="G19" s="356"/>
      <c r="H19" s="356"/>
      <c r="I19" s="356"/>
      <c r="J19" s="356"/>
      <c r="K19" s="69">
        <v>892.93252595155707</v>
      </c>
      <c r="L19" s="69">
        <v>835.35805626598471</v>
      </c>
      <c r="M19" s="69">
        <v>685.48635554761154</v>
      </c>
      <c r="N19" s="69">
        <v>872.26188090011306</v>
      </c>
      <c r="O19" s="69">
        <v>378.04635353492608</v>
      </c>
      <c r="P19" s="69">
        <v>653.07372497651113</v>
      </c>
      <c r="Q19" s="69">
        <v>506.23484418967956</v>
      </c>
      <c r="R19" s="69">
        <v>585.0941866826787</v>
      </c>
      <c r="S19" s="69">
        <v>629.32939511787129</v>
      </c>
      <c r="T19" s="69">
        <v>803.98563651958227</v>
      </c>
      <c r="U19" s="69">
        <v>895.24601768232969</v>
      </c>
      <c r="V19" s="69">
        <v>726.0893685645442</v>
      </c>
      <c r="W19" s="69">
        <v>633.78522829131873</v>
      </c>
      <c r="X19" s="69">
        <v>659.32430266428298</v>
      </c>
      <c r="Y19" s="69">
        <v>775.26519513365179</v>
      </c>
      <c r="Z19" s="69"/>
      <c r="AA19" s="69"/>
      <c r="AB19" s="69"/>
      <c r="AC19" s="69"/>
    </row>
    <row r="20" spans="1:29" s="31" customFormat="1" ht="18" customHeight="1" x14ac:dyDescent="0.2">
      <c r="A20" s="212"/>
      <c r="B20" s="73"/>
      <c r="C20" s="355" t="s">
        <v>47</v>
      </c>
      <c r="D20" s="356"/>
      <c r="E20" s="356"/>
      <c r="F20" s="356"/>
      <c r="G20" s="356"/>
      <c r="H20" s="356"/>
      <c r="I20" s="356"/>
      <c r="J20" s="356"/>
      <c r="K20" s="69">
        <v>3713.0808205635203</v>
      </c>
      <c r="L20" s="69">
        <v>7182.5447570332481</v>
      </c>
      <c r="M20" s="69">
        <v>4345.9724490038643</v>
      </c>
      <c r="N20" s="69">
        <v>2642.4816858898453</v>
      </c>
      <c r="O20" s="69">
        <v>2900.3046712720034</v>
      </c>
      <c r="P20" s="69">
        <v>2964.6735604293881</v>
      </c>
      <c r="Q20" s="69">
        <v>3322.9951785857288</v>
      </c>
      <c r="R20" s="69">
        <v>2956.3314868658563</v>
      </c>
      <c r="S20" s="69">
        <v>1872.0648927582045</v>
      </c>
      <c r="T20" s="69">
        <v>2487.3933949004077</v>
      </c>
      <c r="U20" s="69">
        <v>3785.5603106959752</v>
      </c>
      <c r="V20" s="69">
        <v>3835.8241152700321</v>
      </c>
      <c r="W20" s="69">
        <v>3507.1469295444131</v>
      </c>
      <c r="X20" s="69">
        <v>3883.7966317988871</v>
      </c>
      <c r="Y20" s="69">
        <v>2238.6826217945049</v>
      </c>
      <c r="Z20" s="69">
        <v>3160.4862231018787</v>
      </c>
      <c r="AA20" s="69">
        <v>4900.0564992169611</v>
      </c>
      <c r="AB20" s="69">
        <v>3667.7015287551567</v>
      </c>
      <c r="AC20" s="69">
        <v>3132.9835058993503</v>
      </c>
    </row>
    <row r="21" spans="1:29" s="31" customFormat="1" ht="18" customHeight="1" x14ac:dyDescent="0.2">
      <c r="A21" s="212"/>
      <c r="B21" s="73"/>
      <c r="C21" s="355" t="s">
        <v>48</v>
      </c>
      <c r="D21" s="356"/>
      <c r="E21" s="356"/>
      <c r="F21" s="356"/>
      <c r="G21" s="356"/>
      <c r="H21" s="356"/>
      <c r="I21" s="356"/>
      <c r="J21" s="356"/>
      <c r="K21" s="69">
        <v>864.66757291151794</v>
      </c>
      <c r="L21" s="69">
        <v>241.04859335038364</v>
      </c>
      <c r="M21" s="69">
        <v>467.39778809789863</v>
      </c>
      <c r="N21" s="69">
        <v>262.73816450967286</v>
      </c>
      <c r="O21" s="69">
        <v>610.43933701690628</v>
      </c>
      <c r="P21" s="69">
        <v>372.50068436682534</v>
      </c>
      <c r="Q21" s="69">
        <v>70.239310636833608</v>
      </c>
      <c r="R21" s="69">
        <v>817.01824925726453</v>
      </c>
      <c r="S21" s="69">
        <v>233.11803036501283</v>
      </c>
      <c r="T21" s="69">
        <v>307.56183323646616</v>
      </c>
      <c r="U21" s="69">
        <v>403.65012599045019</v>
      </c>
      <c r="V21" s="69">
        <v>402.04228240244913</v>
      </c>
      <c r="W21" s="69">
        <v>178.77070578413139</v>
      </c>
      <c r="X21" s="69">
        <v>637.59421666491994</v>
      </c>
      <c r="Y21" s="69">
        <v>511.03106000535593</v>
      </c>
      <c r="Z21" s="69"/>
      <c r="AA21" s="69"/>
      <c r="AB21" s="69"/>
      <c r="AC21" s="69"/>
    </row>
    <row r="22" spans="1:29" s="31" customFormat="1" ht="18" customHeight="1" x14ac:dyDescent="0.2">
      <c r="A22" s="212"/>
      <c r="B22" s="73"/>
      <c r="C22" s="355" t="s">
        <v>49</v>
      </c>
      <c r="D22" s="356"/>
      <c r="E22" s="356"/>
      <c r="F22" s="356"/>
      <c r="G22" s="356"/>
      <c r="H22" s="356"/>
      <c r="I22" s="356"/>
      <c r="J22" s="356"/>
      <c r="K22" s="69">
        <v>389.75654967869502</v>
      </c>
      <c r="L22" s="69">
        <v>812.97953964194369</v>
      </c>
      <c r="M22" s="69">
        <v>856.08136773435524</v>
      </c>
      <c r="N22" s="69">
        <v>184.68198109237483</v>
      </c>
      <c r="O22" s="69">
        <v>200.90105354261718</v>
      </c>
      <c r="P22" s="69">
        <v>579.04159775045594</v>
      </c>
      <c r="Q22" s="69">
        <v>530.61512015752612</v>
      </c>
      <c r="R22" s="69">
        <v>480.73065500475406</v>
      </c>
      <c r="S22" s="69">
        <v>368.1776450021917</v>
      </c>
      <c r="T22" s="69">
        <v>413.38853797755382</v>
      </c>
      <c r="U22" s="69">
        <v>692.35467191359419</v>
      </c>
      <c r="V22" s="69">
        <v>297.34353452815668</v>
      </c>
      <c r="W22" s="69">
        <v>288.91585439274462</v>
      </c>
      <c r="X22" s="69">
        <v>677.96438667490997</v>
      </c>
      <c r="Y22" s="69">
        <v>838.47748496159056</v>
      </c>
      <c r="Z22" s="69">
        <v>476.41454580188667</v>
      </c>
      <c r="AA22" s="69">
        <v>668.66245030719199</v>
      </c>
      <c r="AB22" s="69">
        <v>541.16076195098287</v>
      </c>
      <c r="AC22" s="69">
        <v>482.50457500601971</v>
      </c>
    </row>
    <row r="23" spans="1:29" s="31" customFormat="1" ht="18" customHeight="1" x14ac:dyDescent="0.2">
      <c r="A23" s="212"/>
      <c r="B23" s="73"/>
      <c r="C23" s="355" t="s">
        <v>50</v>
      </c>
      <c r="D23" s="356"/>
      <c r="E23" s="356"/>
      <c r="F23" s="356"/>
      <c r="G23" s="356"/>
      <c r="H23" s="356"/>
      <c r="I23" s="356"/>
      <c r="J23" s="356"/>
      <c r="K23" s="69">
        <v>818.31314878892704</v>
      </c>
      <c r="L23" s="69">
        <v>987.53196930946297</v>
      </c>
      <c r="M23" s="69">
        <v>742.79878830004782</v>
      </c>
      <c r="N23" s="69">
        <v>638.30008056592101</v>
      </c>
      <c r="O23" s="69">
        <v>725.35846703539596</v>
      </c>
      <c r="P23" s="69">
        <v>858.90159017809992</v>
      </c>
      <c r="Q23" s="69">
        <v>851.44736801970828</v>
      </c>
      <c r="R23" s="69">
        <v>647.91252339371158</v>
      </c>
      <c r="S23" s="69">
        <v>607.12836664249505</v>
      </c>
      <c r="T23" s="69">
        <v>585.55989034271158</v>
      </c>
      <c r="U23" s="69">
        <v>464.70881474610132</v>
      </c>
      <c r="V23" s="69">
        <v>762.03733815265866</v>
      </c>
      <c r="W23" s="69">
        <v>632.79405207631601</v>
      </c>
      <c r="X23" s="69">
        <v>626.04010384517062</v>
      </c>
      <c r="Y23" s="69">
        <v>468.39620139285228</v>
      </c>
      <c r="Z23" s="69">
        <v>579.12202221426003</v>
      </c>
      <c r="AA23" s="69">
        <v>854.23479098903738</v>
      </c>
      <c r="AB23" s="69">
        <v>571.12873089056063</v>
      </c>
      <c r="AC23" s="69">
        <v>597.1946785456297</v>
      </c>
    </row>
    <row r="24" spans="1:29" s="31" customFormat="1" ht="18" customHeight="1" x14ac:dyDescent="0.2">
      <c r="A24" s="212"/>
      <c r="B24" s="73"/>
      <c r="C24" s="355" t="s">
        <v>41</v>
      </c>
      <c r="D24" s="356"/>
      <c r="E24" s="356"/>
      <c r="F24" s="356"/>
      <c r="G24" s="356"/>
      <c r="H24" s="356"/>
      <c r="I24" s="356"/>
      <c r="J24" s="356"/>
      <c r="K24" s="69">
        <v>1735.81314878893</v>
      </c>
      <c r="L24" s="69">
        <v>1908.2480818414322</v>
      </c>
      <c r="M24" s="69">
        <v>1589.3742546373535</v>
      </c>
      <c r="N24" s="69">
        <v>1151.7079938216984</v>
      </c>
      <c r="O24" s="69">
        <v>1088.6427884400807</v>
      </c>
      <c r="P24" s="69">
        <v>1640.773860782467</v>
      </c>
      <c r="Q24" s="69">
        <v>1927.6115058090445</v>
      </c>
      <c r="R24" s="69">
        <v>1623.4493318501134</v>
      </c>
      <c r="S24" s="69">
        <v>1527.8718939525027</v>
      </c>
      <c r="T24" s="69">
        <v>1268.7668127693444</v>
      </c>
      <c r="U24" s="69">
        <v>1356.0962507130218</v>
      </c>
      <c r="V24" s="69">
        <v>1421.0161061045076</v>
      </c>
      <c r="W24" s="69">
        <v>1461.957797850798</v>
      </c>
      <c r="X24" s="69">
        <v>1289.1726170642116</v>
      </c>
      <c r="Y24" s="69">
        <v>1541.6482093003117</v>
      </c>
      <c r="Z24" s="69">
        <v>1547.4278430686325</v>
      </c>
      <c r="AA24" s="69">
        <v>1649.5727020840861</v>
      </c>
      <c r="AB24" s="69">
        <v>1490.1744722154817</v>
      </c>
      <c r="AC24" s="69">
        <v>1397.7152660727186</v>
      </c>
    </row>
    <row r="25" spans="1:29" s="31" customFormat="1" ht="18" customHeight="1" x14ac:dyDescent="0.2">
      <c r="A25" s="212"/>
      <c r="B25" s="73"/>
      <c r="C25" s="355" t="s">
        <v>51</v>
      </c>
      <c r="D25" s="356"/>
      <c r="E25" s="356"/>
      <c r="F25" s="356"/>
      <c r="G25" s="356"/>
      <c r="H25" s="356"/>
      <c r="I25" s="356"/>
      <c r="J25" s="356"/>
      <c r="K25" s="69"/>
      <c r="L25" s="69">
        <v>41.240409207161129</v>
      </c>
      <c r="M25" s="69">
        <v>42.516703465095176</v>
      </c>
      <c r="N25" s="69">
        <v>41.981065278780243</v>
      </c>
      <c r="O25" s="69">
        <v>65.687089194739713</v>
      </c>
      <c r="P25" s="69">
        <v>38.388294232279435</v>
      </c>
      <c r="Q25" s="69">
        <v>50.272870388357617</v>
      </c>
      <c r="R25" s="69">
        <v>43.682085443945383</v>
      </c>
      <c r="S25" s="69">
        <v>92.384917678466394</v>
      </c>
      <c r="T25" s="69">
        <v>32.424728073351957</v>
      </c>
      <c r="U25" s="69">
        <v>42.225561865961367</v>
      </c>
      <c r="V25" s="69">
        <v>20.317724686449722</v>
      </c>
      <c r="W25" s="69">
        <v>168.37141648229905</v>
      </c>
      <c r="X25" s="69">
        <v>59.033317887858807</v>
      </c>
      <c r="Y25" s="69">
        <v>22.106643289780276</v>
      </c>
      <c r="Z25" s="69">
        <v>11.695070631725496</v>
      </c>
      <c r="AA25" s="69">
        <v>28.78845922178051</v>
      </c>
      <c r="AB25" s="69">
        <v>20.970274205289975</v>
      </c>
      <c r="AC25" s="69">
        <v>37.630267276667468</v>
      </c>
    </row>
    <row r="26" spans="1:29" s="31" customFormat="1" ht="18" customHeight="1" x14ac:dyDescent="0.2">
      <c r="A26" s="212"/>
      <c r="B26" s="73"/>
      <c r="C26" s="355" t="s">
        <v>52</v>
      </c>
      <c r="D26" s="356"/>
      <c r="E26" s="356"/>
      <c r="F26" s="356"/>
      <c r="G26" s="356"/>
      <c r="H26" s="356"/>
      <c r="I26" s="356"/>
      <c r="J26" s="356"/>
      <c r="K26" s="69">
        <v>1687.23677706377</v>
      </c>
      <c r="L26" s="69">
        <v>2102.6214833759591</v>
      </c>
      <c r="M26" s="69">
        <v>1548.754252500835</v>
      </c>
      <c r="N26" s="69">
        <v>2042.1773888152486</v>
      </c>
      <c r="O26" s="69">
        <v>1689.0904734243952</v>
      </c>
      <c r="P26" s="69">
        <v>1572.7948743272304</v>
      </c>
      <c r="Q26" s="69">
        <v>1692.6666686616729</v>
      </c>
      <c r="R26" s="69">
        <v>1468.6322492182367</v>
      </c>
      <c r="S26" s="69">
        <v>1274.1964212269834</v>
      </c>
      <c r="T26" s="69">
        <v>1149.6968930529868</v>
      </c>
      <c r="U26" s="69">
        <v>1331.5371481952841</v>
      </c>
      <c r="V26" s="69">
        <v>1417.7833098221888</v>
      </c>
      <c r="W26" s="69">
        <v>1923.573345350492</v>
      </c>
      <c r="X26" s="69">
        <v>1697.3410674642507</v>
      </c>
      <c r="Y26" s="69">
        <v>1343.4789572686202</v>
      </c>
      <c r="Z26" s="69">
        <v>1261.1072235521654</v>
      </c>
      <c r="AA26" s="69">
        <v>1922.880978195398</v>
      </c>
      <c r="AB26" s="69">
        <v>1644.8144867750545</v>
      </c>
      <c r="AC26" s="69">
        <v>1436.5340717553577</v>
      </c>
    </row>
    <row r="27" spans="1:29" s="31" customFormat="1" ht="18" customHeight="1" x14ac:dyDescent="0.2">
      <c r="A27" s="214"/>
      <c r="B27" s="74"/>
      <c r="C27" s="348" t="s">
        <v>53</v>
      </c>
      <c r="D27" s="349"/>
      <c r="E27" s="349"/>
      <c r="F27" s="349"/>
      <c r="G27" s="349"/>
      <c r="H27" s="349"/>
      <c r="I27" s="349"/>
      <c r="J27" s="349"/>
      <c r="K27" s="210">
        <v>11370.310182896701</v>
      </c>
      <c r="L27" s="210">
        <v>12931.159420289856</v>
      </c>
      <c r="M27" s="210">
        <v>8285.8294387190235</v>
      </c>
      <c r="N27" s="210">
        <v>11483.995142813163</v>
      </c>
      <c r="O27" s="210">
        <v>11281.352648493214</v>
      </c>
      <c r="P27" s="210">
        <v>12714.957829980891</v>
      </c>
      <c r="Q27" s="210">
        <v>11961.568211480311</v>
      </c>
      <c r="R27" s="210">
        <v>9227.003193702787</v>
      </c>
      <c r="S27" s="210">
        <v>11463.315379904952</v>
      </c>
      <c r="T27" s="210">
        <v>9791.6293885689211</v>
      </c>
      <c r="U27" s="210">
        <v>10127.325075273726</v>
      </c>
      <c r="V27" s="210">
        <v>11982.546332936181</v>
      </c>
      <c r="W27" s="210">
        <v>11594.582598985613</v>
      </c>
      <c r="X27" s="210">
        <v>12018.771564257773</v>
      </c>
      <c r="Y27" s="210">
        <v>11621.746385611217</v>
      </c>
      <c r="Z27" s="210">
        <v>11431.117385241057</v>
      </c>
      <c r="AA27" s="210">
        <v>15922.694735574027</v>
      </c>
      <c r="AB27" s="210">
        <v>15746.193884979377</v>
      </c>
      <c r="AC27" s="210">
        <v>13748.435709125926</v>
      </c>
    </row>
    <row r="28" spans="1:29" s="31" customFormat="1" ht="18" customHeight="1" x14ac:dyDescent="0.2">
      <c r="A28" s="359" t="s">
        <v>69</v>
      </c>
      <c r="B28" s="360"/>
      <c r="C28" s="360"/>
      <c r="D28" s="360"/>
      <c r="E28" s="360"/>
      <c r="F28" s="360"/>
      <c r="G28" s="360"/>
      <c r="H28" s="360"/>
      <c r="I28" s="360"/>
      <c r="J28" s="360"/>
      <c r="K28" s="71"/>
      <c r="L28" s="71"/>
      <c r="M28" s="71"/>
      <c r="N28" s="71"/>
      <c r="O28" s="71"/>
      <c r="P28" s="71"/>
      <c r="Q28" s="71">
        <v>-3811.3191528423281</v>
      </c>
      <c r="R28" s="71">
        <v>-968.71286772274459</v>
      </c>
      <c r="S28" s="71">
        <v>1907.7341621702251</v>
      </c>
      <c r="T28" s="71">
        <v>1308.1518318185015</v>
      </c>
      <c r="U28" s="71">
        <v>2825.3804518408192</v>
      </c>
      <c r="V28" s="71">
        <v>3966.7713859323007</v>
      </c>
      <c r="W28" s="71">
        <v>4561.438974601514</v>
      </c>
      <c r="X28" s="71">
        <v>3615.2987489150823</v>
      </c>
      <c r="Y28" s="71">
        <v>4987.2692974063229</v>
      </c>
      <c r="Z28" s="71">
        <v>3288.7702858659486</v>
      </c>
      <c r="AA28" s="71">
        <v>4285.8043609203705</v>
      </c>
      <c r="AB28" s="71">
        <v>550.54100946372239</v>
      </c>
      <c r="AC28" s="71">
        <v>1405.1128100168553</v>
      </c>
    </row>
    <row r="29" spans="1:29" s="31" customFormat="1" ht="18" customHeight="1" x14ac:dyDescent="0.2">
      <c r="A29" s="357" t="s">
        <v>54</v>
      </c>
      <c r="B29" s="358"/>
      <c r="C29" s="358"/>
      <c r="D29" s="358"/>
      <c r="E29" s="358"/>
      <c r="F29" s="358"/>
      <c r="G29" s="358"/>
      <c r="H29" s="358"/>
      <c r="I29" s="358"/>
      <c r="J29" s="358"/>
      <c r="K29" s="188">
        <v>-157.28497281265399</v>
      </c>
      <c r="L29" s="188">
        <v>-1258.0988917306054</v>
      </c>
      <c r="M29" s="188">
        <v>16.576002868174537</v>
      </c>
      <c r="N29" s="188">
        <v>1570.6667655740289</v>
      </c>
      <c r="O29" s="188">
        <v>1218.2117109640458</v>
      </c>
      <c r="P29" s="188">
        <v>382.1057080510887</v>
      </c>
      <c r="Q29" s="188">
        <v>657.07671454727165</v>
      </c>
      <c r="R29" s="188">
        <v>901.16583388431923</v>
      </c>
      <c r="S29" s="188">
        <v>633.44906030364552</v>
      </c>
      <c r="T29" s="188">
        <v>677.74553405660095</v>
      </c>
      <c r="U29" s="188">
        <v>91.155576533092756</v>
      </c>
      <c r="V29" s="188">
        <v>2532.8086271084358</v>
      </c>
      <c r="W29" s="188">
        <v>2049.4186972456137</v>
      </c>
      <c r="X29" s="188">
        <v>994.47624807098396</v>
      </c>
      <c r="Y29" s="188">
        <v>972.32517937152863</v>
      </c>
      <c r="Z29" s="188">
        <v>1210.5853719893719</v>
      </c>
      <c r="AA29" s="188">
        <v>2121.5764365739064</v>
      </c>
      <c r="AB29" s="188">
        <v>3455.1846639165256</v>
      </c>
      <c r="AC29" s="188">
        <v>3074.6738502287508</v>
      </c>
    </row>
    <row r="30" spans="1:29" s="31" customFormat="1" ht="18" customHeight="1" x14ac:dyDescent="0.2">
      <c r="A30" s="212"/>
      <c r="B30" s="359" t="s">
        <v>55</v>
      </c>
      <c r="C30" s="360"/>
      <c r="D30" s="360"/>
      <c r="E30" s="360"/>
      <c r="F30" s="360"/>
      <c r="G30" s="360"/>
      <c r="H30" s="360"/>
      <c r="I30" s="360"/>
      <c r="J30" s="360"/>
      <c r="K30" s="71">
        <v>3159.5477014335102</v>
      </c>
      <c r="L30" s="71">
        <v>2089.1943734015344</v>
      </c>
      <c r="M30" s="71">
        <v>1967.9066704072086</v>
      </c>
      <c r="N30" s="71">
        <v>3838.3722941718775</v>
      </c>
      <c r="O30" s="71">
        <v>3451.6978190571926</v>
      </c>
      <c r="P30" s="71">
        <v>3314.40583262463</v>
      </c>
      <c r="Q30" s="71">
        <v>4759.2153977810867</v>
      </c>
      <c r="R30" s="71">
        <v>3643.8733749304997</v>
      </c>
      <c r="S30" s="71">
        <v>3070.2945635687597</v>
      </c>
      <c r="T30" s="71">
        <v>1964.3724092319253</v>
      </c>
      <c r="U30" s="71">
        <v>1413.8748643699721</v>
      </c>
      <c r="V30" s="71">
        <v>3897.8092973391049</v>
      </c>
      <c r="W30" s="71">
        <v>3247.6244454802054</v>
      </c>
      <c r="X30" s="71">
        <v>2566.0603258207952</v>
      </c>
      <c r="Y30" s="71">
        <v>2508.7000637313677</v>
      </c>
      <c r="Z30" s="71">
        <v>2468.6393413413321</v>
      </c>
      <c r="AA30" s="71">
        <v>3570.1935911335981</v>
      </c>
      <c r="AB30" s="71">
        <v>4885.2335598155796</v>
      </c>
      <c r="AC30" s="71">
        <v>4302.0361184685762</v>
      </c>
    </row>
    <row r="31" spans="1:29" s="31" customFormat="1" ht="18" customHeight="1" x14ac:dyDescent="0.2">
      <c r="A31" s="212"/>
      <c r="B31" s="357" t="s">
        <v>56</v>
      </c>
      <c r="C31" s="358"/>
      <c r="D31" s="358"/>
      <c r="E31" s="358"/>
      <c r="F31" s="358"/>
      <c r="G31" s="358"/>
      <c r="H31" s="358"/>
      <c r="I31" s="358"/>
      <c r="J31" s="358"/>
      <c r="K31" s="188">
        <v>3316.83267424617</v>
      </c>
      <c r="L31" s="188">
        <v>3347.2932651321398</v>
      </c>
      <c r="M31" s="188">
        <v>1951.3306675390347</v>
      </c>
      <c r="N31" s="188">
        <v>2267.7055285978608</v>
      </c>
      <c r="O31" s="188">
        <v>2233.4861080931469</v>
      </c>
      <c r="P31" s="188">
        <v>2932.3001245735372</v>
      </c>
      <c r="Q31" s="188">
        <v>4102.1386832338076</v>
      </c>
      <c r="R31" s="188">
        <v>2742.7075410461803</v>
      </c>
      <c r="S31" s="188">
        <v>2436.8455032651159</v>
      </c>
      <c r="T31" s="188">
        <v>1286.6268751753237</v>
      </c>
      <c r="U31" s="188">
        <v>1322.7192878368792</v>
      </c>
      <c r="V31" s="188">
        <v>1365.0006702306673</v>
      </c>
      <c r="W31" s="188">
        <v>1198.2057482345906</v>
      </c>
      <c r="X31" s="188">
        <v>1571.5840777498129</v>
      </c>
      <c r="Y31" s="188">
        <v>1536.3748843598387</v>
      </c>
      <c r="Z31" s="188">
        <v>1258.0539693519609</v>
      </c>
      <c r="AA31" s="188">
        <v>1448.6171545596915</v>
      </c>
      <c r="AB31" s="188">
        <v>1430.0488958990536</v>
      </c>
      <c r="AC31" s="188">
        <v>1227.3621478449313</v>
      </c>
    </row>
    <row r="32" spans="1:29" s="31" customFormat="1" ht="18" customHeight="1" x14ac:dyDescent="0.2">
      <c r="A32" s="212"/>
      <c r="B32" s="73"/>
      <c r="C32" s="346" t="s">
        <v>57</v>
      </c>
      <c r="D32" s="347"/>
      <c r="E32" s="347"/>
      <c r="F32" s="347"/>
      <c r="G32" s="347"/>
      <c r="H32" s="347"/>
      <c r="I32" s="347"/>
      <c r="J32" s="347"/>
      <c r="K32" s="68">
        <v>2159.45378151261</v>
      </c>
      <c r="L32" s="68">
        <v>2817.4552429667519</v>
      </c>
      <c r="M32" s="68">
        <v>1823.7672355210177</v>
      </c>
      <c r="N32" s="68">
        <v>1238.5485640701647</v>
      </c>
      <c r="O32" s="68">
        <v>1645.9923093259963</v>
      </c>
      <c r="P32" s="68">
        <v>1698.2139610041138</v>
      </c>
      <c r="Q32" s="68">
        <v>2072.1250377670835</v>
      </c>
      <c r="R32" s="68">
        <v>2028.9689584089915</v>
      </c>
      <c r="S32" s="68">
        <v>1860.9475138807406</v>
      </c>
      <c r="T32" s="68">
        <v>1044.7640627037695</v>
      </c>
      <c r="U32" s="68">
        <v>1016.628479224124</v>
      </c>
      <c r="V32" s="68">
        <v>1157.809273914052</v>
      </c>
      <c r="W32" s="68">
        <v>859.71884772958583</v>
      </c>
      <c r="X32" s="68">
        <v>976.99514617456634</v>
      </c>
      <c r="Y32" s="68">
        <v>1013.4440854666344</v>
      </c>
      <c r="Z32" s="68">
        <v>961.05938003233371</v>
      </c>
      <c r="AA32" s="68">
        <v>979.43368268883273</v>
      </c>
      <c r="AB32" s="68">
        <v>741.98908032031068</v>
      </c>
      <c r="AC32" s="68">
        <v>950.28377076811944</v>
      </c>
    </row>
    <row r="33" spans="1:29" s="31" customFormat="1" ht="18" customHeight="1" x14ac:dyDescent="0.2">
      <c r="A33" s="212"/>
      <c r="B33" s="73"/>
      <c r="C33" s="363" t="s">
        <v>58</v>
      </c>
      <c r="D33" s="364"/>
      <c r="E33" s="364"/>
      <c r="F33" s="364"/>
      <c r="G33" s="364"/>
      <c r="H33" s="364"/>
      <c r="I33" s="364"/>
      <c r="J33" s="364"/>
      <c r="K33" s="210">
        <v>1157.37889273356</v>
      </c>
      <c r="L33" s="210">
        <v>529.83802216538788</v>
      </c>
      <c r="M33" s="210">
        <v>127.56343201801681</v>
      </c>
      <c r="N33" s="210">
        <v>1029.1569645276923</v>
      </c>
      <c r="O33" s="210">
        <v>587.49379876714465</v>
      </c>
      <c r="P33" s="210">
        <v>1234.0861635694239</v>
      </c>
      <c r="Q33" s="210">
        <v>2030.0136454667247</v>
      </c>
      <c r="R33" s="210">
        <v>713.73858263718887</v>
      </c>
      <c r="S33" s="210">
        <v>575.89798938437423</v>
      </c>
      <c r="T33" s="210">
        <v>241.86281247155461</v>
      </c>
      <c r="U33" s="210">
        <v>306.09080861275532</v>
      </c>
      <c r="V33" s="210">
        <v>207.19139631661508</v>
      </c>
      <c r="W33" s="210">
        <v>338.48690050500454</v>
      </c>
      <c r="X33" s="210">
        <v>594.58893157524767</v>
      </c>
      <c r="Y33" s="210">
        <v>522.93079889320427</v>
      </c>
      <c r="Z33" s="210">
        <v>296.99458931962715</v>
      </c>
      <c r="AA33" s="210">
        <v>469.18347187085874</v>
      </c>
      <c r="AB33" s="210">
        <v>688.05981557874293</v>
      </c>
      <c r="AC33" s="210">
        <v>277.07837707681188</v>
      </c>
    </row>
    <row r="34" spans="1:29" s="31" customFormat="1" ht="18" customHeight="1" x14ac:dyDescent="0.2">
      <c r="A34" s="359" t="s">
        <v>59</v>
      </c>
      <c r="B34" s="360"/>
      <c r="C34" s="360"/>
      <c r="D34" s="360"/>
      <c r="E34" s="360"/>
      <c r="F34" s="360"/>
      <c r="G34" s="360"/>
      <c r="H34" s="360"/>
      <c r="I34" s="360"/>
      <c r="J34" s="365"/>
      <c r="K34" s="218">
        <v>1068.32056351952</v>
      </c>
      <c r="L34" s="218">
        <v>-1777.4936061381075</v>
      </c>
      <c r="M34" s="218">
        <v>1494.2503164568413</v>
      </c>
      <c r="N34" s="218">
        <v>4432.0498402299372</v>
      </c>
      <c r="O34" s="218">
        <v>1860.0379218558428</v>
      </c>
      <c r="P34" s="218">
        <v>894.23853736377112</v>
      </c>
      <c r="Q34" s="218">
        <v>-3154.2424382950499</v>
      </c>
      <c r="R34" s="218">
        <v>-67.547033838425293</v>
      </c>
      <c r="S34" s="218">
        <v>2541.1832224739037</v>
      </c>
      <c r="T34" s="218">
        <v>1985.8973658749958</v>
      </c>
      <c r="U34" s="218">
        <v>2916.5360283739246</v>
      </c>
      <c r="V34" s="218">
        <v>6499.580013040736</v>
      </c>
      <c r="W34" s="218">
        <v>6610.8576718471513</v>
      </c>
      <c r="X34" s="218">
        <v>4609.7749969860743</v>
      </c>
      <c r="Y34" s="218">
        <v>5959.5944767777009</v>
      </c>
      <c r="Z34" s="218">
        <v>4499.3556578553234</v>
      </c>
      <c r="AA34" s="218">
        <v>6407.3807974942774</v>
      </c>
      <c r="AB34" s="218">
        <v>4005.7256733802474</v>
      </c>
      <c r="AC34" s="218">
        <v>4479.7866602456052</v>
      </c>
    </row>
    <row r="35" spans="1:29" s="31" customFormat="1" ht="18" customHeight="1" x14ac:dyDescent="0.2">
      <c r="A35" s="353" t="s">
        <v>60</v>
      </c>
      <c r="B35" s="354"/>
      <c r="C35" s="354"/>
      <c r="D35" s="354"/>
      <c r="E35" s="354"/>
      <c r="F35" s="354"/>
      <c r="G35" s="354"/>
      <c r="H35" s="354"/>
      <c r="I35" s="354"/>
      <c r="J35" s="354"/>
      <c r="K35" s="219"/>
      <c r="L35" s="219"/>
      <c r="M35" s="219"/>
      <c r="N35" s="219"/>
      <c r="O35" s="219">
        <v>1572.5045646264193</v>
      </c>
      <c r="P35" s="219">
        <v>795.2240023439258</v>
      </c>
      <c r="Q35" s="219">
        <v>2367.3687420549491</v>
      </c>
      <c r="R35" s="219">
        <v>1466.8551201360315</v>
      </c>
      <c r="S35" s="219">
        <v>4690.9450668857116</v>
      </c>
      <c r="T35" s="219">
        <v>674.33430786759709</v>
      </c>
      <c r="U35" s="219">
        <v>855.89879235728233</v>
      </c>
      <c r="V35" s="219">
        <v>1430.4345941117128</v>
      </c>
      <c r="W35" s="219">
        <v>562.83350627618768</v>
      </c>
      <c r="X35" s="219">
        <v>1117.2288118994888</v>
      </c>
      <c r="Y35" s="219">
        <v>609.25363631704204</v>
      </c>
      <c r="Z35" s="219"/>
      <c r="AA35" s="219"/>
      <c r="AB35" s="219"/>
      <c r="AC35" s="219"/>
    </row>
    <row r="36" spans="1:29" s="31" customFormat="1" ht="18" customHeight="1" x14ac:dyDescent="0.2">
      <c r="A36" s="370" t="s">
        <v>61</v>
      </c>
      <c r="B36" s="371"/>
      <c r="C36" s="371"/>
      <c r="D36" s="371"/>
      <c r="E36" s="371"/>
      <c r="F36" s="371"/>
      <c r="G36" s="371"/>
      <c r="H36" s="371"/>
      <c r="I36" s="371"/>
      <c r="J36" s="371"/>
      <c r="K36" s="220"/>
      <c r="L36" s="220"/>
      <c r="M36" s="220"/>
      <c r="N36" s="220"/>
      <c r="O36" s="220">
        <v>2429.1941613323711</v>
      </c>
      <c r="P36" s="220">
        <v>1916.7030864995713</v>
      </c>
      <c r="Q36" s="220">
        <v>1492.7923270667904</v>
      </c>
      <c r="R36" s="220">
        <v>2423.337271182595</v>
      </c>
      <c r="S36" s="220">
        <v>3662.3408639395825</v>
      </c>
      <c r="T36" s="220">
        <v>1047.0418979652013</v>
      </c>
      <c r="U36" s="220">
        <v>596.73665771999083</v>
      </c>
      <c r="V36" s="220">
        <v>2071.618319798793</v>
      </c>
      <c r="W36" s="220">
        <v>1533.6750914221693</v>
      </c>
      <c r="X36" s="220">
        <v>1709.5443737422263</v>
      </c>
      <c r="Y36" s="220">
        <v>1163.5034877060093</v>
      </c>
      <c r="Z36" s="220"/>
      <c r="AA36" s="220"/>
      <c r="AB36" s="220"/>
      <c r="AC36" s="220"/>
    </row>
    <row r="37" spans="1:29" s="31" customFormat="1" ht="18" customHeight="1" x14ac:dyDescent="0.2">
      <c r="A37" s="359" t="s">
        <v>62</v>
      </c>
      <c r="B37" s="360"/>
      <c r="C37" s="360"/>
      <c r="D37" s="360"/>
      <c r="E37" s="360"/>
      <c r="F37" s="360"/>
      <c r="G37" s="360"/>
      <c r="H37" s="360"/>
      <c r="I37" s="360"/>
      <c r="J37" s="360"/>
      <c r="K37" s="71">
        <v>1098.97800296589</v>
      </c>
      <c r="L37" s="71">
        <v>-2238.4910485933506</v>
      </c>
      <c r="M37" s="71">
        <v>713.50349779272312</v>
      </c>
      <c r="N37" s="71">
        <v>4044.5496813746172</v>
      </c>
      <c r="O37" s="71">
        <v>1003.3483251499031</v>
      </c>
      <c r="P37" s="71">
        <v>-227.24054679188026</v>
      </c>
      <c r="Q37" s="71">
        <v>-2279.6660233069056</v>
      </c>
      <c r="R37" s="71">
        <v>-1024.029184884989</v>
      </c>
      <c r="S37" s="71">
        <v>3569.7874254200328</v>
      </c>
      <c r="T37" s="71">
        <v>1613.1897757773913</v>
      </c>
      <c r="U37" s="71">
        <v>3175.6981630112186</v>
      </c>
      <c r="V37" s="71">
        <v>5858.3962873536566</v>
      </c>
      <c r="W37" s="71">
        <v>5640.0160867011728</v>
      </c>
      <c r="X37" s="71">
        <v>4017.4594351433352</v>
      </c>
      <c r="Y37" s="71">
        <v>5405.344625388735</v>
      </c>
      <c r="Z37" s="71">
        <v>3988.8510498476403</v>
      </c>
      <c r="AA37" s="71">
        <v>5508.3059872304539</v>
      </c>
      <c r="AB37" s="71">
        <v>133856.78864353313</v>
      </c>
      <c r="AC37" s="71">
        <v>4119.0361184685762</v>
      </c>
    </row>
    <row r="38" spans="1:29" s="31" customFormat="1" ht="18" customHeight="1" x14ac:dyDescent="0.2">
      <c r="A38" s="361" t="s">
        <v>63</v>
      </c>
      <c r="B38" s="362"/>
      <c r="C38" s="362"/>
      <c r="D38" s="362"/>
      <c r="E38" s="362"/>
      <c r="F38" s="362"/>
      <c r="G38" s="362"/>
      <c r="H38" s="362"/>
      <c r="I38" s="362"/>
      <c r="J38" s="362"/>
      <c r="K38" s="218">
        <v>262.13049925852704</v>
      </c>
      <c r="L38" s="218">
        <v>-3023.0179028132989</v>
      </c>
      <c r="M38" s="218">
        <v>-894.82432958880952</v>
      </c>
      <c r="N38" s="218">
        <v>2394.2914137799667</v>
      </c>
      <c r="O38" s="218">
        <v>-71.154623444265027</v>
      </c>
      <c r="P38" s="218">
        <v>-1020.8177197785333</v>
      </c>
      <c r="Q38" s="218">
        <v>-3410.8637068218663</v>
      </c>
      <c r="R38" s="218">
        <v>-1787.6439813067707</v>
      </c>
      <c r="S38" s="218">
        <v>2387.6276188729912</v>
      </c>
      <c r="T38" s="218">
        <v>815.09272825836979</v>
      </c>
      <c r="U38" s="218">
        <v>1660.7831953967716</v>
      </c>
      <c r="V38" s="218">
        <v>4853.7789577215972</v>
      </c>
      <c r="W38" s="218">
        <v>4284.6193742702008</v>
      </c>
      <c r="X38" s="218">
        <v>2672.0849068085427</v>
      </c>
      <c r="Y38" s="218">
        <v>3426.7410584693539</v>
      </c>
      <c r="Z38" s="218">
        <v>2247.6164599016452</v>
      </c>
      <c r="AA38" s="218">
        <v>3683.5410191543187</v>
      </c>
      <c r="AB38" s="218">
        <v>98201.491992234907</v>
      </c>
      <c r="AC38" s="218">
        <v>2690.3723814110281</v>
      </c>
    </row>
    <row r="39" spans="1:29"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row>
    <row r="40" spans="1:29"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row>
    <row r="41" spans="1:29" s="31" customFormat="1" ht="18" customHeight="1" x14ac:dyDescent="0.2">
      <c r="A41" s="208" t="s">
        <v>26</v>
      </c>
      <c r="B41" s="343" t="s">
        <v>68</v>
      </c>
      <c r="C41" s="343"/>
      <c r="D41" s="343"/>
      <c r="E41" s="343"/>
      <c r="F41" s="343"/>
      <c r="G41" s="343"/>
      <c r="H41" s="343"/>
      <c r="I41" s="343"/>
      <c r="J41" s="343"/>
      <c r="K41" s="71">
        <f t="shared" ref="K41:Q41" si="0">+K6-K8</f>
        <v>45349.337617400015</v>
      </c>
      <c r="L41" s="71">
        <f>+L6-L8</f>
        <v>54686.487638533697</v>
      </c>
      <c r="M41" s="71">
        <f t="shared" si="0"/>
        <v>46371.079622192599</v>
      </c>
      <c r="N41" s="71">
        <f t="shared" si="0"/>
        <v>43737.255042618519</v>
      </c>
      <c r="O41" s="71">
        <f t="shared" si="0"/>
        <v>43192.829662849894</v>
      </c>
      <c r="P41" s="71">
        <f t="shared" si="0"/>
        <v>46610.374636280758</v>
      </c>
      <c r="Q41" s="71">
        <f t="shared" si="0"/>
        <v>41229.608900527513</v>
      </c>
      <c r="R41" s="71">
        <f t="shared" ref="R41:AC41" si="1">R15</f>
        <v>38747.007472646888</v>
      </c>
      <c r="S41" s="71">
        <f t="shared" si="1"/>
        <v>39018.641079312518</v>
      </c>
      <c r="T41" s="71">
        <f t="shared" si="1"/>
        <v>37430.523186268183</v>
      </c>
      <c r="U41" s="71">
        <f t="shared" si="1"/>
        <v>40249.089844946604</v>
      </c>
      <c r="V41" s="71">
        <f t="shared" si="1"/>
        <v>48230.886396763024</v>
      </c>
      <c r="W41" s="71">
        <f t="shared" ref="W41:X41" si="2">W15</f>
        <v>45634.307762283053</v>
      </c>
      <c r="X41" s="71">
        <f t="shared" si="2"/>
        <v>46508.449807793448</v>
      </c>
      <c r="Y41" s="71">
        <f t="shared" ref="Y41:Z41" si="3">Y15</f>
        <v>41525.985562811198</v>
      </c>
      <c r="Z41" s="71">
        <f t="shared" si="3"/>
        <v>43774.295161850408</v>
      </c>
      <c r="AA41" s="71">
        <f t="shared" ref="AA41:AB41" si="4">AA15</f>
        <v>54260.502469581981</v>
      </c>
      <c r="AB41" s="71">
        <f t="shared" si="4"/>
        <v>48882.974035428299</v>
      </c>
      <c r="AC41" s="71">
        <f t="shared" si="1"/>
        <v>43189.259932578861</v>
      </c>
    </row>
    <row r="42" spans="1:29" s="31" customFormat="1" ht="18" customHeight="1" x14ac:dyDescent="0.2">
      <c r="A42" s="208" t="s">
        <v>27</v>
      </c>
      <c r="B42" s="343" t="s">
        <v>69</v>
      </c>
      <c r="C42" s="343"/>
      <c r="D42" s="343"/>
      <c r="E42" s="343"/>
      <c r="F42" s="343"/>
      <c r="G42" s="343"/>
      <c r="H42" s="343"/>
      <c r="I42" s="343"/>
      <c r="J42" s="343"/>
      <c r="K42" s="71">
        <f t="shared" ref="K42:P42" si="5">+K6-K7</f>
        <v>1225.6018289670174</v>
      </c>
      <c r="L42" s="71">
        <f t="shared" si="5"/>
        <v>-519.3947144075064</v>
      </c>
      <c r="M42" s="71">
        <f t="shared" si="5"/>
        <v>1477.6743135889119</v>
      </c>
      <c r="N42" s="71">
        <f t="shared" si="5"/>
        <v>2861.3830746563908</v>
      </c>
      <c r="O42" s="71">
        <f t="shared" si="5"/>
        <v>641.82621089174063</v>
      </c>
      <c r="P42" s="71">
        <f t="shared" si="5"/>
        <v>512.13282931258436</v>
      </c>
      <c r="Q42" s="71">
        <f t="shared" ref="Q42:AC42" si="6">Q28</f>
        <v>-3811.3191528423281</v>
      </c>
      <c r="R42" s="71">
        <f t="shared" si="6"/>
        <v>-968.71286772274459</v>
      </c>
      <c r="S42" s="71">
        <f t="shared" si="6"/>
        <v>1907.7341621702251</v>
      </c>
      <c r="T42" s="71">
        <f t="shared" si="6"/>
        <v>1308.1518318185015</v>
      </c>
      <c r="U42" s="71">
        <f t="shared" si="6"/>
        <v>2825.3804518408192</v>
      </c>
      <c r="V42" s="71">
        <f>V28</f>
        <v>3966.7713859323007</v>
      </c>
      <c r="W42" s="71">
        <f>W28</f>
        <v>4561.438974601514</v>
      </c>
      <c r="X42" s="71">
        <f>X28</f>
        <v>3615.2987489150823</v>
      </c>
      <c r="Y42" s="71">
        <f>Y28</f>
        <v>4987.2692974063229</v>
      </c>
      <c r="Z42" s="71">
        <f t="shared" ref="Z42:AA42" si="7">Z28</f>
        <v>3288.7702858659486</v>
      </c>
      <c r="AA42" s="71">
        <f t="shared" si="7"/>
        <v>4285.8043609203705</v>
      </c>
      <c r="AB42" s="71">
        <f t="shared" ref="AB42" si="8">AB28</f>
        <v>550.54100946372239</v>
      </c>
      <c r="AC42" s="71">
        <f t="shared" si="6"/>
        <v>1405.1128100168553</v>
      </c>
    </row>
    <row r="43" spans="1:29" s="31" customFormat="1" ht="18" customHeight="1" x14ac:dyDescent="0.2">
      <c r="A43" s="208" t="s">
        <v>28</v>
      </c>
      <c r="B43" s="343" t="s">
        <v>182</v>
      </c>
      <c r="C43" s="343"/>
      <c r="D43" s="343"/>
      <c r="E43" s="343"/>
      <c r="F43" s="343"/>
      <c r="G43" s="343"/>
      <c r="H43" s="343"/>
      <c r="I43" s="343"/>
      <c r="J43" s="343"/>
      <c r="K43" s="71">
        <f t="shared" ref="K43:AC43" si="9">+K9+K10+K12</f>
        <v>98478.326742461708</v>
      </c>
      <c r="L43" s="71">
        <f>+L9+L10+L12</f>
        <v>129960.99744245525</v>
      </c>
      <c r="M43" s="71">
        <f t="shared" si="9"/>
        <v>101557.54976067608</v>
      </c>
      <c r="N43" s="71">
        <f t="shared" si="9"/>
        <v>82035.781279042101</v>
      </c>
      <c r="O43" s="71">
        <f t="shared" si="9"/>
        <v>97028.504072694239</v>
      </c>
      <c r="P43" s="71">
        <f t="shared" si="9"/>
        <v>89381.607287617313</v>
      </c>
      <c r="Q43" s="71">
        <f t="shared" si="9"/>
        <v>83783.531309148631</v>
      </c>
      <c r="R43" s="71">
        <f t="shared" si="9"/>
        <v>82828.010698049096</v>
      </c>
      <c r="S43" s="71">
        <f t="shared" si="9"/>
        <v>85652.643215773467</v>
      </c>
      <c r="T43" s="71">
        <f t="shared" ref="T43:Z43" si="10">+T9+T10+T12</f>
        <v>72996.61317858423</v>
      </c>
      <c r="U43" s="71">
        <f t="shared" si="10"/>
        <v>80569.50311998534</v>
      </c>
      <c r="V43" s="71">
        <f t="shared" si="10"/>
        <v>88275.042592205253</v>
      </c>
      <c r="W43" s="71">
        <f t="shared" si="10"/>
        <v>96766.900957168036</v>
      </c>
      <c r="X43" s="71">
        <f t="shared" si="10"/>
        <v>77716.849351620709</v>
      </c>
      <c r="Y43" s="71">
        <f t="shared" si="10"/>
        <v>97028.03025679235</v>
      </c>
      <c r="Z43" s="71">
        <f t="shared" si="10"/>
        <v>78364.090996284722</v>
      </c>
      <c r="AA43" s="71">
        <f t="shared" ref="AA43:AB43" si="11">+AA9+AA10+AA12</f>
        <v>101118.36742561137</v>
      </c>
      <c r="AB43" s="71">
        <f t="shared" si="11"/>
        <v>92682.522203348693</v>
      </c>
      <c r="AC43" s="71">
        <f t="shared" si="9"/>
        <v>95295.084035636901</v>
      </c>
    </row>
    <row r="44" spans="1:29" s="31" customFormat="1" ht="18" customHeight="1" x14ac:dyDescent="0.2">
      <c r="A44" s="208" t="s">
        <v>29</v>
      </c>
      <c r="B44" s="343" t="s">
        <v>184</v>
      </c>
      <c r="C44" s="343"/>
      <c r="D44" s="343"/>
      <c r="E44" s="343"/>
      <c r="F44" s="343"/>
      <c r="G44" s="343"/>
      <c r="H44" s="343"/>
      <c r="I44" s="343"/>
      <c r="J44" s="343"/>
      <c r="K44" s="71">
        <f t="shared" ref="K44:AC44" si="12">+K6-K43</f>
        <v>80211.725160652306</v>
      </c>
      <c r="L44" s="71">
        <f t="shared" si="12"/>
        <v>98201.513213981249</v>
      </c>
      <c r="M44" s="71">
        <f t="shared" si="12"/>
        <v>83971.303673487389</v>
      </c>
      <c r="N44" s="71">
        <f t="shared" si="12"/>
        <v>85362.729767710174</v>
      </c>
      <c r="O44" s="71">
        <f t="shared" si="12"/>
        <v>76259.072636423676</v>
      </c>
      <c r="P44" s="71">
        <f t="shared" si="12"/>
        <v>88500.241430049413</v>
      </c>
      <c r="Q44" s="71">
        <f t="shared" si="12"/>
        <v>87932.049582930791</v>
      </c>
      <c r="R44" s="71">
        <f t="shared" si="12"/>
        <v>66941.244476116583</v>
      </c>
      <c r="S44" s="71">
        <f t="shared" si="12"/>
        <v>71458.905409387356</v>
      </c>
      <c r="T44" s="71">
        <f t="shared" ref="T44:Z44" si="13">+T6-T43</f>
        <v>77021.811781065568</v>
      </c>
      <c r="U44" s="71">
        <f t="shared" si="13"/>
        <v>69510.304427645198</v>
      </c>
      <c r="V44" s="71">
        <f t="shared" si="13"/>
        <v>77270.38332064182</v>
      </c>
      <c r="W44" s="71">
        <f t="shared" si="13"/>
        <v>79365.106414770606</v>
      </c>
      <c r="X44" s="71">
        <f t="shared" si="13"/>
        <v>91170.264708581672</v>
      </c>
      <c r="Y44" s="71">
        <f t="shared" si="13"/>
        <v>89794.266168461036</v>
      </c>
      <c r="Z44" s="71">
        <f t="shared" si="13"/>
        <v>86085.09306395911</v>
      </c>
      <c r="AA44" s="71">
        <f t="shared" ref="AA44:AB44" si="14">+AA6-AA43</f>
        <v>109442.12046741358</v>
      </c>
      <c r="AB44" s="71">
        <f t="shared" si="14"/>
        <v>96421.310118903202</v>
      </c>
      <c r="AC44" s="71">
        <f t="shared" si="12"/>
        <v>110811.72261016131</v>
      </c>
    </row>
    <row r="45" spans="1:29" s="31" customFormat="1" ht="18" customHeight="1" x14ac:dyDescent="0.2">
      <c r="A45" s="208" t="s">
        <v>30</v>
      </c>
      <c r="B45" s="343" t="s">
        <v>183</v>
      </c>
      <c r="C45" s="343"/>
      <c r="D45" s="343"/>
      <c r="E45" s="343"/>
      <c r="F45" s="343"/>
      <c r="G45" s="343"/>
      <c r="H45" s="343"/>
      <c r="I45" s="343"/>
      <c r="J45" s="343"/>
      <c r="K45" s="71">
        <f t="shared" ref="K45:AC45" si="15">+K11+K13+K14+K16</f>
        <v>78986.123331685565</v>
      </c>
      <c r="L45" s="71">
        <f>+L11+L13+L14+L16</f>
        <v>98720.90792838874</v>
      </c>
      <c r="M45" s="71">
        <f t="shared" si="15"/>
        <v>82493.629359898798</v>
      </c>
      <c r="N45" s="71">
        <f t="shared" si="15"/>
        <v>82501.346693053638</v>
      </c>
      <c r="O45" s="71">
        <f t="shared" si="15"/>
        <v>75617.246425532241</v>
      </c>
      <c r="P45" s="71">
        <f t="shared" si="15"/>
        <v>87988.10860073677</v>
      </c>
      <c r="Q45" s="71">
        <f t="shared" si="15"/>
        <v>91743.36873577346</v>
      </c>
      <c r="R45" s="71">
        <f t="shared" si="15"/>
        <v>67909.957343839313</v>
      </c>
      <c r="S45" s="71">
        <f t="shared" si="15"/>
        <v>69551.171247217047</v>
      </c>
      <c r="T45" s="71">
        <f t="shared" ref="T45:Z45" si="16">+T11+T13+T14+T16</f>
        <v>75713.6599492471</v>
      </c>
      <c r="U45" s="71">
        <f t="shared" si="16"/>
        <v>66684.923975804355</v>
      </c>
      <c r="V45" s="71">
        <f t="shared" si="16"/>
        <v>73303.611934709508</v>
      </c>
      <c r="W45" s="71">
        <f t="shared" si="16"/>
        <v>74803.667440169069</v>
      </c>
      <c r="X45" s="71">
        <f t="shared" si="16"/>
        <v>87554.965959666661</v>
      </c>
      <c r="Y45" s="71">
        <f t="shared" si="16"/>
        <v>84806.996871054755</v>
      </c>
      <c r="Z45" s="71">
        <f t="shared" si="16"/>
        <v>82796.322778093236</v>
      </c>
      <c r="AA45" s="71">
        <f t="shared" ref="AA45:AB45" si="17">+AA11+AA13+AA14+AA16</f>
        <v>105156.31610649318</v>
      </c>
      <c r="AB45" s="71">
        <f t="shared" si="17"/>
        <v>95870.768988109689</v>
      </c>
      <c r="AC45" s="71">
        <f t="shared" si="15"/>
        <v>109406.60980014446</v>
      </c>
    </row>
    <row r="46" spans="1:29" s="31" customFormat="1" ht="18" customHeight="1" x14ac:dyDescent="0.2">
      <c r="A46" s="208" t="s">
        <v>31</v>
      </c>
      <c r="B46" s="343" t="s">
        <v>186</v>
      </c>
      <c r="C46" s="343"/>
      <c r="D46" s="343"/>
      <c r="E46" s="343"/>
      <c r="F46" s="343"/>
      <c r="G46" s="343"/>
      <c r="H46" s="343"/>
      <c r="I46" s="343"/>
      <c r="J46" s="343"/>
      <c r="K46" s="71">
        <f t="shared" ref="K46:AC46" si="18">+K34+K11+K17+K32+K18+K26+K13+K24</f>
        <v>52767.066238260035</v>
      </c>
      <c r="L46" s="71">
        <f>+L34+L11+L17+L32+L18+L26+L13+L24</f>
        <v>67240.728900255737</v>
      </c>
      <c r="M46" s="71">
        <f t="shared" si="18"/>
        <v>59048.286504590564</v>
      </c>
      <c r="N46" s="71">
        <f t="shared" si="18"/>
        <v>59563.084660474226</v>
      </c>
      <c r="O46" s="71">
        <f t="shared" si="18"/>
        <v>55098.508561438255</v>
      </c>
      <c r="P46" s="71">
        <f t="shared" si="18"/>
        <v>54632.259915202769</v>
      </c>
      <c r="Q46" s="71">
        <f t="shared" si="18"/>
        <v>56083.838450859075</v>
      </c>
      <c r="R46" s="71">
        <f t="shared" si="18"/>
        <v>48394.848605211315</v>
      </c>
      <c r="S46" s="71">
        <f t="shared" si="18"/>
        <v>49271.920890860121</v>
      </c>
      <c r="T46" s="71">
        <f t="shared" ref="T46:Z46" si="19">+T34+T11+T17+T32+T18+T26+T13+T24</f>
        <v>54683.288162615812</v>
      </c>
      <c r="U46" s="71">
        <f t="shared" si="19"/>
        <v>46183.872638086039</v>
      </c>
      <c r="V46" s="71">
        <f t="shared" si="19"/>
        <v>55589.919455488038</v>
      </c>
      <c r="W46" s="71">
        <f t="shared" si="19"/>
        <v>55227.864683869055</v>
      </c>
      <c r="X46" s="71">
        <f t="shared" si="19"/>
        <v>60549.537167350405</v>
      </c>
      <c r="Y46" s="71">
        <f t="shared" si="19"/>
        <v>58680.677751206429</v>
      </c>
      <c r="Z46" s="71">
        <f t="shared" si="19"/>
        <v>58557.240286212633</v>
      </c>
      <c r="AA46" s="71">
        <f t="shared" ref="AA46:AB46" si="20">+AA34+AA11+AA17+AA32+AA18+AA26+AA13+AA24</f>
        <v>65315.758221900971</v>
      </c>
      <c r="AB46" s="71">
        <f t="shared" si="20"/>
        <v>60743.431933996602</v>
      </c>
      <c r="AC46" s="71">
        <f t="shared" si="18"/>
        <v>62098.492896701173</v>
      </c>
    </row>
    <row r="47" spans="1:29" s="31" customFormat="1" ht="18" customHeight="1" x14ac:dyDescent="0.2">
      <c r="A47" s="208" t="s">
        <v>32</v>
      </c>
      <c r="B47" s="343" t="s">
        <v>185</v>
      </c>
      <c r="C47" s="343"/>
      <c r="D47" s="343"/>
      <c r="E47" s="343"/>
      <c r="F47" s="343"/>
      <c r="G47" s="343"/>
      <c r="H47" s="343"/>
      <c r="I47" s="343"/>
      <c r="J47" s="343"/>
      <c r="K47" s="71">
        <f t="shared" ref="K47:AC47" si="21">+K6-K9-K10-K12</f>
        <v>80211.725160652306</v>
      </c>
      <c r="L47" s="71">
        <f>+L6-L9-L10-L12</f>
        <v>98201.513213981249</v>
      </c>
      <c r="M47" s="71">
        <f t="shared" si="21"/>
        <v>83971.303673487389</v>
      </c>
      <c r="N47" s="71">
        <f t="shared" si="21"/>
        <v>85362.729767710145</v>
      </c>
      <c r="O47" s="71">
        <f t="shared" si="21"/>
        <v>76259.072636423647</v>
      </c>
      <c r="P47" s="71">
        <f t="shared" si="21"/>
        <v>88500.241430049398</v>
      </c>
      <c r="Q47" s="71">
        <f t="shared" si="21"/>
        <v>87932.049582930806</v>
      </c>
      <c r="R47" s="71">
        <f t="shared" si="21"/>
        <v>66941.244476116583</v>
      </c>
      <c r="S47" s="71">
        <f t="shared" si="21"/>
        <v>71458.905409387327</v>
      </c>
      <c r="T47" s="71">
        <f t="shared" ref="T47:Z47" si="22">+T6-T9-T10-T12</f>
        <v>77021.811781065553</v>
      </c>
      <c r="U47" s="71">
        <f t="shared" si="22"/>
        <v>69510.304427645198</v>
      </c>
      <c r="V47" s="71">
        <f t="shared" si="22"/>
        <v>77270.38332064182</v>
      </c>
      <c r="W47" s="71">
        <f t="shared" si="22"/>
        <v>79365.106414770606</v>
      </c>
      <c r="X47" s="71">
        <f t="shared" si="22"/>
        <v>91170.264708581686</v>
      </c>
      <c r="Y47" s="71">
        <f t="shared" si="22"/>
        <v>89794.266168461036</v>
      </c>
      <c r="Z47" s="71">
        <f t="shared" si="22"/>
        <v>86085.09306395911</v>
      </c>
      <c r="AA47" s="71">
        <f t="shared" ref="AA47:AB47" si="23">+AA6-AA9-AA10-AA12</f>
        <v>109442.12046741358</v>
      </c>
      <c r="AB47" s="71">
        <f t="shared" si="23"/>
        <v>96421.310118903202</v>
      </c>
      <c r="AC47" s="71">
        <f t="shared" si="21"/>
        <v>110811.72261016131</v>
      </c>
    </row>
    <row r="48" spans="1:29" x14ac:dyDescent="0.2">
      <c r="B48" s="368" t="s">
        <v>581</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row>
    <row r="49" spans="2:29"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row>
    <row r="50" spans="2:29" x14ac:dyDescent="0.2">
      <c r="AC50" s="3"/>
    </row>
    <row r="51" spans="2:29" x14ac:dyDescent="0.2">
      <c r="AC51" s="3"/>
    </row>
    <row r="52" spans="2:29" x14ac:dyDescent="0.2">
      <c r="AC52" s="3"/>
    </row>
    <row r="53" spans="2:29" x14ac:dyDescent="0.2">
      <c r="AC53" s="3"/>
    </row>
    <row r="54" spans="2:29" x14ac:dyDescent="0.2">
      <c r="AC54" s="3"/>
    </row>
    <row r="55" spans="2:29" x14ac:dyDescent="0.2">
      <c r="AC55" s="3"/>
    </row>
    <row r="56" spans="2:29" x14ac:dyDescent="0.2">
      <c r="AC56" s="3"/>
    </row>
    <row r="57" spans="2:29" x14ac:dyDescent="0.2">
      <c r="AC57" s="3"/>
    </row>
    <row r="58" spans="2:29" x14ac:dyDescent="0.2">
      <c r="AC58" s="3"/>
    </row>
    <row r="59" spans="2:29" x14ac:dyDescent="0.2">
      <c r="AC59" s="3"/>
    </row>
    <row r="60" spans="2:29" x14ac:dyDescent="0.2">
      <c r="AC60" s="3"/>
    </row>
    <row r="61" spans="2:29" x14ac:dyDescent="0.2">
      <c r="AC61" s="3"/>
    </row>
    <row r="62" spans="2:29" x14ac:dyDescent="0.2">
      <c r="AC62" s="3"/>
    </row>
    <row r="63" spans="2:29" x14ac:dyDescent="0.2">
      <c r="AC63" s="3"/>
    </row>
    <row r="64" spans="2:29" x14ac:dyDescent="0.2">
      <c r="AC64" s="3"/>
    </row>
    <row r="65" spans="29:29" x14ac:dyDescent="0.2">
      <c r="AC65" s="3"/>
    </row>
    <row r="66" spans="29:29" x14ac:dyDescent="0.2">
      <c r="AC66" s="3"/>
    </row>
    <row r="67" spans="29:29" x14ac:dyDescent="0.2">
      <c r="AC67" s="3"/>
    </row>
    <row r="68" spans="29:29" x14ac:dyDescent="0.2">
      <c r="AC68" s="3"/>
    </row>
    <row r="69" spans="29:29" x14ac:dyDescent="0.2">
      <c r="AC69" s="3"/>
    </row>
    <row r="70" spans="29:29" x14ac:dyDescent="0.2">
      <c r="AC70" s="3"/>
    </row>
    <row r="71" spans="29:29" x14ac:dyDescent="0.2">
      <c r="AC71" s="3"/>
    </row>
    <row r="72" spans="29:29" x14ac:dyDescent="0.2">
      <c r="AC72" s="3"/>
    </row>
    <row r="73" spans="29:29" x14ac:dyDescent="0.2">
      <c r="AC73" s="3"/>
    </row>
    <row r="74" spans="29:29" x14ac:dyDescent="0.2">
      <c r="AC74" s="3"/>
    </row>
    <row r="75" spans="29:29" x14ac:dyDescent="0.2">
      <c r="AC75" s="3"/>
    </row>
    <row r="76" spans="29:29" x14ac:dyDescent="0.2">
      <c r="AC76" s="3"/>
    </row>
    <row r="77" spans="29:29" x14ac:dyDescent="0.2">
      <c r="AC77" s="3"/>
    </row>
    <row r="78" spans="29:29" x14ac:dyDescent="0.2">
      <c r="AC78" s="3"/>
    </row>
    <row r="79" spans="29:29" x14ac:dyDescent="0.2">
      <c r="AC79" s="3"/>
    </row>
    <row r="80" spans="29:29" x14ac:dyDescent="0.2">
      <c r="AC80" s="3"/>
    </row>
    <row r="81" spans="29:29" x14ac:dyDescent="0.2">
      <c r="AC81" s="3"/>
    </row>
  </sheetData>
  <mergeCells count="48">
    <mergeCell ref="C10:J10"/>
    <mergeCell ref="C11:J11"/>
    <mergeCell ref="C12:J12"/>
    <mergeCell ref="C13:J13"/>
    <mergeCell ref="A6:J6"/>
    <mergeCell ref="A7:J7"/>
    <mergeCell ref="B8:J8"/>
    <mergeCell ref="C9:J9"/>
    <mergeCell ref="B48:AC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29" width="10.44140625" style="1" customWidth="1"/>
  </cols>
  <sheetData>
    <row r="1" spans="1:29"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row>
    <row r="2" spans="1:29" ht="18" customHeight="1" x14ac:dyDescent="0.2">
      <c r="A2" s="345" t="s">
        <v>584</v>
      </c>
      <c r="B2" s="345"/>
      <c r="C2" s="345"/>
      <c r="D2" s="345"/>
      <c r="E2" s="345"/>
      <c r="F2" s="345"/>
      <c r="G2" s="345"/>
      <c r="H2" s="345"/>
      <c r="I2" s="345"/>
      <c r="J2" s="345"/>
      <c r="K2" s="4"/>
      <c r="L2" s="4"/>
      <c r="M2" s="4"/>
      <c r="N2" s="4"/>
      <c r="O2" s="4"/>
      <c r="P2" s="4"/>
      <c r="Q2" s="4"/>
      <c r="R2" s="4"/>
      <c r="S2" s="4"/>
      <c r="T2" s="4"/>
      <c r="U2" s="4"/>
      <c r="V2" s="4"/>
      <c r="W2" s="4"/>
      <c r="X2" s="4"/>
      <c r="Y2" s="4"/>
      <c r="Z2" s="4"/>
      <c r="AA2" s="4"/>
      <c r="AB2" s="4"/>
      <c r="AC2" s="72" t="s">
        <v>67</v>
      </c>
    </row>
    <row r="3" spans="1:29"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580</v>
      </c>
    </row>
    <row r="4" spans="1:29" s="31" customFormat="1" ht="18" customHeight="1" x14ac:dyDescent="0.2">
      <c r="A4" s="390" t="s">
        <v>33</v>
      </c>
      <c r="B4" s="390"/>
      <c r="C4" s="390"/>
      <c r="D4" s="390"/>
      <c r="E4" s="390"/>
      <c r="F4" s="390"/>
      <c r="G4" s="390"/>
      <c r="H4" s="390"/>
      <c r="I4" s="390"/>
      <c r="J4" s="390"/>
      <c r="K4" s="68">
        <v>8092</v>
      </c>
      <c r="L4" s="68">
        <v>9384</v>
      </c>
      <c r="M4" s="68">
        <v>9092.3233300636293</v>
      </c>
      <c r="N4" s="68">
        <v>7858.9640690037304</v>
      </c>
      <c r="O4" s="68">
        <v>8515.77889094893</v>
      </c>
      <c r="P4" s="68">
        <v>8251.3727196559394</v>
      </c>
      <c r="Q4" s="68">
        <v>7272.9007589827597</v>
      </c>
      <c r="R4" s="68">
        <v>8544.9472375593377</v>
      </c>
      <c r="S4" s="68">
        <v>8225.3540950000006</v>
      </c>
      <c r="T4" s="68">
        <v>8854.899930532476</v>
      </c>
      <c r="U4" s="68">
        <v>8770.0307843999981</v>
      </c>
      <c r="V4" s="68">
        <v>8686.575670800059</v>
      </c>
      <c r="W4" s="68">
        <v>8604.5058003000304</v>
      </c>
      <c r="X4" s="68">
        <v>8523.7930070000148</v>
      </c>
      <c r="Y4" s="68">
        <v>8289.3677795999847</v>
      </c>
      <c r="Z4" s="68">
        <v>8279</v>
      </c>
      <c r="AA4" s="68">
        <v>8301</v>
      </c>
      <c r="AB4" s="68">
        <v>8242</v>
      </c>
      <c r="AC4" s="68">
        <v>8306</v>
      </c>
    </row>
    <row r="5" spans="1:29" s="31" customFormat="1" ht="18" customHeight="1" x14ac:dyDescent="0.2">
      <c r="A5" s="380" t="s">
        <v>34</v>
      </c>
      <c r="B5" s="380"/>
      <c r="C5" s="380"/>
      <c r="D5" s="380"/>
      <c r="E5" s="380"/>
      <c r="F5" s="380"/>
      <c r="G5" s="380"/>
      <c r="H5" s="380"/>
      <c r="I5" s="380"/>
      <c r="J5" s="380"/>
      <c r="K5" s="251">
        <v>12.533860603064801</v>
      </c>
      <c r="L5" s="251">
        <v>13.575554134697358</v>
      </c>
      <c r="M5" s="251">
        <v>12.234161961694509</v>
      </c>
      <c r="N5" s="251">
        <v>13.049525075729587</v>
      </c>
      <c r="O5" s="251">
        <v>12.042501603928507</v>
      </c>
      <c r="P5" s="251">
        <v>12.65665301851298</v>
      </c>
      <c r="Q5" s="251">
        <v>12.891024716625235</v>
      </c>
      <c r="R5" s="251">
        <v>11.369715396230543</v>
      </c>
      <c r="S5" s="251">
        <v>11.822918680996274</v>
      </c>
      <c r="T5" s="251">
        <v>11.216756404879657</v>
      </c>
      <c r="U5" s="251">
        <v>11.259526306681627</v>
      </c>
      <c r="V5" s="251">
        <v>11.220040071415038</v>
      </c>
      <c r="W5" s="251">
        <v>11.891748367618144</v>
      </c>
      <c r="X5" s="251">
        <v>11.841413482968491</v>
      </c>
      <c r="Y5" s="251">
        <v>12.158751196879896</v>
      </c>
      <c r="Z5" s="251">
        <v>12.014836033329496</v>
      </c>
      <c r="AA5" s="251">
        <v>13.08300204794603</v>
      </c>
      <c r="AB5" s="251">
        <v>12.472094151904878</v>
      </c>
      <c r="AC5" s="251">
        <v>12.375150493619071</v>
      </c>
    </row>
    <row r="6" spans="1:29" s="31" customFormat="1" ht="18" customHeight="1" x14ac:dyDescent="0.2">
      <c r="A6" s="381" t="s">
        <v>70</v>
      </c>
      <c r="B6" s="381"/>
      <c r="C6" s="381"/>
      <c r="D6" s="381"/>
      <c r="E6" s="381"/>
      <c r="F6" s="381"/>
      <c r="G6" s="381"/>
      <c r="H6" s="381"/>
      <c r="I6" s="381"/>
      <c r="J6" s="381"/>
      <c r="K6" s="211"/>
      <c r="L6" s="211">
        <v>3497</v>
      </c>
      <c r="M6" s="211">
        <v>2792.3503579210501</v>
      </c>
      <c r="N6" s="211">
        <v>3661.6470108414301</v>
      </c>
      <c r="O6" s="211">
        <v>4005.21561197764</v>
      </c>
      <c r="P6" s="211">
        <v>3948.17148804814</v>
      </c>
      <c r="Q6" s="211">
        <v>3521.27430546612</v>
      </c>
      <c r="R6" s="211">
        <v>3936.6802334029298</v>
      </c>
      <c r="S6" s="211">
        <v>3022.7901087026089</v>
      </c>
      <c r="T6" s="211">
        <v>3661.0337799692843</v>
      </c>
      <c r="U6" s="211">
        <v>4272.6030850403577</v>
      </c>
      <c r="V6" s="211">
        <v>3322.2734925064738</v>
      </c>
      <c r="W6" s="211">
        <v>3800.8925001993043</v>
      </c>
      <c r="X6" s="211">
        <v>3655.8275348128309</v>
      </c>
      <c r="Y6" s="211">
        <v>3318.8813121269418</v>
      </c>
      <c r="Z6" s="211">
        <v>4094.5430171645603</v>
      </c>
      <c r="AA6" s="211">
        <v>3145</v>
      </c>
      <c r="AB6" s="211">
        <v>3643</v>
      </c>
      <c r="AC6" s="211">
        <v>4055</v>
      </c>
    </row>
    <row r="7" spans="1:29" s="31" customFormat="1" ht="18" customHeight="1" x14ac:dyDescent="0.2">
      <c r="A7" s="215" t="s">
        <v>360</v>
      </c>
      <c r="B7" s="394" t="s">
        <v>361</v>
      </c>
      <c r="C7" s="394"/>
      <c r="D7" s="394"/>
      <c r="E7" s="394"/>
      <c r="F7" s="394"/>
      <c r="G7" s="394"/>
      <c r="H7" s="394"/>
      <c r="I7" s="394"/>
      <c r="J7" s="394"/>
      <c r="K7" s="213"/>
      <c r="L7" s="213">
        <v>1445</v>
      </c>
      <c r="M7" s="213">
        <v>1599.34533994716</v>
      </c>
      <c r="N7" s="213">
        <v>1937.43873398182</v>
      </c>
      <c r="O7" s="213">
        <v>2898.4605881214302</v>
      </c>
      <c r="P7" s="213">
        <v>2512.8431180011198</v>
      </c>
      <c r="Q7" s="213">
        <v>2726.8248904393899</v>
      </c>
      <c r="R7" s="213">
        <v>3366.8630881158806</v>
      </c>
      <c r="S7" s="213">
        <v>2097.0271047520969</v>
      </c>
      <c r="T7" s="213">
        <v>2410.8148356638903</v>
      </c>
      <c r="U7" s="213">
        <v>2977.8737441989206</v>
      </c>
      <c r="V7" s="213">
        <v>2656.4447612551089</v>
      </c>
      <c r="W7" s="213">
        <v>3086.2198606016627</v>
      </c>
      <c r="X7" s="213">
        <v>2727.5998363819294</v>
      </c>
      <c r="Y7" s="213">
        <v>2205.7319074678176</v>
      </c>
      <c r="Z7" s="213">
        <v>2843.2722992732079</v>
      </c>
      <c r="AA7" s="213">
        <v>1900</v>
      </c>
      <c r="AB7" s="213">
        <v>2314</v>
      </c>
      <c r="AC7" s="213">
        <v>2718</v>
      </c>
    </row>
    <row r="8" spans="1:29" s="31" customFormat="1" ht="18" customHeight="1" x14ac:dyDescent="0.2">
      <c r="A8" s="381" t="s">
        <v>71</v>
      </c>
      <c r="B8" s="381"/>
      <c r="C8" s="381"/>
      <c r="D8" s="381"/>
      <c r="E8" s="381"/>
      <c r="F8" s="381"/>
      <c r="G8" s="381"/>
      <c r="H8" s="381"/>
      <c r="I8" s="381"/>
      <c r="J8" s="381"/>
      <c r="K8" s="211">
        <v>172019.03114186903</v>
      </c>
      <c r="L8" s="211">
        <v>212450.44757033247</v>
      </c>
      <c r="M8" s="211">
        <v>154580.10133306755</v>
      </c>
      <c r="N8" s="211">
        <v>171774.86786850065</v>
      </c>
      <c r="O8" s="211">
        <v>163112.00143486558</v>
      </c>
      <c r="P8" s="211">
        <v>199954.09914388359</v>
      </c>
      <c r="Q8" s="211">
        <v>237743.32485038225</v>
      </c>
      <c r="R8" s="211">
        <v>157889.46589738407</v>
      </c>
      <c r="S8" s="211">
        <v>152668.71520667465</v>
      </c>
      <c r="T8" s="211">
        <v>134108.25605754138</v>
      </c>
      <c r="U8" s="211">
        <v>137052.87628909614</v>
      </c>
      <c r="V8" s="211">
        <v>183219.29010029871</v>
      </c>
      <c r="W8" s="211">
        <v>190694.49508048844</v>
      </c>
      <c r="X8" s="211">
        <v>152192.89357523341</v>
      </c>
      <c r="Y8" s="211">
        <v>194326.10431526855</v>
      </c>
      <c r="Z8" s="211">
        <v>164368.49354175248</v>
      </c>
      <c r="AA8" s="211">
        <v>201989.22623780268</v>
      </c>
      <c r="AB8" s="211">
        <v>195507.99199223489</v>
      </c>
      <c r="AC8" s="211">
        <v>178802.13111004094</v>
      </c>
    </row>
    <row r="9" spans="1:29" s="31" customFormat="1" ht="18" customHeight="1" x14ac:dyDescent="0.2">
      <c r="A9" s="73"/>
      <c r="B9" s="381" t="s">
        <v>72</v>
      </c>
      <c r="C9" s="381"/>
      <c r="D9" s="381"/>
      <c r="E9" s="381"/>
      <c r="F9" s="381"/>
      <c r="G9" s="381"/>
      <c r="H9" s="381"/>
      <c r="I9" s="381"/>
      <c r="J9" s="381"/>
      <c r="K9" s="211">
        <v>93052.150271873514</v>
      </c>
      <c r="L9" s="211">
        <v>120076.93947144075</v>
      </c>
      <c r="M9" s="211">
        <v>99252.025378439183</v>
      </c>
      <c r="N9" s="211">
        <v>95192.484801507104</v>
      </c>
      <c r="O9" s="211">
        <v>95395.828214968264</v>
      </c>
      <c r="P9" s="211">
        <v>107140.09009290635</v>
      </c>
      <c r="Q9" s="211">
        <v>120884.41984691765</v>
      </c>
      <c r="R9" s="211">
        <v>81053.56271476316</v>
      </c>
      <c r="S9" s="211">
        <v>89963.932836828622</v>
      </c>
      <c r="T9" s="211">
        <v>73968.673083067697</v>
      </c>
      <c r="U9" s="211">
        <v>78573.487896815408</v>
      </c>
      <c r="V9" s="211">
        <v>110160.4696158704</v>
      </c>
      <c r="W9" s="211">
        <v>109555.28674669142</v>
      </c>
      <c r="X9" s="211">
        <v>83864.83564920268</v>
      </c>
      <c r="Y9" s="211">
        <v>102204.69344756007</v>
      </c>
      <c r="Z9" s="211">
        <v>93274.378375935543</v>
      </c>
      <c r="AA9" s="211">
        <v>117523.45572822551</v>
      </c>
      <c r="AB9" s="211">
        <v>115967.39856830866</v>
      </c>
      <c r="AC9" s="211">
        <v>111197.8044786901</v>
      </c>
    </row>
    <row r="10" spans="1:29" s="31" customFormat="1" ht="18" customHeight="1" x14ac:dyDescent="0.2">
      <c r="A10" s="73"/>
      <c r="B10" s="73"/>
      <c r="C10" s="390" t="s">
        <v>73</v>
      </c>
      <c r="D10" s="390"/>
      <c r="E10" s="390"/>
      <c r="F10" s="390"/>
      <c r="G10" s="390"/>
      <c r="H10" s="390"/>
      <c r="I10" s="390"/>
      <c r="J10" s="390"/>
      <c r="K10" s="68">
        <v>29551.161641127001</v>
      </c>
      <c r="L10" s="68">
        <v>26504.582267689686</v>
      </c>
      <c r="M10" s="68">
        <v>35326.464873434525</v>
      </c>
      <c r="N10" s="68">
        <v>35954.894530504927</v>
      </c>
      <c r="O10" s="68">
        <v>29734.554696047773</v>
      </c>
      <c r="P10" s="68">
        <v>25889.850774199989</v>
      </c>
      <c r="Q10" s="68">
        <v>31289.607143108198</v>
      </c>
      <c r="R10" s="68">
        <v>21712.828266911769</v>
      </c>
      <c r="S10" s="68">
        <v>23129.40110458932</v>
      </c>
      <c r="T10" s="68">
        <v>23349.824716680963</v>
      </c>
      <c r="U10" s="68">
        <v>27674.215965520834</v>
      </c>
      <c r="V10" s="68">
        <v>36476.654585097771</v>
      </c>
      <c r="W10" s="68">
        <v>35658.775079066894</v>
      </c>
      <c r="X10" s="68">
        <v>29807.537062013656</v>
      </c>
      <c r="Y10" s="68">
        <v>38735.519938480014</v>
      </c>
      <c r="Z10" s="68">
        <v>35265.224642052191</v>
      </c>
      <c r="AA10" s="68">
        <v>42530.441031201059</v>
      </c>
      <c r="AB10" s="68">
        <v>51965.077165736475</v>
      </c>
      <c r="AC10" s="68">
        <v>43821.682879845896</v>
      </c>
    </row>
    <row r="11" spans="1:29" s="31" customFormat="1" ht="18" customHeight="1" x14ac:dyDescent="0.2">
      <c r="A11" s="73"/>
      <c r="B11" s="73"/>
      <c r="C11" s="382" t="s">
        <v>74</v>
      </c>
      <c r="D11" s="382"/>
      <c r="E11" s="382"/>
      <c r="F11" s="382"/>
      <c r="G11" s="382"/>
      <c r="H11" s="382"/>
      <c r="I11" s="382"/>
      <c r="J11" s="382"/>
      <c r="K11" s="69">
        <v>38694.018783984204</v>
      </c>
      <c r="L11" s="69">
        <v>48175.191815856779</v>
      </c>
      <c r="M11" s="69">
        <v>39573.04594253601</v>
      </c>
      <c r="N11" s="69">
        <v>32442.463212443654</v>
      </c>
      <c r="O11" s="69">
        <v>34439.329685222314</v>
      </c>
      <c r="P11" s="69">
        <v>45534.473771411773</v>
      </c>
      <c r="Q11" s="69">
        <v>49066.276969338047</v>
      </c>
      <c r="R11" s="69">
        <v>29553.854739792274</v>
      </c>
      <c r="S11" s="69">
        <v>37131.494778621753</v>
      </c>
      <c r="T11" s="69">
        <v>26051.563148250851</v>
      </c>
      <c r="U11" s="69">
        <v>24856.344486256716</v>
      </c>
      <c r="V11" s="69">
        <v>35690.103320453491</v>
      </c>
      <c r="W11" s="69">
        <v>38435.39365777019</v>
      </c>
      <c r="X11" s="69">
        <v>28739.948496298479</v>
      </c>
      <c r="Y11" s="69">
        <v>28562.182153677066</v>
      </c>
      <c r="Z11" s="69">
        <v>29504.318765770382</v>
      </c>
      <c r="AA11" s="69">
        <v>34178.498494157335</v>
      </c>
      <c r="AB11" s="69">
        <v>27828.816913370541</v>
      </c>
      <c r="AC11" s="69">
        <v>32595.183963399955</v>
      </c>
    </row>
    <row r="12" spans="1:29" s="31" customFormat="1" ht="18" customHeight="1" x14ac:dyDescent="0.2">
      <c r="A12" s="73"/>
      <c r="B12" s="73"/>
      <c r="C12" s="382" t="s">
        <v>75</v>
      </c>
      <c r="D12" s="382"/>
      <c r="E12" s="382"/>
      <c r="F12" s="382"/>
      <c r="G12" s="382"/>
      <c r="H12" s="382"/>
      <c r="I12" s="382"/>
      <c r="J12" s="382"/>
      <c r="K12" s="69">
        <v>981.33959466139402</v>
      </c>
      <c r="L12" s="69">
        <v>3672.314578005115</v>
      </c>
      <c r="M12" s="69">
        <v>2627.9027449895348</v>
      </c>
      <c r="N12" s="69">
        <v>460.90397227344044</v>
      </c>
      <c r="O12" s="69">
        <v>1810.9242937598349</v>
      </c>
      <c r="P12" s="69">
        <v>1612.2303817874808</v>
      </c>
      <c r="Q12" s="69">
        <v>1049.985069260825</v>
      </c>
      <c r="R12" s="69">
        <v>1200.0055860624591</v>
      </c>
      <c r="S12" s="69">
        <v>1895.3303105699342</v>
      </c>
      <c r="T12" s="69">
        <v>765.07366496960799</v>
      </c>
      <c r="U12" s="69">
        <v>5211.6496211090771</v>
      </c>
      <c r="V12" s="69">
        <v>511.36326443258031</v>
      </c>
      <c r="W12" s="69">
        <v>1250.1295567304767</v>
      </c>
      <c r="X12" s="69">
        <v>336.36102651732642</v>
      </c>
      <c r="Y12" s="69">
        <v>495.50563814536793</v>
      </c>
      <c r="Z12" s="69"/>
      <c r="AA12" s="69"/>
      <c r="AB12" s="69"/>
      <c r="AC12" s="69"/>
    </row>
    <row r="13" spans="1:29" s="31" customFormat="1" ht="18" customHeight="1" x14ac:dyDescent="0.2">
      <c r="A13" s="73"/>
      <c r="B13" s="73"/>
      <c r="C13" s="382" t="s">
        <v>76</v>
      </c>
      <c r="D13" s="382"/>
      <c r="E13" s="382"/>
      <c r="F13" s="382"/>
      <c r="G13" s="382"/>
      <c r="H13" s="382"/>
      <c r="I13" s="382"/>
      <c r="J13" s="382"/>
      <c r="K13" s="69">
        <v>16417.943648047501</v>
      </c>
      <c r="L13" s="69">
        <v>22448.849104859335</v>
      </c>
      <c r="M13" s="69">
        <v>18599.685283324008</v>
      </c>
      <c r="N13" s="69">
        <v>16033.775429642468</v>
      </c>
      <c r="O13" s="69">
        <v>23828.269582550965</v>
      </c>
      <c r="P13" s="69">
        <v>21135.073281923294</v>
      </c>
      <c r="Q13" s="69">
        <v>19338.471086416128</v>
      </c>
      <c r="R13" s="69">
        <v>19147.792888323049</v>
      </c>
      <c r="S13" s="69">
        <v>20016.05194830785</v>
      </c>
      <c r="T13" s="69">
        <v>18754.948958201272</v>
      </c>
      <c r="U13" s="69">
        <v>16221.767376538846</v>
      </c>
      <c r="V13" s="69">
        <v>24895.210475600972</v>
      </c>
      <c r="W13" s="69">
        <v>18316.373817067783</v>
      </c>
      <c r="X13" s="69">
        <v>17645.943709875552</v>
      </c>
      <c r="Y13" s="69">
        <v>20517.214953697439</v>
      </c>
      <c r="Z13" s="69">
        <v>18911.740486437833</v>
      </c>
      <c r="AA13" s="69">
        <v>25310.437899048309</v>
      </c>
      <c r="AB13" s="69">
        <v>22253.11829652997</v>
      </c>
      <c r="AC13" s="69">
        <v>23494.040332289915</v>
      </c>
    </row>
    <row r="14" spans="1:29" s="31" customFormat="1" ht="18" customHeight="1" x14ac:dyDescent="0.2">
      <c r="A14" s="73"/>
      <c r="B14" s="73"/>
      <c r="C14" s="380" t="s">
        <v>77</v>
      </c>
      <c r="D14" s="380"/>
      <c r="E14" s="380"/>
      <c r="F14" s="380"/>
      <c r="G14" s="380"/>
      <c r="H14" s="380"/>
      <c r="I14" s="380"/>
      <c r="J14" s="380"/>
      <c r="K14" s="70">
        <v>7407.6866040533896</v>
      </c>
      <c r="L14" s="70">
        <v>19276.001705029837</v>
      </c>
      <c r="M14" s="70">
        <v>3124.9265341550126</v>
      </c>
      <c r="N14" s="70">
        <v>10300.44765664268</v>
      </c>
      <c r="O14" s="70">
        <v>5582.7499573873702</v>
      </c>
      <c r="P14" s="70">
        <v>12968.461883583648</v>
      </c>
      <c r="Q14" s="70">
        <v>20140.079578794543</v>
      </c>
      <c r="R14" s="70">
        <v>9439.0812336735762</v>
      </c>
      <c r="S14" s="70">
        <v>7791.6546947397774</v>
      </c>
      <c r="T14" s="70">
        <v>5047.2625949650346</v>
      </c>
      <c r="U14" s="70">
        <v>4609.5104473899337</v>
      </c>
      <c r="V14" s="70">
        <v>12587.137970285632</v>
      </c>
      <c r="W14" s="70">
        <v>15894.614636056051</v>
      </c>
      <c r="X14" s="70">
        <v>7335.0453544976644</v>
      </c>
      <c r="Y14" s="70">
        <v>13894.270763560182</v>
      </c>
      <c r="Z14" s="70">
        <v>9593.0944816751289</v>
      </c>
      <c r="AA14" s="70">
        <v>15504.078303818809</v>
      </c>
      <c r="AB14" s="70">
        <v>13920.386192671678</v>
      </c>
      <c r="AC14" s="70">
        <v>11286.897303154328</v>
      </c>
    </row>
    <row r="15" spans="1:29" s="31" customFormat="1" ht="18" customHeight="1" x14ac:dyDescent="0.2">
      <c r="A15" s="73"/>
      <c r="B15" s="381" t="s">
        <v>78</v>
      </c>
      <c r="C15" s="381"/>
      <c r="D15" s="381"/>
      <c r="E15" s="381"/>
      <c r="F15" s="381"/>
      <c r="G15" s="381"/>
      <c r="H15" s="381"/>
      <c r="I15" s="381"/>
      <c r="J15" s="381"/>
      <c r="K15" s="211">
        <v>78422.763222936206</v>
      </c>
      <c r="L15" s="211">
        <v>92275.895140664958</v>
      </c>
      <c r="M15" s="211">
        <v>55054.604132235909</v>
      </c>
      <c r="N15" s="211">
        <v>76456.304621388685</v>
      </c>
      <c r="O15" s="211">
        <v>67377.820117776937</v>
      </c>
      <c r="P15" s="211">
        <v>92643.730909809034</v>
      </c>
      <c r="Q15" s="211">
        <v>116721.95267130555</v>
      </c>
      <c r="R15" s="211">
        <v>76810.998297142214</v>
      </c>
      <c r="S15" s="211">
        <v>61793.223185692266</v>
      </c>
      <c r="T15" s="211">
        <v>60010.636288864138</v>
      </c>
      <c r="U15" s="211">
        <v>58363.310072639426</v>
      </c>
      <c r="V15" s="211">
        <v>72609.115931508844</v>
      </c>
      <c r="W15" s="211">
        <v>80659.66759834504</v>
      </c>
      <c r="X15" s="211">
        <v>67791.462308240763</v>
      </c>
      <c r="Y15" s="211">
        <v>92068.569778016463</v>
      </c>
      <c r="Z15" s="211">
        <v>70846.15594365068</v>
      </c>
      <c r="AA15" s="211">
        <v>84272.693289965056</v>
      </c>
      <c r="AB15" s="211">
        <v>79271.706624605664</v>
      </c>
      <c r="AC15" s="211">
        <v>66958.220563448107</v>
      </c>
    </row>
    <row r="16" spans="1:29" s="31" customFormat="1" ht="18" customHeight="1" x14ac:dyDescent="0.2">
      <c r="A16" s="73"/>
      <c r="B16" s="73"/>
      <c r="C16" s="381" t="s">
        <v>79</v>
      </c>
      <c r="D16" s="381"/>
      <c r="E16" s="381"/>
      <c r="F16" s="381"/>
      <c r="G16" s="381"/>
      <c r="H16" s="381"/>
      <c r="I16" s="381"/>
      <c r="J16" s="381"/>
      <c r="K16" s="211">
        <v>64765.200197726197</v>
      </c>
      <c r="L16" s="211">
        <v>79115.196078431371</v>
      </c>
      <c r="M16" s="211">
        <v>39304.10861606976</v>
      </c>
      <c r="N16" s="211">
        <v>64300.912838427197</v>
      </c>
      <c r="O16" s="211">
        <v>57053.600021808474</v>
      </c>
      <c r="P16" s="211">
        <v>70523.281278473412</v>
      </c>
      <c r="Q16" s="211">
        <v>92912.800385606184</v>
      </c>
      <c r="R16" s="211">
        <v>67043.489533450789</v>
      </c>
      <c r="S16" s="211">
        <v>53393.912849626591</v>
      </c>
      <c r="T16" s="211">
        <v>48623.820123390549</v>
      </c>
      <c r="U16" s="211">
        <v>46958.901031951507</v>
      </c>
      <c r="V16" s="211">
        <v>55751.514785474777</v>
      </c>
      <c r="W16" s="211">
        <v>65453.897081137358</v>
      </c>
      <c r="X16" s="211">
        <v>51298.121793024278</v>
      </c>
      <c r="Y16" s="211">
        <v>63595.347643358364</v>
      </c>
      <c r="Z16" s="211">
        <v>57624.676872010074</v>
      </c>
      <c r="AA16" s="211">
        <v>65864.74653656187</v>
      </c>
      <c r="AB16" s="211">
        <v>54522.644867750547</v>
      </c>
      <c r="AC16" s="211">
        <v>51081.765470744038</v>
      </c>
    </row>
    <row r="17" spans="1:29" s="31" customFormat="1" ht="18" customHeight="1" x14ac:dyDescent="0.2">
      <c r="A17" s="73"/>
      <c r="B17" s="73"/>
      <c r="C17" s="73"/>
      <c r="D17" s="390" t="s">
        <v>362</v>
      </c>
      <c r="E17" s="390"/>
      <c r="F17" s="390"/>
      <c r="G17" s="390"/>
      <c r="H17" s="390"/>
      <c r="I17" s="390"/>
      <c r="J17" s="390"/>
      <c r="K17" s="68">
        <v>22112.951062778102</v>
      </c>
      <c r="L17" s="68">
        <v>18787.830349531116</v>
      </c>
      <c r="M17" s="68">
        <v>6337.6674305611878</v>
      </c>
      <c r="N17" s="68">
        <v>21106.734119770317</v>
      </c>
      <c r="O17" s="68">
        <v>23548.119248211653</v>
      </c>
      <c r="P17" s="68">
        <v>23677.345500126728</v>
      </c>
      <c r="Q17" s="68">
        <v>29149.806265059688</v>
      </c>
      <c r="R17" s="68">
        <v>20190.320270314071</v>
      </c>
      <c r="S17" s="68">
        <v>16861.529605302894</v>
      </c>
      <c r="T17" s="68">
        <v>20387.275462572892</v>
      </c>
      <c r="U17" s="68">
        <v>12501.401649000753</v>
      </c>
      <c r="V17" s="68">
        <v>18133.787953021299</v>
      </c>
      <c r="W17" s="68">
        <v>14937.159937173197</v>
      </c>
      <c r="X17" s="68">
        <v>13881.707774179631</v>
      </c>
      <c r="Y17" s="68">
        <v>17935.561276305816</v>
      </c>
      <c r="Z17" s="68">
        <v>17724.350080226668</v>
      </c>
      <c r="AA17" s="68">
        <v>23500.063727261775</v>
      </c>
      <c r="AB17" s="68">
        <v>17322.954016015534</v>
      </c>
      <c r="AC17" s="68">
        <v>14356.832049121116</v>
      </c>
    </row>
    <row r="18" spans="1:29" s="31" customFormat="1" ht="18" customHeight="1" x14ac:dyDescent="0.2">
      <c r="A18" s="73"/>
      <c r="B18" s="73"/>
      <c r="C18" s="73"/>
      <c r="D18" s="382" t="s">
        <v>80</v>
      </c>
      <c r="E18" s="382"/>
      <c r="F18" s="382"/>
      <c r="G18" s="382"/>
      <c r="H18" s="382"/>
      <c r="I18" s="382"/>
      <c r="J18" s="382"/>
      <c r="K18" s="69">
        <v>13511.616411270399</v>
      </c>
      <c r="L18" s="69">
        <v>7012.8942881500425</v>
      </c>
      <c r="M18" s="69">
        <v>3830.3828580304435</v>
      </c>
      <c r="N18" s="69">
        <v>9892.3535606041951</v>
      </c>
      <c r="O18" s="69">
        <v>9675.4635370558517</v>
      </c>
      <c r="P18" s="69">
        <v>12266.59135055124</v>
      </c>
      <c r="Q18" s="69">
        <v>11872.140210671514</v>
      </c>
      <c r="R18" s="69">
        <v>8663.0437269382146</v>
      </c>
      <c r="S18" s="69">
        <v>7062.148895920197</v>
      </c>
      <c r="T18" s="69">
        <v>7014.2096846618397</v>
      </c>
      <c r="U18" s="69">
        <v>6109.8199427575219</v>
      </c>
      <c r="V18" s="69">
        <v>9213.136049738041</v>
      </c>
      <c r="W18" s="69">
        <v>7650.2079967747777</v>
      </c>
      <c r="X18" s="69">
        <v>5875.489911318451</v>
      </c>
      <c r="Y18" s="69">
        <v>13060.185200313703</v>
      </c>
      <c r="Z18" s="69">
        <v>10982.009090234267</v>
      </c>
      <c r="AA18" s="69">
        <v>14343.365136730516</v>
      </c>
      <c r="AB18" s="69">
        <v>9656.7054113079357</v>
      </c>
      <c r="AC18" s="69">
        <v>9233.3569708644372</v>
      </c>
    </row>
    <row r="19" spans="1:29" s="31" customFormat="1" ht="18" customHeight="1" x14ac:dyDescent="0.2">
      <c r="A19" s="73"/>
      <c r="B19" s="73"/>
      <c r="C19" s="73"/>
      <c r="D19" s="382" t="s">
        <v>81</v>
      </c>
      <c r="E19" s="382"/>
      <c r="F19" s="382"/>
      <c r="G19" s="382"/>
      <c r="H19" s="382"/>
      <c r="I19" s="382"/>
      <c r="J19" s="382"/>
      <c r="K19" s="69">
        <v>4147.8002965892201</v>
      </c>
      <c r="L19" s="69">
        <v>5813.405797101449</v>
      </c>
      <c r="M19" s="69">
        <v>3562.0211840269048</v>
      </c>
      <c r="N19" s="69">
        <v>3099.0471523249612</v>
      </c>
      <c r="O19" s="69">
        <v>4025.7117591608439</v>
      </c>
      <c r="P19" s="69">
        <v>4865.7746227795324</v>
      </c>
      <c r="Q19" s="69">
        <v>3678.9235856573341</v>
      </c>
      <c r="R19" s="69">
        <v>2372.6933777622353</v>
      </c>
      <c r="S19" s="69">
        <v>2945.5213874991055</v>
      </c>
      <c r="T19" s="69">
        <v>2024.6175301503411</v>
      </c>
      <c r="U19" s="69">
        <v>2666.3007571782464</v>
      </c>
      <c r="V19" s="69">
        <v>2877.3885952978235</v>
      </c>
      <c r="W19" s="69">
        <v>3194.9663221676847</v>
      </c>
      <c r="X19" s="69">
        <v>2533.4385596190546</v>
      </c>
      <c r="Y19" s="69">
        <v>4711.7519533388395</v>
      </c>
      <c r="Z19" s="69">
        <v>2617.4587060662707</v>
      </c>
      <c r="AA19" s="69">
        <v>3934.5380074689797</v>
      </c>
      <c r="AB19" s="69">
        <v>3153.6898810968214</v>
      </c>
      <c r="AC19" s="69">
        <v>4305.8661208764743</v>
      </c>
    </row>
    <row r="20" spans="1:29" s="31" customFormat="1" ht="18" customHeight="1" x14ac:dyDescent="0.2">
      <c r="A20" s="73"/>
      <c r="B20" s="73"/>
      <c r="C20" s="73"/>
      <c r="D20" s="382" t="s">
        <v>508</v>
      </c>
      <c r="E20" s="382"/>
      <c r="F20" s="382"/>
      <c r="G20" s="382"/>
      <c r="H20" s="382"/>
      <c r="I20" s="382"/>
      <c r="J20" s="382"/>
      <c r="K20" s="69"/>
      <c r="L20" s="69"/>
      <c r="M20" s="69"/>
      <c r="N20" s="69"/>
      <c r="O20" s="69"/>
      <c r="P20" s="69"/>
      <c r="Q20" s="69">
        <v>312.80110069781892</v>
      </c>
      <c r="R20" s="69">
        <v>233.25529756756922</v>
      </c>
      <c r="S20" s="69">
        <v>505.30087933422396</v>
      </c>
      <c r="T20" s="69">
        <v>387.65175346310627</v>
      </c>
      <c r="U20" s="69">
        <v>748.31167177671557</v>
      </c>
      <c r="V20" s="69">
        <v>269.29590981241773</v>
      </c>
      <c r="W20" s="69">
        <v>740.13500197260805</v>
      </c>
      <c r="X20" s="69">
        <v>492.86996481120792</v>
      </c>
      <c r="Y20" s="69">
        <v>150.86641300497374</v>
      </c>
      <c r="Z20" s="69"/>
      <c r="AA20" s="69"/>
      <c r="AB20" s="69"/>
      <c r="AC20" s="69"/>
    </row>
    <row r="21" spans="1:29" s="31" customFormat="1" ht="18" customHeight="1" x14ac:dyDescent="0.2">
      <c r="A21" s="73"/>
      <c r="B21" s="73"/>
      <c r="C21" s="73"/>
      <c r="D21" s="382" t="s">
        <v>82</v>
      </c>
      <c r="E21" s="382"/>
      <c r="F21" s="382"/>
      <c r="G21" s="382"/>
      <c r="H21" s="382"/>
      <c r="I21" s="382"/>
      <c r="J21" s="382"/>
      <c r="K21" s="69">
        <v>24659.787444389498</v>
      </c>
      <c r="L21" s="69">
        <v>47341.538789428814</v>
      </c>
      <c r="M21" s="69">
        <v>25574.037143451184</v>
      </c>
      <c r="N21" s="69">
        <v>29943.28113985659</v>
      </c>
      <c r="O21" s="69">
        <v>27862.989459665972</v>
      </c>
      <c r="P21" s="69">
        <v>36833.90908148179</v>
      </c>
      <c r="Q21" s="69">
        <v>50518.939751471175</v>
      </c>
      <c r="R21" s="69">
        <v>38835.996053227296</v>
      </c>
      <c r="S21" s="69">
        <v>30495.767232751732</v>
      </c>
      <c r="T21" s="69">
        <v>22376.116329860728</v>
      </c>
      <c r="U21" s="69">
        <v>26820.471863327111</v>
      </c>
      <c r="V21" s="69">
        <v>26842.67688092868</v>
      </c>
      <c r="W21" s="69">
        <v>42160.600880132006</v>
      </c>
      <c r="X21" s="69">
        <v>29953.828060201842</v>
      </c>
      <c r="Y21" s="69">
        <v>30966.314686104488</v>
      </c>
      <c r="Z21" s="69">
        <v>29223.261368335672</v>
      </c>
      <c r="AA21" s="69">
        <v>33977.451873268277</v>
      </c>
      <c r="AB21" s="69">
        <v>28858.498786702257</v>
      </c>
      <c r="AC21" s="69">
        <v>28839.974355887309</v>
      </c>
    </row>
    <row r="22" spans="1:29" s="31" customFormat="1" ht="18" customHeight="1" x14ac:dyDescent="0.2">
      <c r="A22" s="73"/>
      <c r="B22" s="73"/>
      <c r="C22" s="73"/>
      <c r="D22" s="382" t="s">
        <v>83</v>
      </c>
      <c r="E22" s="382"/>
      <c r="F22" s="382"/>
      <c r="G22" s="382"/>
      <c r="H22" s="382"/>
      <c r="I22" s="382"/>
      <c r="J22" s="382"/>
      <c r="K22" s="69">
        <v>333.04498269896203</v>
      </c>
      <c r="L22" s="69">
        <v>159.63341858482525</v>
      </c>
      <c r="M22" s="69">
        <v>0</v>
      </c>
      <c r="N22" s="69">
        <v>259.4968658711324</v>
      </c>
      <c r="O22" s="69">
        <v>334.57518730652498</v>
      </c>
      <c r="P22" s="69">
        <v>35.633409031589359</v>
      </c>
      <c r="Q22" s="69">
        <v>2458.3285000171663</v>
      </c>
      <c r="R22" s="69">
        <v>11.002695840744535</v>
      </c>
      <c r="S22" s="69">
        <v>37.454559970944317</v>
      </c>
      <c r="T22" s="69">
        <v>32.207524887075216</v>
      </c>
      <c r="U22" s="69">
        <v>1.6112728697235048</v>
      </c>
      <c r="V22" s="69">
        <v>155.59531759204648</v>
      </c>
      <c r="W22" s="69">
        <v>3.956795600768082</v>
      </c>
      <c r="X22" s="69">
        <v>164.91323522089007</v>
      </c>
      <c r="Y22" s="69">
        <v>1139.3426416162924</v>
      </c>
      <c r="Z22" s="69">
        <v>756.51842761295848</v>
      </c>
      <c r="AA22" s="69">
        <v>929.43006866642565</v>
      </c>
      <c r="AB22" s="69">
        <v>565.17240960931815</v>
      </c>
      <c r="AC22" s="69">
        <v>433.89597881049843</v>
      </c>
    </row>
    <row r="23" spans="1:29" s="31" customFormat="1" ht="18" customHeight="1" x14ac:dyDescent="0.2">
      <c r="A23" s="73"/>
      <c r="B23" s="73"/>
      <c r="C23" s="73"/>
      <c r="D23" s="382" t="s">
        <v>363</v>
      </c>
      <c r="E23" s="382"/>
      <c r="F23" s="382"/>
      <c r="G23" s="382"/>
      <c r="H23" s="382"/>
      <c r="I23" s="382"/>
      <c r="J23" s="382"/>
      <c r="K23" s="69"/>
      <c r="L23" s="69"/>
      <c r="M23" s="69"/>
      <c r="N23" s="69"/>
      <c r="O23" s="69">
        <v>287.68966312893696</v>
      </c>
      <c r="P23" s="69">
        <v>230.24034259915322</v>
      </c>
      <c r="Q23" s="69">
        <v>77.332401171217086</v>
      </c>
      <c r="R23" s="69">
        <v>106.35067617596673</v>
      </c>
      <c r="S23" s="69">
        <v>158.48019413273562</v>
      </c>
      <c r="T23" s="69">
        <v>140.39460194795407</v>
      </c>
      <c r="U23" s="69">
        <v>93.405406399299395</v>
      </c>
      <c r="V23" s="69">
        <v>917.37846260040862</v>
      </c>
      <c r="W23" s="69">
        <v>334.3137297180977</v>
      </c>
      <c r="X23" s="69">
        <v>594.91578416041978</v>
      </c>
      <c r="Y23" s="69">
        <v>1912.9354968396126</v>
      </c>
      <c r="Z23" s="69">
        <v>3215.3465842102732</v>
      </c>
      <c r="AA23" s="69">
        <v>4291.4423563426244</v>
      </c>
      <c r="AB23" s="69">
        <v>840.24156758067784</v>
      </c>
      <c r="AC23" s="69">
        <v>2171.3396339995143</v>
      </c>
    </row>
    <row r="24" spans="1:29" s="31" customFormat="1" ht="18" customHeight="1" x14ac:dyDescent="0.2">
      <c r="A24" s="73"/>
      <c r="B24" s="73"/>
      <c r="C24" s="73"/>
      <c r="D24" s="380" t="s">
        <v>364</v>
      </c>
      <c r="E24" s="380"/>
      <c r="F24" s="380"/>
      <c r="G24" s="380"/>
      <c r="H24" s="380"/>
      <c r="I24" s="380"/>
      <c r="J24" s="380"/>
      <c r="K24" s="70"/>
      <c r="L24" s="70"/>
      <c r="M24" s="70"/>
      <c r="N24" s="70">
        <v>-2414.9282492167722</v>
      </c>
      <c r="O24" s="70">
        <v>-8680.9488327213367</v>
      </c>
      <c r="P24" s="70">
        <v>-7386.2130280966758</v>
      </c>
      <c r="Q24" s="70">
        <v>-5155.4714291396649</v>
      </c>
      <c r="R24" s="70">
        <v>-3369.1725643752948</v>
      </c>
      <c r="S24" s="70">
        <v>-4672.2899052852063</v>
      </c>
      <c r="T24" s="70">
        <v>-3738.6527641533953</v>
      </c>
      <c r="U24" s="70">
        <v>-1982.4215313578813</v>
      </c>
      <c r="V24" s="70">
        <v>-2657.7443835159388</v>
      </c>
      <c r="W24" s="70">
        <v>-3567.443582401776</v>
      </c>
      <c r="X24" s="70">
        <v>-2199.0414964872057</v>
      </c>
      <c r="Y24" s="70">
        <v>-6281.610024165343</v>
      </c>
      <c r="Z24" s="70">
        <v>-6894.2673846760399</v>
      </c>
      <c r="AA24" s="70">
        <v>-15111.544633176725</v>
      </c>
      <c r="AB24" s="70">
        <v>-5874.6172045619996</v>
      </c>
      <c r="AC24" s="70">
        <v>-8259.499638815314</v>
      </c>
    </row>
    <row r="25" spans="1:29" s="31" customFormat="1" ht="18" customHeight="1" x14ac:dyDescent="0.2">
      <c r="A25" s="73"/>
      <c r="B25" s="73"/>
      <c r="C25" s="381" t="s">
        <v>84</v>
      </c>
      <c r="D25" s="343"/>
      <c r="E25" s="343"/>
      <c r="F25" s="343"/>
      <c r="G25" s="343"/>
      <c r="H25" s="343"/>
      <c r="I25" s="343"/>
      <c r="J25" s="343"/>
      <c r="K25" s="71">
        <v>1469.2288680178001</v>
      </c>
      <c r="L25" s="71">
        <v>1586.6368286445011</v>
      </c>
      <c r="M25" s="71">
        <v>1120.3503972884359</v>
      </c>
      <c r="N25" s="71">
        <v>504.29911202465871</v>
      </c>
      <c r="O25" s="71">
        <v>477.1777291866407</v>
      </c>
      <c r="P25" s="71">
        <v>513.0720740371255</v>
      </c>
      <c r="Q25" s="71">
        <v>873.98208352985546</v>
      </c>
      <c r="R25" s="71">
        <v>1205.6205688732723</v>
      </c>
      <c r="S25" s="71">
        <v>563.90664271885498</v>
      </c>
      <c r="T25" s="71">
        <v>479.52491264539816</v>
      </c>
      <c r="U25" s="71">
        <v>479.05893156891796</v>
      </c>
      <c r="V25" s="71">
        <v>958.68694947103461</v>
      </c>
      <c r="W25" s="71">
        <v>585.45770465879252</v>
      </c>
      <c r="X25" s="71">
        <v>451.97728031715866</v>
      </c>
      <c r="Y25" s="71">
        <v>2084.0867976242921</v>
      </c>
      <c r="Z25" s="71">
        <v>883.24016992153804</v>
      </c>
      <c r="AA25" s="71">
        <v>790.53788700156611</v>
      </c>
      <c r="AB25" s="71">
        <v>1464.4799805872362</v>
      </c>
      <c r="AC25" s="71">
        <v>821.65169756802311</v>
      </c>
    </row>
    <row r="26" spans="1:29"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175.3099750005446</v>
      </c>
      <c r="AA26" s="211">
        <v>339.40127695458375</v>
      </c>
      <c r="AB26" s="211">
        <v>769.60482892501818</v>
      </c>
      <c r="AC26" s="211">
        <v>554.15627257404287</v>
      </c>
    </row>
    <row r="27" spans="1:29" s="31" customFormat="1" ht="18" customHeight="1" x14ac:dyDescent="0.2">
      <c r="A27" s="73"/>
      <c r="B27" s="73"/>
      <c r="C27" s="381" t="s">
        <v>85</v>
      </c>
      <c r="D27" s="381"/>
      <c r="E27" s="381"/>
      <c r="F27" s="381"/>
      <c r="G27" s="381"/>
      <c r="H27" s="381"/>
      <c r="I27" s="381"/>
      <c r="J27" s="381"/>
      <c r="K27" s="211">
        <v>12188.334157192301</v>
      </c>
      <c r="L27" s="211">
        <v>11573.955669224211</v>
      </c>
      <c r="M27" s="211">
        <v>14630.145118877785</v>
      </c>
      <c r="N27" s="211">
        <v>14066.020920153609</v>
      </c>
      <c r="O27" s="211">
        <v>9847.0423667818886</v>
      </c>
      <c r="P27" s="211">
        <v>21607.377557298398</v>
      </c>
      <c r="Q27" s="211">
        <v>22935.170202169451</v>
      </c>
      <c r="R27" s="211">
        <v>8561.8881948181133</v>
      </c>
      <c r="S27" s="211">
        <v>7835.4036933467978</v>
      </c>
      <c r="T27" s="211">
        <v>10907.291252828225</v>
      </c>
      <c r="U27" s="211">
        <v>10925.350109118994</v>
      </c>
      <c r="V27" s="211">
        <v>15898.914196562997</v>
      </c>
      <c r="W27" s="211">
        <v>14620.312812548906</v>
      </c>
      <c r="X27" s="211">
        <v>16041.3632348993</v>
      </c>
      <c r="Y27" s="211">
        <v>26389.135337033771</v>
      </c>
      <c r="Z27" s="211">
        <v>12338.238901719031</v>
      </c>
      <c r="AA27" s="211">
        <v>17617.408866401638</v>
      </c>
      <c r="AB27" s="211">
        <v>23284.581776267896</v>
      </c>
      <c r="AC27" s="211">
        <v>15054.803515530943</v>
      </c>
    </row>
    <row r="28" spans="1:29" s="31" customFormat="1" ht="18" customHeight="1" x14ac:dyDescent="0.2">
      <c r="A28" s="74"/>
      <c r="B28" s="343" t="s">
        <v>86</v>
      </c>
      <c r="C28" s="343"/>
      <c r="D28" s="343"/>
      <c r="E28" s="343"/>
      <c r="F28" s="343"/>
      <c r="G28" s="343"/>
      <c r="H28" s="343"/>
      <c r="I28" s="343"/>
      <c r="J28" s="343"/>
      <c r="K28" s="71">
        <v>543.994068215521</v>
      </c>
      <c r="L28" s="71">
        <v>97.719522591645344</v>
      </c>
      <c r="M28" s="71">
        <v>273.47182239285473</v>
      </c>
      <c r="N28" s="71">
        <v>126.07844560486863</v>
      </c>
      <c r="O28" s="71">
        <v>338.35310212066656</v>
      </c>
      <c r="P28" s="71">
        <v>170.27814116768027</v>
      </c>
      <c r="Q28" s="71">
        <v>136.95233215982879</v>
      </c>
      <c r="R28" s="71">
        <v>24.904885478731721</v>
      </c>
      <c r="S28" s="71">
        <v>911.55918415378324</v>
      </c>
      <c r="T28" s="71">
        <v>128.94668560948276</v>
      </c>
      <c r="U28" s="71">
        <v>116.07831964131891</v>
      </c>
      <c r="V28" s="71">
        <v>449.70455291948019</v>
      </c>
      <c r="W28" s="71">
        <v>479.54073545197718</v>
      </c>
      <c r="X28" s="71">
        <v>536.59561778995237</v>
      </c>
      <c r="Y28" s="71">
        <v>52.841089691984372</v>
      </c>
      <c r="Z28" s="71">
        <v>247.95922216633139</v>
      </c>
      <c r="AA28" s="71">
        <v>193.07721961209492</v>
      </c>
      <c r="AB28" s="71">
        <v>268.88692065032762</v>
      </c>
      <c r="AC28" s="71">
        <v>646.10606790272084</v>
      </c>
    </row>
    <row r="29" spans="1:29" s="31" customFormat="1" ht="18" customHeight="1" x14ac:dyDescent="0.2">
      <c r="A29" s="383" t="s">
        <v>87</v>
      </c>
      <c r="B29" s="383"/>
      <c r="C29" s="383"/>
      <c r="D29" s="383"/>
      <c r="E29" s="383"/>
      <c r="F29" s="383"/>
      <c r="G29" s="383"/>
      <c r="H29" s="383"/>
      <c r="I29" s="383"/>
      <c r="J29" s="383"/>
      <c r="K29" s="188">
        <v>172019.03114186903</v>
      </c>
      <c r="L29" s="188">
        <v>212450.44757033247</v>
      </c>
      <c r="M29" s="188">
        <v>154580.10133306755</v>
      </c>
      <c r="N29" s="188">
        <v>171774.86786850065</v>
      </c>
      <c r="O29" s="188">
        <v>163112.00143486558</v>
      </c>
      <c r="P29" s="188">
        <v>199954.09914388359</v>
      </c>
      <c r="Q29" s="188">
        <v>237743.32485038225</v>
      </c>
      <c r="R29" s="188">
        <v>157889.46589738407</v>
      </c>
      <c r="S29" s="188">
        <v>152668.71520667465</v>
      </c>
      <c r="T29" s="188">
        <v>134108.25605754138</v>
      </c>
      <c r="U29" s="188">
        <v>137052.87628909614</v>
      </c>
      <c r="V29" s="188">
        <v>183219.29010029873</v>
      </c>
      <c r="W29" s="188">
        <v>190694.49508048844</v>
      </c>
      <c r="X29" s="188">
        <v>152192.89357523341</v>
      </c>
      <c r="Y29" s="188">
        <v>194326.10431526855</v>
      </c>
      <c r="Z29" s="188">
        <v>164368.49354175248</v>
      </c>
      <c r="AA29" s="188">
        <v>201989.22623780268</v>
      </c>
      <c r="AB29" s="188">
        <v>195507.99199223489</v>
      </c>
      <c r="AC29" s="188">
        <v>178802.13111004094</v>
      </c>
    </row>
    <row r="30" spans="1:29" s="31" customFormat="1" ht="18" customHeight="1" x14ac:dyDescent="0.2">
      <c r="A30" s="73"/>
      <c r="B30" s="381" t="s">
        <v>88</v>
      </c>
      <c r="C30" s="381"/>
      <c r="D30" s="381"/>
      <c r="E30" s="381"/>
      <c r="F30" s="381"/>
      <c r="G30" s="381"/>
      <c r="H30" s="381"/>
      <c r="I30" s="381"/>
      <c r="J30" s="381"/>
      <c r="K30" s="211">
        <v>120535.714285714</v>
      </c>
      <c r="L30" s="211">
        <v>162943.30775788578</v>
      </c>
      <c r="M30" s="211">
        <v>105881.71609966896</v>
      </c>
      <c r="N30" s="211">
        <v>105813.02053262552</v>
      </c>
      <c r="O30" s="211">
        <v>112875.50673177226</v>
      </c>
      <c r="P30" s="211">
        <v>133868.88800736287</v>
      </c>
      <c r="Q30" s="211">
        <v>151798.58071301051</v>
      </c>
      <c r="R30" s="211">
        <v>125937.18834168522</v>
      </c>
      <c r="S30" s="211">
        <v>106984.50041396102</v>
      </c>
      <c r="T30" s="211">
        <v>85887.198868225911</v>
      </c>
      <c r="U30" s="211">
        <v>90475.577825483648</v>
      </c>
      <c r="V30" s="211">
        <v>102601.98610250725</v>
      </c>
      <c r="W30" s="211">
        <v>104613.29800002038</v>
      </c>
      <c r="X30" s="211">
        <v>99150.051606963752</v>
      </c>
      <c r="Y30" s="211">
        <v>104432.88748899485</v>
      </c>
      <c r="Z30" s="211">
        <v>105363.40753894871</v>
      </c>
      <c r="AA30" s="211">
        <v>124232.55125888449</v>
      </c>
      <c r="AB30" s="211">
        <v>110947.58480951225</v>
      </c>
      <c r="AC30" s="211">
        <v>112805.9567782326</v>
      </c>
    </row>
    <row r="31" spans="1:29" s="31" customFormat="1" ht="18" customHeight="1" x14ac:dyDescent="0.2">
      <c r="A31" s="73"/>
      <c r="B31" s="73"/>
      <c r="C31" s="381" t="s">
        <v>89</v>
      </c>
      <c r="D31" s="381"/>
      <c r="E31" s="381"/>
      <c r="F31" s="381"/>
      <c r="G31" s="381"/>
      <c r="H31" s="381"/>
      <c r="I31" s="381"/>
      <c r="J31" s="381"/>
      <c r="K31" s="211">
        <v>67522.614928324299</v>
      </c>
      <c r="L31" s="211">
        <v>87102.514919011082</v>
      </c>
      <c r="M31" s="211">
        <v>51867.200044395555</v>
      </c>
      <c r="N31" s="211">
        <v>55272.38538641356</v>
      </c>
      <c r="O31" s="211">
        <v>51772.88909532586</v>
      </c>
      <c r="P31" s="211">
        <v>71997.924791516474</v>
      </c>
      <c r="Q31" s="211">
        <v>77318.812339039374</v>
      </c>
      <c r="R31" s="211">
        <v>59287.241770888366</v>
      </c>
      <c r="S31" s="211">
        <v>55908.537994868449</v>
      </c>
      <c r="T31" s="211">
        <v>37060.98893124146</v>
      </c>
      <c r="U31" s="211">
        <v>42072.937331139838</v>
      </c>
      <c r="V31" s="211">
        <v>45992.865681720614</v>
      </c>
      <c r="W31" s="211">
        <v>55289.984589177504</v>
      </c>
      <c r="X31" s="211">
        <v>52312.235662032166</v>
      </c>
      <c r="Y31" s="211">
        <v>49171.430786864672</v>
      </c>
      <c r="Z31" s="211">
        <v>53140.351349938181</v>
      </c>
      <c r="AA31" s="211">
        <v>65982.051800987829</v>
      </c>
      <c r="AB31" s="211">
        <v>52489.174836204802</v>
      </c>
      <c r="AC31" s="211">
        <v>65174.089934986769</v>
      </c>
    </row>
    <row r="32" spans="1:29" s="31" customFormat="1" ht="18" customHeight="1" x14ac:dyDescent="0.2">
      <c r="A32" s="73"/>
      <c r="B32" s="73"/>
      <c r="C32" s="73"/>
      <c r="D32" s="390" t="s">
        <v>90</v>
      </c>
      <c r="E32" s="390"/>
      <c r="F32" s="390"/>
      <c r="G32" s="390"/>
      <c r="H32" s="390"/>
      <c r="I32" s="390"/>
      <c r="J32" s="390"/>
      <c r="K32" s="68">
        <v>28577.360355907098</v>
      </c>
      <c r="L32" s="68">
        <v>26867.433930093779</v>
      </c>
      <c r="M32" s="68">
        <v>25358.542342255274</v>
      </c>
      <c r="N32" s="68">
        <v>20016.484496343142</v>
      </c>
      <c r="O32" s="68">
        <v>21642.98171075674</v>
      </c>
      <c r="P32" s="68">
        <v>27467.804875385336</v>
      </c>
      <c r="Q32" s="68">
        <v>29440.139955526043</v>
      </c>
      <c r="R32" s="68">
        <v>22950.386601845647</v>
      </c>
      <c r="S32" s="68">
        <v>19261.297602343577</v>
      </c>
      <c r="T32" s="68">
        <v>12362.251293045589</v>
      </c>
      <c r="U32" s="68">
        <v>16794.079399274473</v>
      </c>
      <c r="V32" s="68">
        <v>18267.136994643221</v>
      </c>
      <c r="W32" s="68">
        <v>25073.92489980517</v>
      </c>
      <c r="X32" s="68">
        <v>17859.70073093941</v>
      </c>
      <c r="Y32" s="68">
        <v>23229.247015183646</v>
      </c>
      <c r="Z32" s="68">
        <v>18402.174666868894</v>
      </c>
      <c r="AA32" s="68">
        <v>24281.876039031442</v>
      </c>
      <c r="AB32" s="68">
        <v>20541.283062363505</v>
      </c>
      <c r="AC32" s="68">
        <v>25700.479171683121</v>
      </c>
    </row>
    <row r="33" spans="1:29" s="31" customFormat="1" ht="18" customHeight="1" x14ac:dyDescent="0.2">
      <c r="A33" s="73"/>
      <c r="B33" s="73"/>
      <c r="C33" s="73"/>
      <c r="D33" s="382" t="s">
        <v>91</v>
      </c>
      <c r="E33" s="382"/>
      <c r="F33" s="382"/>
      <c r="G33" s="382"/>
      <c r="H33" s="382"/>
      <c r="I33" s="382"/>
      <c r="J33" s="382"/>
      <c r="K33" s="69">
        <v>17963.914977755801</v>
      </c>
      <c r="L33" s="69">
        <v>36979.539641943731</v>
      </c>
      <c r="M33" s="69">
        <v>10826.400845574353</v>
      </c>
      <c r="N33" s="69">
        <v>11504.550451200259</v>
      </c>
      <c r="O33" s="69">
        <v>12033.729995372722</v>
      </c>
      <c r="P33" s="69">
        <v>21538.867593387255</v>
      </c>
      <c r="Q33" s="69">
        <v>18214.595986443877</v>
      </c>
      <c r="R33" s="69">
        <v>12556.744712747062</v>
      </c>
      <c r="S33" s="69">
        <v>13903.700706079442</v>
      </c>
      <c r="T33" s="69">
        <v>9333.6946159151375</v>
      </c>
      <c r="U33" s="69">
        <v>11419.01623704236</v>
      </c>
      <c r="V33" s="69">
        <v>12066.940205915505</v>
      </c>
      <c r="W33" s="69">
        <v>10991.118546622534</v>
      </c>
      <c r="X33" s="69">
        <v>16459.882261710205</v>
      </c>
      <c r="Y33" s="69">
        <v>6861.2743528045085</v>
      </c>
      <c r="Z33" s="69">
        <v>15983.363501016485</v>
      </c>
      <c r="AA33" s="69">
        <v>19012.181062522584</v>
      </c>
      <c r="AB33" s="69">
        <v>14408.816064062121</v>
      </c>
      <c r="AC33" s="69">
        <v>16322.755477967736</v>
      </c>
    </row>
    <row r="34" spans="1:29" s="31" customFormat="1" ht="18" customHeight="1" x14ac:dyDescent="0.2">
      <c r="A34" s="73"/>
      <c r="B34" s="73"/>
      <c r="C34" s="73"/>
      <c r="D34" s="382" t="s">
        <v>92</v>
      </c>
      <c r="E34" s="382"/>
      <c r="F34" s="382"/>
      <c r="G34" s="382"/>
      <c r="H34" s="382"/>
      <c r="I34" s="382"/>
      <c r="J34" s="382"/>
      <c r="K34" s="69">
        <v>7485.1705388037599</v>
      </c>
      <c r="L34" s="69">
        <v>9239.8763853367418</v>
      </c>
      <c r="M34" s="69">
        <v>6611.918507792363</v>
      </c>
      <c r="N34" s="69">
        <v>9056.2915833365187</v>
      </c>
      <c r="O34" s="69">
        <v>8223.2931498601374</v>
      </c>
      <c r="P34" s="69">
        <v>10407.442758780093</v>
      </c>
      <c r="Q34" s="69">
        <v>11338.298049801326</v>
      </c>
      <c r="R34" s="69">
        <v>7302.8122938227862</v>
      </c>
      <c r="S34" s="69">
        <v>9505.6428945186435</v>
      </c>
      <c r="T34" s="69">
        <v>6599.0614849327158</v>
      </c>
      <c r="U34" s="69">
        <v>4111.537180307454</v>
      </c>
      <c r="V34" s="69">
        <v>5496.3026102861832</v>
      </c>
      <c r="W34" s="69">
        <v>3691.24213294422</v>
      </c>
      <c r="X34" s="69">
        <v>6908.400191876558</v>
      </c>
      <c r="Y34" s="69">
        <v>4158.9487923079841</v>
      </c>
      <c r="Z34" s="69">
        <v>6936.1751689586163</v>
      </c>
      <c r="AA34" s="69">
        <v>6408.8132755089755</v>
      </c>
      <c r="AB34" s="69">
        <v>5097.0094637223983</v>
      </c>
      <c r="AC34" s="69">
        <v>10597.207681194317</v>
      </c>
    </row>
    <row r="35" spans="1:29" s="31" customFormat="1" ht="18" customHeight="1" x14ac:dyDescent="0.2">
      <c r="A35" s="73"/>
      <c r="B35" s="73"/>
      <c r="C35" s="73"/>
      <c r="D35" s="382" t="s">
        <v>509</v>
      </c>
      <c r="E35" s="382"/>
      <c r="F35" s="382"/>
      <c r="G35" s="382"/>
      <c r="H35" s="382"/>
      <c r="I35" s="382"/>
      <c r="J35" s="382"/>
      <c r="K35" s="69"/>
      <c r="L35" s="69"/>
      <c r="M35" s="69"/>
      <c r="N35" s="69"/>
      <c r="O35" s="69"/>
      <c r="P35" s="69"/>
      <c r="Q35" s="69">
        <v>737.72610870695075</v>
      </c>
      <c r="R35" s="69">
        <v>26.35725084789183</v>
      </c>
      <c r="S35" s="69">
        <v>56.798957453365318</v>
      </c>
      <c r="T35" s="69">
        <v>63.679931572178255</v>
      </c>
      <c r="U35" s="69">
        <v>160.97836828058283</v>
      </c>
      <c r="V35" s="69">
        <v>72.948965730034004</v>
      </c>
      <c r="W35" s="69">
        <v>205.02110602403809</v>
      </c>
      <c r="X35" s="69">
        <v>67.820499241723113</v>
      </c>
      <c r="Y35" s="69">
        <v>144.82697899991399</v>
      </c>
      <c r="Z35" s="69"/>
      <c r="AA35" s="69"/>
      <c r="AB35" s="69"/>
      <c r="AC35" s="69"/>
    </row>
    <row r="36" spans="1:29" s="31" customFormat="1" ht="18" customHeight="1" x14ac:dyDescent="0.2">
      <c r="A36" s="73"/>
      <c r="B36" s="73"/>
      <c r="C36" s="73"/>
      <c r="D36" s="380" t="s">
        <v>93</v>
      </c>
      <c r="E36" s="380"/>
      <c r="F36" s="380"/>
      <c r="G36" s="380"/>
      <c r="H36" s="380"/>
      <c r="I36" s="380"/>
      <c r="J36" s="380"/>
      <c r="K36" s="70">
        <v>13496.169055857599</v>
      </c>
      <c r="L36" s="70">
        <v>14015.558397271952</v>
      </c>
      <c r="M36" s="70">
        <v>9070.3383487736646</v>
      </c>
      <c r="N36" s="70">
        <v>14695.058855533645</v>
      </c>
      <c r="O36" s="70">
        <v>9872.8842393362575</v>
      </c>
      <c r="P36" s="70">
        <v>12583.80956396375</v>
      </c>
      <c r="Q36" s="70">
        <v>17588.052238561177</v>
      </c>
      <c r="R36" s="70">
        <v>16450.940911624941</v>
      </c>
      <c r="S36" s="70">
        <v>13181.097834473449</v>
      </c>
      <c r="T36" s="70">
        <v>8702.3016057758541</v>
      </c>
      <c r="U36" s="70">
        <v>9587.3261462349783</v>
      </c>
      <c r="V36" s="70">
        <v>10089.536905145673</v>
      </c>
      <c r="W36" s="70">
        <v>15328.67790378149</v>
      </c>
      <c r="X36" s="70">
        <v>11016.431978264285</v>
      </c>
      <c r="Y36" s="70">
        <v>14777.133647568624</v>
      </c>
      <c r="Z36" s="70">
        <v>11818.638013094183</v>
      </c>
      <c r="AA36" s="70">
        <v>16279.181423924827</v>
      </c>
      <c r="AB36" s="70">
        <v>12442.066246056776</v>
      </c>
      <c r="AC36" s="70">
        <v>12553.647604141595</v>
      </c>
    </row>
    <row r="37" spans="1:29" s="31" customFormat="1" ht="18" customHeight="1" x14ac:dyDescent="0.2">
      <c r="A37" s="73"/>
      <c r="B37" s="73"/>
      <c r="C37" s="381" t="s">
        <v>94</v>
      </c>
      <c r="D37" s="381"/>
      <c r="E37" s="381"/>
      <c r="F37" s="381"/>
      <c r="G37" s="381"/>
      <c r="H37" s="381"/>
      <c r="I37" s="381"/>
      <c r="J37" s="381"/>
      <c r="K37" s="211">
        <v>53013.099357390005</v>
      </c>
      <c r="L37" s="211">
        <v>75840.79283887468</v>
      </c>
      <c r="M37" s="211">
        <v>54014.516055273314</v>
      </c>
      <c r="N37" s="211">
        <v>50540.635146211978</v>
      </c>
      <c r="O37" s="211">
        <v>61102.617636446397</v>
      </c>
      <c r="P37" s="211">
        <v>61870.963215845783</v>
      </c>
      <c r="Q37" s="211">
        <v>74479.768373970466</v>
      </c>
      <c r="R37" s="211">
        <v>66649.946570797023</v>
      </c>
      <c r="S37" s="211">
        <v>51075.962419092582</v>
      </c>
      <c r="T37" s="211">
        <v>48826.209936984502</v>
      </c>
      <c r="U37" s="211">
        <v>48402.640494343861</v>
      </c>
      <c r="V37" s="211">
        <v>56609.120420786727</v>
      </c>
      <c r="W37" s="211">
        <v>49323.313410842951</v>
      </c>
      <c r="X37" s="211">
        <v>46837.815944931586</v>
      </c>
      <c r="Y37" s="211">
        <v>55261.456702130221</v>
      </c>
      <c r="Z37" s="211">
        <v>52223.056189010473</v>
      </c>
      <c r="AA37" s="211">
        <v>58250.499457896636</v>
      </c>
      <c r="AB37" s="211">
        <v>58458.409851977667</v>
      </c>
      <c r="AC37" s="211">
        <v>47631.866843245851</v>
      </c>
    </row>
    <row r="38" spans="1:29" s="31" customFormat="1" ht="18" customHeight="1" x14ac:dyDescent="0.2">
      <c r="A38" s="73"/>
      <c r="B38" s="73"/>
      <c r="C38" s="73"/>
      <c r="D38" s="390" t="s">
        <v>95</v>
      </c>
      <c r="E38" s="390"/>
      <c r="F38" s="390"/>
      <c r="G38" s="390"/>
      <c r="H38" s="390"/>
      <c r="I38" s="390"/>
      <c r="J38" s="390"/>
      <c r="K38" s="68">
        <v>1566.1146811665799</v>
      </c>
      <c r="L38" s="68">
        <v>2245.3111679454391</v>
      </c>
      <c r="M38" s="68">
        <v>333.80063506879497</v>
      </c>
      <c r="N38" s="68">
        <v>469.83393270962256</v>
      </c>
      <c r="O38" s="68">
        <v>3218.4026499549432</v>
      </c>
      <c r="P38" s="68">
        <v>3192.4545403828151</v>
      </c>
      <c r="Q38" s="68">
        <v>3108.1159266437589</v>
      </c>
      <c r="R38" s="68">
        <v>296.56010087183239</v>
      </c>
      <c r="S38" s="68">
        <v>914.40199591947248</v>
      </c>
      <c r="T38" s="68">
        <v>1356.2499449902639</v>
      </c>
      <c r="U38" s="68">
        <v>678.00879928119889</v>
      </c>
      <c r="V38" s="68">
        <v>1084.0637346646379</v>
      </c>
      <c r="W38" s="68">
        <v>675.35447797619327</v>
      </c>
      <c r="X38" s="68">
        <v>1176.1916158238653</v>
      </c>
      <c r="Y38" s="68">
        <v>588.3311429373623</v>
      </c>
      <c r="Z38" s="68">
        <v>517.40748997550702</v>
      </c>
      <c r="AA38" s="68">
        <v>1783.5253583905553</v>
      </c>
      <c r="AB38" s="68">
        <v>1478.5470759524387</v>
      </c>
      <c r="AC38" s="68">
        <v>502.97856970864427</v>
      </c>
    </row>
    <row r="39" spans="1:29" s="31" customFormat="1" ht="18" customHeight="1" x14ac:dyDescent="0.2">
      <c r="A39" s="73"/>
      <c r="B39" s="73"/>
      <c r="C39" s="73"/>
      <c r="D39" s="382" t="s">
        <v>96</v>
      </c>
      <c r="E39" s="382"/>
      <c r="F39" s="382"/>
      <c r="G39" s="382"/>
      <c r="H39" s="382"/>
      <c r="I39" s="382"/>
      <c r="J39" s="382"/>
      <c r="K39" s="69">
        <v>37747.528423133997</v>
      </c>
      <c r="L39" s="69">
        <v>57608.375959079283</v>
      </c>
      <c r="M39" s="69">
        <v>39692.669059554486</v>
      </c>
      <c r="N39" s="69">
        <v>37280.608430731576</v>
      </c>
      <c r="O39" s="69">
        <v>49797.588172901189</v>
      </c>
      <c r="P39" s="69">
        <v>40093.072762671225</v>
      </c>
      <c r="Q39" s="69">
        <v>53438.380547602814</v>
      </c>
      <c r="R39" s="69">
        <v>53250.80434303754</v>
      </c>
      <c r="S39" s="69">
        <v>38729.098495369639</v>
      </c>
      <c r="T39" s="69">
        <v>34072.812299457124</v>
      </c>
      <c r="U39" s="69">
        <v>33339.033833551577</v>
      </c>
      <c r="V39" s="69">
        <v>39804.266590679239</v>
      </c>
      <c r="W39" s="69">
        <v>36870.277018469911</v>
      </c>
      <c r="X39" s="69">
        <v>37679.207060472407</v>
      </c>
      <c r="Y39" s="69">
        <v>41170.493354095663</v>
      </c>
      <c r="Z39" s="69">
        <v>41070.278542820983</v>
      </c>
      <c r="AA39" s="69">
        <v>42518.117817130464</v>
      </c>
      <c r="AB39" s="69">
        <v>48583.461902450857</v>
      </c>
      <c r="AC39" s="69">
        <v>42154.902118950158</v>
      </c>
    </row>
    <row r="40" spans="1:29" s="31" customFormat="1" ht="18" customHeight="1" x14ac:dyDescent="0.2">
      <c r="A40" s="73"/>
      <c r="B40" s="73"/>
      <c r="C40" s="73"/>
      <c r="D40" s="382" t="s">
        <v>97</v>
      </c>
      <c r="E40" s="382"/>
      <c r="F40" s="382"/>
      <c r="G40" s="382"/>
      <c r="H40" s="382"/>
      <c r="I40" s="382"/>
      <c r="J40" s="382"/>
      <c r="K40" s="69">
        <v>7889.7676717745899</v>
      </c>
      <c r="L40" s="69">
        <v>11554.347826086958</v>
      </c>
      <c r="M40" s="69">
        <v>6603.2172787076688</v>
      </c>
      <c r="N40" s="69">
        <v>7361.6297714901466</v>
      </c>
      <c r="O40" s="69">
        <v>6593.991249692378</v>
      </c>
      <c r="P40" s="69">
        <v>11024.517248421012</v>
      </c>
      <c r="Q40" s="69">
        <v>11271.057904909481</v>
      </c>
      <c r="R40" s="69">
        <v>8990.1813194635051</v>
      </c>
      <c r="S40" s="69">
        <v>9002.9523335624817</v>
      </c>
      <c r="T40" s="69">
        <v>10090.272582641195</v>
      </c>
      <c r="U40" s="69">
        <v>6445.8268730052587</v>
      </c>
      <c r="V40" s="69">
        <v>7613.0014368531911</v>
      </c>
      <c r="W40" s="69">
        <v>8190.3898045231017</v>
      </c>
      <c r="X40" s="69">
        <v>3893.7966221901447</v>
      </c>
      <c r="Y40" s="69">
        <v>9582.5087780387003</v>
      </c>
      <c r="Z40" s="69">
        <v>7446.8393955144393</v>
      </c>
      <c r="AA40" s="69">
        <v>10146.24262137092</v>
      </c>
      <c r="AB40" s="69">
        <v>4280.3346275175927</v>
      </c>
      <c r="AC40" s="69">
        <v>2686.7452444016371</v>
      </c>
    </row>
    <row r="41" spans="1:29" s="31" customFormat="1" ht="18" customHeight="1" x14ac:dyDescent="0.2">
      <c r="A41" s="73"/>
      <c r="B41" s="73"/>
      <c r="C41" s="73"/>
      <c r="D41" s="382" t="s">
        <v>509</v>
      </c>
      <c r="E41" s="382"/>
      <c r="F41" s="382"/>
      <c r="G41" s="382"/>
      <c r="H41" s="382"/>
      <c r="I41" s="382"/>
      <c r="J41" s="382"/>
      <c r="K41" s="69"/>
      <c r="L41" s="69"/>
      <c r="M41" s="69"/>
      <c r="N41" s="69"/>
      <c r="O41" s="69"/>
      <c r="P41" s="69"/>
      <c r="Q41" s="69">
        <v>18.425678221038218</v>
      </c>
      <c r="R41" s="69">
        <v>570.15846649741513</v>
      </c>
      <c r="S41" s="69">
        <v>187.53533462600737</v>
      </c>
      <c r="T41" s="69">
        <v>334.45339210131016</v>
      </c>
      <c r="U41" s="69">
        <v>341.83541947876125</v>
      </c>
      <c r="V41" s="69">
        <v>204.58046133028358</v>
      </c>
      <c r="W41" s="69">
        <v>392.15694557599869</v>
      </c>
      <c r="X41" s="69">
        <v>445.08261491455147</v>
      </c>
      <c r="Y41" s="69">
        <v>127.59141993770332</v>
      </c>
      <c r="Z41" s="69"/>
      <c r="AA41" s="69"/>
      <c r="AB41" s="69"/>
      <c r="AC41" s="69"/>
    </row>
    <row r="42" spans="1:29" s="31" customFormat="1" ht="18" customHeight="1" x14ac:dyDescent="0.2">
      <c r="A42" s="73"/>
      <c r="B42" s="73"/>
      <c r="C42" s="73"/>
      <c r="D42" s="380" t="s">
        <v>98</v>
      </c>
      <c r="E42" s="380"/>
      <c r="F42" s="380"/>
      <c r="G42" s="380"/>
      <c r="H42" s="380"/>
      <c r="I42" s="380"/>
      <c r="J42" s="380"/>
      <c r="K42" s="70">
        <v>5809.5650024715806</v>
      </c>
      <c r="L42" s="70">
        <v>4432.7578857630015</v>
      </c>
      <c r="M42" s="70">
        <v>7384.8290819424165</v>
      </c>
      <c r="N42" s="70">
        <v>5428.5630112806093</v>
      </c>
      <c r="O42" s="70">
        <v>1492.6355638979601</v>
      </c>
      <c r="P42" s="70">
        <v>7560.9186643707462</v>
      </c>
      <c r="Q42" s="70">
        <v>6643.7883165933545</v>
      </c>
      <c r="R42" s="70">
        <v>3542.2423409266853</v>
      </c>
      <c r="S42" s="70">
        <v>2241.9742596149922</v>
      </c>
      <c r="T42" s="70">
        <v>2972.4217177945943</v>
      </c>
      <c r="U42" s="70">
        <v>7597.9355690270704</v>
      </c>
      <c r="V42" s="70">
        <v>7903.2081972593469</v>
      </c>
      <c r="W42" s="70">
        <v>3195.1351642977002</v>
      </c>
      <c r="X42" s="70">
        <v>3643.5380315306202</v>
      </c>
      <c r="Y42" s="70">
        <v>3792.5320071207625</v>
      </c>
      <c r="Z42" s="70">
        <v>3188.5307606995411</v>
      </c>
      <c r="AA42" s="70">
        <v>3802.613661004696</v>
      </c>
      <c r="AB42" s="70">
        <v>4116.0662460567764</v>
      </c>
      <c r="AC42" s="70">
        <v>2287.2409101854137</v>
      </c>
    </row>
    <row r="43" spans="1:29" s="31" customFormat="1" ht="18" customHeight="1" x14ac:dyDescent="0.2">
      <c r="A43" s="73"/>
      <c r="B43" s="381" t="s">
        <v>365</v>
      </c>
      <c r="C43" s="381"/>
      <c r="D43" s="381"/>
      <c r="E43" s="381"/>
      <c r="F43" s="381"/>
      <c r="G43" s="381"/>
      <c r="H43" s="381"/>
      <c r="I43" s="381"/>
      <c r="J43" s="381"/>
      <c r="K43" s="211">
        <v>51483.316856154197</v>
      </c>
      <c r="L43" s="211">
        <v>49507.139812446716</v>
      </c>
      <c r="M43" s="211">
        <v>48698.385233398913</v>
      </c>
      <c r="N43" s="211">
        <v>65961.847335874991</v>
      </c>
      <c r="O43" s="211">
        <v>50236.49470309358</v>
      </c>
      <c r="P43" s="211">
        <v>66085.211136520724</v>
      </c>
      <c r="Q43" s="211">
        <v>85944.744137372982</v>
      </c>
      <c r="R43" s="211">
        <v>31952.277555698762</v>
      </c>
      <c r="S43" s="211">
        <v>45684.214792713632</v>
      </c>
      <c r="T43" s="211">
        <v>48221.057189315405</v>
      </c>
      <c r="U43" s="211">
        <v>46577.298463612438</v>
      </c>
      <c r="V43" s="211">
        <v>80617.303997791416</v>
      </c>
      <c r="W43" s="211">
        <v>86081.197080467988</v>
      </c>
      <c r="X43" s="211">
        <v>53042.841968269684</v>
      </c>
      <c r="Y43" s="211">
        <v>89893.21682627355</v>
      </c>
      <c r="Z43" s="211">
        <v>59005.086002803757</v>
      </c>
      <c r="AA43" s="211">
        <v>77756.674858450788</v>
      </c>
      <c r="AB43" s="211">
        <v>84560.407182722643</v>
      </c>
      <c r="AC43" s="211">
        <v>65996.174331808332</v>
      </c>
    </row>
    <row r="44" spans="1:29" s="31" customFormat="1" ht="18" customHeight="1" x14ac:dyDescent="0.2">
      <c r="A44" s="73"/>
      <c r="B44" s="105"/>
      <c r="C44" s="384" t="s">
        <v>366</v>
      </c>
      <c r="D44" s="385"/>
      <c r="E44" s="385"/>
      <c r="F44" s="385"/>
      <c r="G44" s="385"/>
      <c r="H44" s="385"/>
      <c r="I44" s="385"/>
      <c r="J44" s="386"/>
      <c r="K44" s="211">
        <v>47449.703410776092</v>
      </c>
      <c r="L44" s="211">
        <v>44833.759590792833</v>
      </c>
      <c r="M44" s="211">
        <v>47991.11569495836</v>
      </c>
      <c r="N44" s="211">
        <v>55505.461437866237</v>
      </c>
      <c r="O44" s="211">
        <v>38011.203658225211</v>
      </c>
      <c r="P44" s="211">
        <v>67363.57199465789</v>
      </c>
      <c r="Q44" s="211">
        <v>83577.60607046583</v>
      </c>
      <c r="R44" s="211">
        <v>29736.194951673529</v>
      </c>
      <c r="S44" s="211">
        <v>46754.504472094843</v>
      </c>
      <c r="T44" s="211">
        <v>43485.619346487947</v>
      </c>
      <c r="U44" s="211">
        <v>39020.577331821019</v>
      </c>
      <c r="V44" s="211">
        <v>73275.884968089144</v>
      </c>
      <c r="W44" s="211">
        <v>83682.761102323435</v>
      </c>
      <c r="X44" s="211">
        <v>47157.160646625285</v>
      </c>
      <c r="Y44" s="211">
        <v>82988.967268777968</v>
      </c>
      <c r="Z44" s="211">
        <v>54071.92816532225</v>
      </c>
      <c r="AA44" s="211">
        <v>73256.886640163837</v>
      </c>
      <c r="AB44" s="211">
        <v>78377.569036641595</v>
      </c>
      <c r="AC44" s="211">
        <v>63367.657356128097</v>
      </c>
    </row>
    <row r="45" spans="1:29" s="31" customFormat="1" ht="18" customHeight="1" x14ac:dyDescent="0.2">
      <c r="A45" s="73"/>
      <c r="B45" s="73"/>
      <c r="C45" s="216"/>
      <c r="D45" s="373" t="s">
        <v>99</v>
      </c>
      <c r="E45" s="374"/>
      <c r="F45" s="374"/>
      <c r="G45" s="374"/>
      <c r="H45" s="374"/>
      <c r="I45" s="374"/>
      <c r="J45" s="375"/>
      <c r="K45" s="68">
        <v>9377.533366287691</v>
      </c>
      <c r="L45" s="68">
        <v>7934.1432225063936</v>
      </c>
      <c r="M45" s="68">
        <v>7843.9639645172729</v>
      </c>
      <c r="N45" s="68">
        <v>8820.1988809159939</v>
      </c>
      <c r="O45" s="68">
        <v>8654.3327504961126</v>
      </c>
      <c r="P45" s="68">
        <v>9673.2789938825827</v>
      </c>
      <c r="Q45" s="68">
        <v>10981.06867698878</v>
      </c>
      <c r="R45" s="68">
        <v>9449.5556428606906</v>
      </c>
      <c r="S45" s="68">
        <v>9690.7384779976583</v>
      </c>
      <c r="T45" s="68">
        <v>8924.1526629999771</v>
      </c>
      <c r="U45" s="68">
        <v>9069.5085061752015</v>
      </c>
      <c r="V45" s="68">
        <v>9230.8563545236557</v>
      </c>
      <c r="W45" s="68">
        <v>9509.4814225841601</v>
      </c>
      <c r="X45" s="68">
        <v>9317.7323139557811</v>
      </c>
      <c r="Y45" s="68">
        <v>9081.4652627153337</v>
      </c>
      <c r="Z45" s="68">
        <v>10325.250440106629</v>
      </c>
      <c r="AA45" s="68">
        <v>8860.4529574750031</v>
      </c>
      <c r="AB45" s="68">
        <v>10435.827954380004</v>
      </c>
      <c r="AC45" s="68">
        <v>9789.121719239105</v>
      </c>
    </row>
    <row r="46" spans="1:29" s="31" customFormat="1" ht="18" customHeight="1" x14ac:dyDescent="0.2">
      <c r="A46" s="73"/>
      <c r="B46" s="73"/>
      <c r="C46" s="216"/>
      <c r="D46" s="376" t="s">
        <v>100</v>
      </c>
      <c r="E46" s="377"/>
      <c r="F46" s="377"/>
      <c r="G46" s="377"/>
      <c r="H46" s="377"/>
      <c r="I46" s="377"/>
      <c r="J46" s="378"/>
      <c r="K46" s="69">
        <v>3786.5793376174001</v>
      </c>
      <c r="L46" s="69">
        <v>7799.2327365728897</v>
      </c>
      <c r="M46" s="69">
        <v>46.119733881818128</v>
      </c>
      <c r="N46" s="69">
        <v>689.15523481592197</v>
      </c>
      <c r="O46" s="69">
        <v>906.15881975801256</v>
      </c>
      <c r="P46" s="69">
        <v>222.82415309668437</v>
      </c>
      <c r="Q46" s="69">
        <v>348.69088281088858</v>
      </c>
      <c r="R46" s="69">
        <v>283.8194605615966</v>
      </c>
      <c r="S46" s="69">
        <v>1486.1792395705318</v>
      </c>
      <c r="T46" s="69">
        <v>1227.7710997629304</v>
      </c>
      <c r="U46" s="69">
        <v>1930.6796798068569</v>
      </c>
      <c r="V46" s="69">
        <v>4101.4702005679683</v>
      </c>
      <c r="W46" s="69">
        <v>1073.1641841977432</v>
      </c>
      <c r="X46" s="69">
        <v>827.11779014040337</v>
      </c>
      <c r="Y46" s="69">
        <v>15061.998589649331</v>
      </c>
      <c r="Z46" s="69">
        <v>2313.652367598841</v>
      </c>
      <c r="AA46" s="69">
        <v>2032.4587399108541</v>
      </c>
      <c r="AB46" s="69">
        <v>9318.4316913370531</v>
      </c>
      <c r="AC46" s="69">
        <v>3599.8330122802795</v>
      </c>
    </row>
    <row r="47" spans="1:29" s="31" customFormat="1" ht="18" customHeight="1" x14ac:dyDescent="0.2">
      <c r="A47" s="73"/>
      <c r="B47" s="73"/>
      <c r="C47" s="216"/>
      <c r="D47" s="376" t="s">
        <v>101</v>
      </c>
      <c r="E47" s="377"/>
      <c r="F47" s="377"/>
      <c r="G47" s="377"/>
      <c r="H47" s="377"/>
      <c r="I47" s="377"/>
      <c r="J47" s="378"/>
      <c r="K47" s="69">
        <v>34285.590706871</v>
      </c>
      <c r="L47" s="69">
        <v>29100.383631713554</v>
      </c>
      <c r="M47" s="69">
        <v>40101.031996559272</v>
      </c>
      <c r="N47" s="69">
        <v>45996.107322134318</v>
      </c>
      <c r="O47" s="69">
        <v>29210.865356738017</v>
      </c>
      <c r="P47" s="69">
        <v>57725.602583535117</v>
      </c>
      <c r="Q47" s="69">
        <v>72530.65566785929</v>
      </c>
      <c r="R47" s="69">
        <v>20080.14789884226</v>
      </c>
      <c r="S47" s="69">
        <v>37432.671531185952</v>
      </c>
      <c r="T47" s="69">
        <v>33568.472496733972</v>
      </c>
      <c r="U47" s="69">
        <v>28104.622313144224</v>
      </c>
      <c r="V47" s="69">
        <v>60847.49509062124</v>
      </c>
      <c r="W47" s="69">
        <v>73999.914502557862</v>
      </c>
      <c r="X47" s="69">
        <v>37761.233320764455</v>
      </c>
      <c r="Y47" s="69">
        <v>59071.843465020327</v>
      </c>
      <c r="Z47" s="69">
        <v>43529.653417558642</v>
      </c>
      <c r="AA47" s="69">
        <v>62708.398265269243</v>
      </c>
      <c r="AB47" s="69">
        <v>60104.540160155302</v>
      </c>
      <c r="AC47" s="69">
        <v>52197.700216710815</v>
      </c>
    </row>
    <row r="48" spans="1:29" s="31" customFormat="1" ht="18" customHeight="1" x14ac:dyDescent="0.2">
      <c r="A48" s="73"/>
      <c r="B48" s="73"/>
      <c r="C48" s="217"/>
      <c r="D48" s="387" t="s">
        <v>367</v>
      </c>
      <c r="E48" s="388"/>
      <c r="F48" s="388"/>
      <c r="G48" s="388"/>
      <c r="H48" s="388"/>
      <c r="I48" s="388"/>
      <c r="J48" s="389"/>
      <c r="K48" s="210"/>
      <c r="L48" s="210"/>
      <c r="M48" s="210"/>
      <c r="N48" s="210"/>
      <c r="O48" s="210">
        <v>-760.15326876693348</v>
      </c>
      <c r="P48" s="210">
        <v>-258.13373585647014</v>
      </c>
      <c r="Q48" s="210">
        <v>-282.8091571931713</v>
      </c>
      <c r="R48" s="210">
        <v>-77.328050591026923</v>
      </c>
      <c r="S48" s="210">
        <v>-1855.0847766592976</v>
      </c>
      <c r="T48" s="210">
        <v>-234.77691300893943</v>
      </c>
      <c r="U48" s="210">
        <v>-84.233167305267258</v>
      </c>
      <c r="V48" s="210">
        <v>-903.93667762371081</v>
      </c>
      <c r="W48" s="210">
        <v>-899.79900701633289</v>
      </c>
      <c r="X48" s="210">
        <v>-748.92277823539871</v>
      </c>
      <c r="Y48" s="210">
        <v>-226.34004860701307</v>
      </c>
      <c r="Z48" s="210">
        <v>-2096.6280599418628</v>
      </c>
      <c r="AA48" s="210">
        <v>-344.42332249126611</v>
      </c>
      <c r="AB48" s="210">
        <v>-1481.2307692307693</v>
      </c>
      <c r="AC48" s="210">
        <v>-2218.9975921020946</v>
      </c>
    </row>
    <row r="49" spans="1:29" s="31" customFormat="1" ht="18" customHeight="1" x14ac:dyDescent="0.2">
      <c r="A49" s="74"/>
      <c r="B49" s="74"/>
      <c r="C49" s="391" t="s">
        <v>102</v>
      </c>
      <c r="D49" s="392"/>
      <c r="E49" s="392"/>
      <c r="F49" s="392"/>
      <c r="G49" s="392"/>
      <c r="H49" s="392"/>
      <c r="I49" s="392"/>
      <c r="J49" s="393"/>
      <c r="K49" s="71">
        <v>4033.6134453781501</v>
      </c>
      <c r="L49" s="71">
        <v>4673.4867860187551</v>
      </c>
      <c r="M49" s="71">
        <v>707.26953844054924</v>
      </c>
      <c r="N49" s="71">
        <v>10456.385898008804</v>
      </c>
      <c r="O49" s="71">
        <v>12225.291044868482</v>
      </c>
      <c r="P49" s="71">
        <v>-1278.3608581371941</v>
      </c>
      <c r="Q49" s="71">
        <v>2367.1380669071646</v>
      </c>
      <c r="R49" s="71">
        <v>2216.082604025235</v>
      </c>
      <c r="S49" s="71">
        <v>-1070.2896793812015</v>
      </c>
      <c r="T49" s="71">
        <v>4735.4378428274676</v>
      </c>
      <c r="U49" s="71">
        <v>7556.7211317914225</v>
      </c>
      <c r="V49" s="71">
        <v>7341.4190297022342</v>
      </c>
      <c r="W49" s="71">
        <v>2398.4359781445992</v>
      </c>
      <c r="X49" s="71">
        <v>5885.6813216443943</v>
      </c>
      <c r="Y49" s="71">
        <v>6904.2495574956411</v>
      </c>
      <c r="Z49" s="71">
        <v>4933.1578374815072</v>
      </c>
      <c r="AA49" s="71">
        <v>4499.7882182869507</v>
      </c>
      <c r="AB49" s="71">
        <v>6182.8381460810488</v>
      </c>
      <c r="AC49" s="71">
        <v>2628.5169756802352</v>
      </c>
    </row>
    <row r="50" spans="1:29" x14ac:dyDescent="0.2">
      <c r="A50" s="2"/>
      <c r="B50" s="368" t="s">
        <v>582</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row>
    <row r="51" spans="1:29"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row>
    <row r="52" spans="1:29" x14ac:dyDescent="0.2">
      <c r="A52" s="2"/>
      <c r="K52" s="3"/>
      <c r="L52" s="3"/>
      <c r="M52" s="3"/>
      <c r="N52" s="3"/>
      <c r="O52" s="3"/>
      <c r="P52" s="3"/>
      <c r="Q52" s="3"/>
      <c r="R52" s="3"/>
      <c r="S52" s="3"/>
      <c r="T52" s="3"/>
      <c r="U52" s="3"/>
      <c r="V52" s="3"/>
      <c r="W52" s="3"/>
      <c r="X52" s="3"/>
      <c r="Y52" s="3"/>
      <c r="Z52" s="3"/>
      <c r="AA52" s="3"/>
      <c r="AB52" s="3"/>
      <c r="AC52" s="3"/>
    </row>
    <row r="53" spans="1:29" x14ac:dyDescent="0.2">
      <c r="A53" s="2"/>
      <c r="K53" s="3"/>
      <c r="L53" s="3"/>
      <c r="M53" s="3"/>
      <c r="N53" s="3"/>
      <c r="O53" s="3"/>
      <c r="P53" s="3"/>
      <c r="Q53" s="3"/>
      <c r="R53" s="3"/>
      <c r="S53" s="3"/>
      <c r="T53" s="3"/>
      <c r="U53" s="3"/>
      <c r="V53" s="3"/>
      <c r="W53" s="3"/>
      <c r="X53" s="3"/>
      <c r="Y53" s="3"/>
      <c r="Z53" s="3"/>
      <c r="AA53" s="3"/>
      <c r="AB53" s="3"/>
      <c r="AC53" s="3"/>
    </row>
    <row r="54" spans="1:29" x14ac:dyDescent="0.2">
      <c r="K54" s="3"/>
      <c r="L54" s="3"/>
      <c r="M54" s="3"/>
      <c r="N54" s="3"/>
      <c r="O54" s="3"/>
      <c r="P54" s="3"/>
      <c r="Q54" s="3"/>
      <c r="R54" s="3"/>
      <c r="S54" s="3"/>
      <c r="T54" s="3"/>
      <c r="U54" s="3"/>
      <c r="V54" s="3"/>
      <c r="W54" s="3"/>
      <c r="X54" s="3"/>
      <c r="Y54" s="3"/>
      <c r="Z54" s="3"/>
      <c r="AA54" s="3"/>
      <c r="AB54" s="3"/>
      <c r="AC54" s="3"/>
    </row>
    <row r="55" spans="1:29" x14ac:dyDescent="0.2">
      <c r="K55" s="3"/>
      <c r="L55" s="3"/>
      <c r="M55" s="3"/>
      <c r="N55" s="3"/>
      <c r="O55" s="3"/>
      <c r="P55" s="3"/>
      <c r="Q55" s="3"/>
      <c r="R55" s="3"/>
      <c r="S55" s="3"/>
      <c r="T55" s="3"/>
      <c r="U55" s="3"/>
      <c r="V55" s="3"/>
      <c r="W55" s="3"/>
      <c r="X55" s="3"/>
      <c r="Y55" s="3"/>
      <c r="Z55" s="3"/>
      <c r="AA55" s="3"/>
      <c r="AB55" s="3"/>
      <c r="AC55" s="3"/>
    </row>
    <row r="56" spans="1:29" x14ac:dyDescent="0.2">
      <c r="K56" s="3"/>
      <c r="L56" s="3"/>
      <c r="M56" s="3"/>
      <c r="N56" s="3"/>
      <c r="O56" s="3"/>
      <c r="P56" s="3"/>
      <c r="Q56" s="3"/>
      <c r="R56" s="3"/>
      <c r="S56" s="3"/>
      <c r="T56" s="3"/>
      <c r="U56" s="3"/>
      <c r="V56" s="3"/>
      <c r="W56" s="3"/>
      <c r="X56" s="3"/>
      <c r="Y56" s="3"/>
      <c r="Z56" s="3"/>
      <c r="AA56" s="3"/>
      <c r="AB56" s="3"/>
      <c r="AC56" s="3"/>
    </row>
    <row r="57" spans="1:29" x14ac:dyDescent="0.2">
      <c r="K57" s="3"/>
      <c r="L57" s="3"/>
      <c r="M57" s="3"/>
      <c r="N57" s="3"/>
      <c r="O57" s="3"/>
      <c r="P57" s="3"/>
      <c r="Q57" s="3"/>
      <c r="R57" s="3"/>
      <c r="S57" s="3"/>
      <c r="T57" s="3"/>
      <c r="U57" s="3"/>
      <c r="V57" s="3"/>
      <c r="W57" s="3"/>
      <c r="X57" s="3"/>
      <c r="Y57" s="3"/>
      <c r="Z57" s="3"/>
      <c r="AA57" s="3"/>
      <c r="AB57" s="3"/>
      <c r="AC57" s="3"/>
    </row>
    <row r="58" spans="1:29" x14ac:dyDescent="0.2">
      <c r="K58" s="3"/>
      <c r="L58" s="3"/>
      <c r="M58" s="3"/>
      <c r="N58" s="3"/>
      <c r="O58" s="3"/>
      <c r="P58" s="3"/>
      <c r="Q58" s="3"/>
      <c r="R58" s="3"/>
      <c r="S58" s="3"/>
      <c r="T58" s="3"/>
      <c r="U58" s="3"/>
      <c r="V58" s="3"/>
      <c r="W58" s="3"/>
      <c r="X58" s="3"/>
      <c r="Y58" s="3"/>
      <c r="Z58" s="3"/>
      <c r="AA58" s="3"/>
      <c r="AB58" s="3"/>
      <c r="AC58" s="3"/>
    </row>
    <row r="59" spans="1:29" x14ac:dyDescent="0.2">
      <c r="K59" s="3"/>
      <c r="L59" s="3"/>
      <c r="M59" s="3"/>
      <c r="N59" s="3"/>
      <c r="O59" s="3"/>
      <c r="P59" s="3"/>
      <c r="Q59" s="3"/>
      <c r="R59" s="3"/>
      <c r="S59" s="3"/>
      <c r="T59" s="3"/>
      <c r="U59" s="3"/>
      <c r="V59" s="3"/>
      <c r="W59" s="3"/>
      <c r="X59" s="3"/>
      <c r="Y59" s="3"/>
      <c r="Z59" s="3"/>
      <c r="AA59" s="3"/>
      <c r="AB59" s="3"/>
      <c r="AC59" s="3"/>
    </row>
    <row r="60" spans="1:29" x14ac:dyDescent="0.2">
      <c r="K60" s="3"/>
      <c r="L60" s="3"/>
      <c r="M60" s="3"/>
      <c r="N60" s="3"/>
      <c r="O60" s="3"/>
      <c r="P60" s="3"/>
      <c r="Q60" s="3"/>
      <c r="R60" s="3"/>
      <c r="S60" s="3"/>
      <c r="T60" s="3"/>
      <c r="U60" s="3"/>
      <c r="V60" s="3"/>
      <c r="W60" s="3"/>
      <c r="X60" s="3"/>
      <c r="Y60" s="3"/>
      <c r="Z60" s="3"/>
      <c r="AA60" s="3"/>
      <c r="AB60" s="3"/>
      <c r="AC60" s="3"/>
    </row>
    <row r="61" spans="1:29" x14ac:dyDescent="0.2">
      <c r="K61" s="3"/>
      <c r="L61" s="3"/>
      <c r="M61" s="3"/>
      <c r="N61" s="3"/>
      <c r="O61" s="3"/>
      <c r="P61" s="3"/>
      <c r="Q61" s="3"/>
      <c r="R61" s="3"/>
      <c r="S61" s="3"/>
      <c r="T61" s="3"/>
      <c r="U61" s="3"/>
      <c r="V61" s="3"/>
      <c r="W61" s="3"/>
      <c r="X61" s="3"/>
      <c r="Y61" s="3"/>
      <c r="Z61" s="3"/>
      <c r="AA61" s="3"/>
      <c r="AB61" s="3"/>
      <c r="AC61" s="3"/>
    </row>
    <row r="62" spans="1:29" x14ac:dyDescent="0.2">
      <c r="K62" s="3"/>
      <c r="L62" s="3"/>
      <c r="M62" s="3"/>
      <c r="N62" s="3"/>
      <c r="O62" s="3"/>
      <c r="P62" s="3"/>
      <c r="Q62" s="3"/>
      <c r="R62" s="3"/>
      <c r="S62" s="3"/>
      <c r="T62" s="3"/>
      <c r="U62" s="3"/>
      <c r="V62" s="3"/>
      <c r="W62" s="3"/>
      <c r="X62" s="3"/>
      <c r="Y62" s="3"/>
      <c r="Z62" s="3"/>
      <c r="AA62" s="3"/>
      <c r="AB62" s="3"/>
      <c r="AC62" s="3"/>
    </row>
    <row r="63" spans="1:29" x14ac:dyDescent="0.2">
      <c r="K63" s="3"/>
      <c r="L63" s="3"/>
      <c r="M63" s="3"/>
      <c r="N63" s="3"/>
      <c r="O63" s="3"/>
      <c r="P63" s="3"/>
      <c r="Q63" s="3"/>
      <c r="R63" s="3"/>
      <c r="S63" s="3"/>
      <c r="T63" s="3"/>
      <c r="U63" s="3"/>
      <c r="V63" s="3"/>
      <c r="W63" s="3"/>
      <c r="X63" s="3"/>
      <c r="Y63" s="3"/>
      <c r="Z63" s="3"/>
      <c r="AA63" s="3"/>
      <c r="AB63" s="3"/>
      <c r="AC63" s="3"/>
    </row>
    <row r="64" spans="1:29" x14ac:dyDescent="0.2">
      <c r="K64" s="3"/>
      <c r="L64" s="3"/>
      <c r="M64" s="3"/>
      <c r="N64" s="3"/>
      <c r="O64" s="3"/>
      <c r="P64" s="3"/>
      <c r="Q64" s="3"/>
      <c r="R64" s="3"/>
      <c r="S64" s="3"/>
      <c r="T64" s="3"/>
      <c r="U64" s="3"/>
      <c r="V64" s="3"/>
      <c r="W64" s="3"/>
      <c r="X64" s="3"/>
      <c r="Y64" s="3"/>
      <c r="Z64" s="3"/>
      <c r="AA64" s="3"/>
      <c r="AB64" s="3"/>
      <c r="AC64" s="3"/>
    </row>
    <row r="65" spans="11:29" x14ac:dyDescent="0.2">
      <c r="K65" s="3"/>
      <c r="L65" s="3"/>
      <c r="M65" s="3"/>
      <c r="N65" s="3"/>
      <c r="O65" s="3"/>
      <c r="P65" s="3"/>
      <c r="Q65" s="3"/>
      <c r="R65" s="3"/>
      <c r="S65" s="3"/>
      <c r="T65" s="3"/>
      <c r="U65" s="3"/>
      <c r="V65" s="3"/>
      <c r="W65" s="3"/>
      <c r="X65" s="3"/>
      <c r="Y65" s="3"/>
      <c r="Z65" s="3"/>
      <c r="AA65" s="3"/>
      <c r="AB65" s="3"/>
      <c r="AC65" s="3"/>
    </row>
    <row r="66" spans="11:29" x14ac:dyDescent="0.2">
      <c r="K66" s="3"/>
      <c r="L66" s="3"/>
      <c r="M66" s="3"/>
      <c r="N66" s="3"/>
      <c r="O66" s="3"/>
      <c r="P66" s="3"/>
      <c r="Q66" s="3"/>
      <c r="R66" s="3"/>
      <c r="S66" s="3"/>
      <c r="T66" s="3"/>
      <c r="U66" s="3"/>
      <c r="V66" s="3"/>
      <c r="W66" s="3"/>
      <c r="X66" s="3"/>
      <c r="Y66" s="3"/>
      <c r="Z66" s="3"/>
      <c r="AA66" s="3"/>
      <c r="AB66" s="3"/>
      <c r="AC66" s="3"/>
    </row>
    <row r="67" spans="11:29" x14ac:dyDescent="0.2">
      <c r="K67" s="3"/>
      <c r="L67" s="3"/>
      <c r="M67" s="3"/>
      <c r="N67" s="3"/>
      <c r="O67" s="3"/>
      <c r="P67" s="3"/>
      <c r="Q67" s="3"/>
      <c r="R67" s="3"/>
      <c r="S67" s="3"/>
      <c r="T67" s="3"/>
      <c r="U67" s="3"/>
      <c r="V67" s="3"/>
      <c r="W67" s="3"/>
      <c r="X67" s="3"/>
      <c r="Y67" s="3"/>
      <c r="Z67" s="3"/>
      <c r="AA67" s="3"/>
      <c r="AB67" s="3"/>
      <c r="AC67" s="3"/>
    </row>
    <row r="68" spans="11:29" x14ac:dyDescent="0.2">
      <c r="K68" s="3"/>
      <c r="L68" s="3"/>
      <c r="M68" s="3"/>
      <c r="N68" s="3"/>
      <c r="O68" s="3"/>
      <c r="P68" s="3"/>
      <c r="Q68" s="3"/>
      <c r="R68" s="3"/>
      <c r="S68" s="3"/>
      <c r="T68" s="3"/>
      <c r="U68" s="3"/>
      <c r="V68" s="3"/>
      <c r="W68" s="3"/>
      <c r="X68" s="3"/>
      <c r="Y68" s="3"/>
      <c r="Z68" s="3"/>
      <c r="AA68" s="3"/>
      <c r="AB68" s="3"/>
      <c r="AC68" s="3"/>
    </row>
    <row r="69" spans="11:29" x14ac:dyDescent="0.2">
      <c r="K69" s="3"/>
      <c r="L69" s="3"/>
      <c r="M69" s="3"/>
      <c r="N69" s="3"/>
      <c r="O69" s="3"/>
      <c r="P69" s="3"/>
      <c r="Q69" s="3"/>
      <c r="R69" s="3"/>
      <c r="S69" s="3"/>
      <c r="T69" s="3"/>
      <c r="U69" s="3"/>
      <c r="V69" s="3"/>
      <c r="W69" s="3"/>
      <c r="X69" s="3"/>
      <c r="Y69" s="3"/>
      <c r="Z69" s="3"/>
      <c r="AA69" s="3"/>
      <c r="AB69" s="3"/>
      <c r="AC69" s="3"/>
    </row>
    <row r="70" spans="11:29" x14ac:dyDescent="0.2">
      <c r="K70" s="3"/>
      <c r="L70" s="3"/>
      <c r="M70" s="3"/>
      <c r="N70" s="3"/>
      <c r="O70" s="3"/>
      <c r="P70" s="3"/>
      <c r="Q70" s="3"/>
      <c r="R70" s="3"/>
      <c r="S70" s="3"/>
      <c r="T70" s="3"/>
      <c r="U70" s="3"/>
      <c r="V70" s="3"/>
      <c r="W70" s="3"/>
      <c r="X70" s="3"/>
      <c r="Y70" s="3"/>
      <c r="Z70" s="3"/>
      <c r="AA70" s="3"/>
      <c r="AB70" s="3"/>
      <c r="AC70" s="3"/>
    </row>
    <row r="71" spans="11:29" x14ac:dyDescent="0.2">
      <c r="K71" s="3"/>
      <c r="L71" s="3"/>
      <c r="M71" s="3"/>
      <c r="N71" s="3"/>
      <c r="O71" s="3"/>
      <c r="P71" s="3"/>
      <c r="Q71" s="3"/>
      <c r="R71" s="3"/>
      <c r="S71" s="3"/>
      <c r="T71" s="3"/>
      <c r="U71" s="3"/>
      <c r="V71" s="3"/>
      <c r="W71" s="3"/>
      <c r="X71" s="3"/>
      <c r="Y71" s="3"/>
      <c r="Z71" s="3"/>
      <c r="AA71" s="3"/>
      <c r="AB71" s="3"/>
      <c r="AC71" s="3"/>
    </row>
    <row r="72" spans="11:29" x14ac:dyDescent="0.2">
      <c r="K72" s="3"/>
      <c r="L72" s="3"/>
      <c r="M72" s="3"/>
      <c r="N72" s="3"/>
      <c r="O72" s="3"/>
      <c r="P72" s="3"/>
      <c r="Q72" s="3"/>
      <c r="R72" s="3"/>
      <c r="S72" s="3"/>
      <c r="T72" s="3"/>
      <c r="U72" s="3"/>
      <c r="V72" s="3"/>
      <c r="W72" s="3"/>
      <c r="X72" s="3"/>
      <c r="Y72" s="3"/>
      <c r="Z72" s="3"/>
      <c r="AA72" s="3"/>
      <c r="AB72" s="3"/>
      <c r="AC72" s="3"/>
    </row>
    <row r="73" spans="11:29" x14ac:dyDescent="0.2">
      <c r="K73" s="3"/>
      <c r="L73" s="3"/>
      <c r="M73" s="3"/>
      <c r="N73" s="3"/>
      <c r="O73" s="3"/>
      <c r="P73" s="3"/>
      <c r="Q73" s="3"/>
      <c r="R73" s="3"/>
      <c r="S73" s="3"/>
      <c r="T73" s="3"/>
      <c r="U73" s="3"/>
      <c r="V73" s="3"/>
      <c r="W73" s="3"/>
      <c r="X73" s="3"/>
      <c r="Y73" s="3"/>
      <c r="Z73" s="3"/>
      <c r="AA73" s="3"/>
      <c r="AB73" s="3"/>
      <c r="AC73" s="3"/>
    </row>
    <row r="74" spans="11:29" x14ac:dyDescent="0.2">
      <c r="K74" s="3"/>
      <c r="L74" s="3"/>
      <c r="M74" s="3"/>
      <c r="N74" s="3"/>
      <c r="O74" s="3"/>
      <c r="P74" s="3"/>
      <c r="Q74" s="3"/>
      <c r="R74" s="3"/>
      <c r="S74" s="3"/>
      <c r="T74" s="3"/>
      <c r="U74" s="3"/>
      <c r="V74" s="3"/>
      <c r="W74" s="3"/>
      <c r="X74" s="3"/>
      <c r="Y74" s="3"/>
      <c r="Z74" s="3"/>
      <c r="AA74" s="3"/>
      <c r="AB74" s="3"/>
      <c r="AC74" s="3"/>
    </row>
    <row r="75" spans="11:29" x14ac:dyDescent="0.2">
      <c r="K75" s="3"/>
      <c r="L75" s="3"/>
      <c r="M75" s="3"/>
      <c r="N75" s="3"/>
      <c r="O75" s="3"/>
      <c r="P75" s="3"/>
      <c r="Q75" s="3"/>
      <c r="R75" s="3"/>
      <c r="S75" s="3"/>
      <c r="T75" s="3"/>
      <c r="U75" s="3"/>
      <c r="V75" s="3"/>
      <c r="W75" s="3"/>
      <c r="X75" s="3"/>
      <c r="Y75" s="3"/>
      <c r="Z75" s="3"/>
      <c r="AA75" s="3"/>
      <c r="AB75" s="3"/>
      <c r="AC75" s="3"/>
    </row>
    <row r="76" spans="11:29" x14ac:dyDescent="0.2">
      <c r="K76" s="3"/>
      <c r="L76" s="3"/>
      <c r="M76" s="3"/>
      <c r="N76" s="3"/>
      <c r="O76" s="3"/>
      <c r="P76" s="3"/>
      <c r="Q76" s="3"/>
      <c r="R76" s="3"/>
      <c r="S76" s="3"/>
      <c r="T76" s="3"/>
      <c r="U76" s="3"/>
      <c r="V76" s="3"/>
      <c r="W76" s="3"/>
      <c r="X76" s="3"/>
      <c r="Y76" s="3"/>
      <c r="Z76" s="3"/>
      <c r="AA76" s="3"/>
      <c r="AB76" s="3"/>
      <c r="AC76" s="3"/>
    </row>
    <row r="77" spans="11:29" x14ac:dyDescent="0.2">
      <c r="K77" s="3"/>
      <c r="L77" s="3"/>
      <c r="M77" s="3"/>
      <c r="N77" s="3"/>
      <c r="O77" s="3"/>
      <c r="P77" s="3"/>
      <c r="Q77" s="3"/>
      <c r="R77" s="3"/>
      <c r="S77" s="3"/>
      <c r="T77" s="3"/>
      <c r="U77" s="3"/>
      <c r="V77" s="3"/>
      <c r="W77" s="3"/>
      <c r="X77" s="3"/>
      <c r="Y77" s="3"/>
      <c r="Z77" s="3"/>
      <c r="AA77" s="3"/>
      <c r="AB77" s="3"/>
      <c r="AC77" s="3"/>
    </row>
    <row r="78" spans="11:29" x14ac:dyDescent="0.2">
      <c r="K78" s="3"/>
      <c r="L78" s="3"/>
      <c r="M78" s="3"/>
      <c r="N78" s="3"/>
      <c r="O78" s="3"/>
      <c r="P78" s="3"/>
      <c r="Q78" s="3"/>
      <c r="R78" s="3"/>
      <c r="S78" s="3"/>
      <c r="T78" s="3"/>
      <c r="U78" s="3"/>
      <c r="V78" s="3"/>
      <c r="W78" s="3"/>
      <c r="X78" s="3"/>
      <c r="Y78" s="3"/>
      <c r="Z78" s="3"/>
      <c r="AA78" s="3"/>
      <c r="AB78" s="3"/>
      <c r="AC78" s="3"/>
    </row>
    <row r="79" spans="11:29" x14ac:dyDescent="0.2">
      <c r="K79" s="3"/>
      <c r="L79" s="3"/>
      <c r="M79" s="3"/>
      <c r="N79" s="3"/>
      <c r="O79" s="3"/>
      <c r="P79" s="3"/>
      <c r="Q79" s="3"/>
      <c r="R79" s="3"/>
      <c r="S79" s="3"/>
      <c r="T79" s="3"/>
      <c r="U79" s="3"/>
      <c r="V79" s="3"/>
      <c r="W79" s="3"/>
      <c r="X79" s="3"/>
      <c r="Y79" s="3"/>
      <c r="Z79" s="3"/>
      <c r="AA79" s="3"/>
      <c r="AB79" s="3"/>
      <c r="AC79" s="3"/>
    </row>
    <row r="80" spans="11:29" x14ac:dyDescent="0.2">
      <c r="K80" s="3"/>
      <c r="L80" s="3"/>
      <c r="M80" s="3"/>
      <c r="N80" s="3"/>
      <c r="O80" s="3"/>
      <c r="P80" s="3"/>
      <c r="Q80" s="3"/>
      <c r="R80" s="3"/>
      <c r="S80" s="3"/>
      <c r="T80" s="3"/>
      <c r="U80" s="3"/>
      <c r="V80" s="3"/>
      <c r="W80" s="3"/>
      <c r="X80" s="3"/>
      <c r="Y80" s="3"/>
      <c r="Z80" s="3"/>
      <c r="AA80" s="3"/>
      <c r="AB80" s="3"/>
      <c r="AC80" s="3"/>
    </row>
    <row r="81" spans="11:29" x14ac:dyDescent="0.2">
      <c r="K81" s="3"/>
      <c r="L81" s="3"/>
      <c r="M81" s="3"/>
      <c r="N81" s="3"/>
      <c r="O81" s="3"/>
      <c r="P81" s="3"/>
      <c r="Q81" s="3"/>
      <c r="R81" s="3"/>
      <c r="S81" s="3"/>
      <c r="T81" s="3"/>
      <c r="U81" s="3"/>
      <c r="V81" s="3"/>
      <c r="W81" s="3"/>
      <c r="X81" s="3"/>
      <c r="Y81" s="3"/>
      <c r="Z81" s="3"/>
      <c r="AA81" s="3"/>
      <c r="AB81" s="3"/>
      <c r="AC81" s="3"/>
    </row>
    <row r="82" spans="11:29" x14ac:dyDescent="0.2">
      <c r="K82" s="3"/>
      <c r="L82" s="3"/>
      <c r="M82" s="3"/>
      <c r="N82" s="3"/>
      <c r="O82" s="3"/>
      <c r="P82" s="3"/>
      <c r="Q82" s="3"/>
      <c r="R82" s="3"/>
      <c r="S82" s="3"/>
      <c r="T82" s="3"/>
      <c r="U82" s="3"/>
      <c r="V82" s="3"/>
      <c r="W82" s="3"/>
      <c r="X82" s="3"/>
      <c r="Y82" s="3"/>
      <c r="Z82" s="3"/>
      <c r="AA82" s="3"/>
      <c r="AB82" s="3"/>
      <c r="AC82" s="3"/>
    </row>
    <row r="83" spans="11:29" x14ac:dyDescent="0.2">
      <c r="K83" s="3"/>
      <c r="L83" s="3"/>
      <c r="M83" s="3"/>
      <c r="N83" s="3"/>
      <c r="O83" s="3"/>
      <c r="P83" s="3"/>
      <c r="Q83" s="3"/>
      <c r="R83" s="3"/>
      <c r="S83" s="3"/>
      <c r="T83" s="3"/>
      <c r="U83" s="3"/>
      <c r="V83" s="3"/>
      <c r="W83" s="3"/>
      <c r="X83" s="3"/>
      <c r="Y83" s="3"/>
      <c r="Z83" s="3"/>
      <c r="AA83" s="3"/>
      <c r="AB83" s="3"/>
      <c r="AC83" s="3"/>
    </row>
    <row r="84" spans="11:29" x14ac:dyDescent="0.2">
      <c r="K84" s="3"/>
      <c r="L84" s="3"/>
      <c r="M84" s="3"/>
      <c r="N84" s="3"/>
      <c r="O84" s="3"/>
      <c r="P84" s="3"/>
      <c r="Q84" s="3"/>
      <c r="R84" s="3"/>
      <c r="S84" s="3"/>
      <c r="T84" s="3"/>
      <c r="U84" s="3"/>
      <c r="V84" s="3"/>
      <c r="W84" s="3"/>
      <c r="X84" s="3"/>
      <c r="Y84" s="3"/>
      <c r="Z84" s="3"/>
      <c r="AA84" s="3"/>
      <c r="AB84" s="3"/>
      <c r="AC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C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1" width="9" style="174"/>
    <col min="22" max="16384" width="9" style="31"/>
  </cols>
  <sheetData>
    <row r="1" spans="1:21" ht="16.2" x14ac:dyDescent="0.2">
      <c r="A1" s="6" t="s">
        <v>505</v>
      </c>
    </row>
    <row r="2" spans="1:21" ht="14.4" x14ac:dyDescent="0.2">
      <c r="A2" s="75" t="str">
        <f>BS!A2</f>
        <v>１３　家具・装備品製造業</v>
      </c>
      <c r="U2" s="221" t="s">
        <v>67</v>
      </c>
    </row>
    <row r="3" spans="1:21"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580</v>
      </c>
    </row>
    <row r="4" spans="1:21"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row>
    <row r="5" spans="1:21" ht="15.75" customHeight="1" x14ac:dyDescent="0.2">
      <c r="A5" s="232"/>
      <c r="B5" s="227" t="s">
        <v>312</v>
      </c>
      <c r="C5" s="178" t="s">
        <v>491</v>
      </c>
      <c r="D5" s="179">
        <f>PL!L38</f>
        <v>-3023.0179028132989</v>
      </c>
      <c r="E5" s="179">
        <f>PL!M38</f>
        <v>-894.82432958880952</v>
      </c>
      <c r="F5" s="179">
        <f>PL!N38</f>
        <v>2394.2914137799667</v>
      </c>
      <c r="G5" s="179">
        <f>PL!O38</f>
        <v>-71.154623444265027</v>
      </c>
      <c r="H5" s="179">
        <f>PL!P38</f>
        <v>-1020.8177197785333</v>
      </c>
      <c r="I5" s="179">
        <f>PL!Q38</f>
        <v>-3410.8637068218663</v>
      </c>
      <c r="J5" s="179">
        <f>PL!R38</f>
        <v>-1787.6439813067707</v>
      </c>
      <c r="K5" s="179">
        <f>PL!S38</f>
        <v>2387.6276188729912</v>
      </c>
      <c r="L5" s="179">
        <f>PL!T38</f>
        <v>815.09272825836979</v>
      </c>
      <c r="M5" s="179">
        <f>PL!U38</f>
        <v>1660.7831953967716</v>
      </c>
      <c r="N5" s="179">
        <f>PL!V38</f>
        <v>4853.7789577215972</v>
      </c>
      <c r="O5" s="179">
        <f>PL!W38</f>
        <v>4284.6193742702008</v>
      </c>
      <c r="P5" s="179">
        <f>PL!X38</f>
        <v>2672.0849068085427</v>
      </c>
      <c r="Q5" s="179">
        <f>PL!Y38</f>
        <v>3426.7410584693539</v>
      </c>
      <c r="R5" s="179">
        <f>PL!Z38</f>
        <v>2247.6164599016452</v>
      </c>
      <c r="S5" s="179">
        <f>PL!AA38</f>
        <v>3683.5410191543187</v>
      </c>
      <c r="T5" s="179">
        <f>PL!AB38</f>
        <v>98201.491992234907</v>
      </c>
      <c r="U5" s="179">
        <f>PL!AC38</f>
        <v>2690.3723814110281</v>
      </c>
    </row>
    <row r="6" spans="1:21" ht="15.75" customHeight="1" x14ac:dyDescent="0.2">
      <c r="A6" s="186"/>
      <c r="B6" s="228" t="s">
        <v>459</v>
      </c>
      <c r="C6" s="180" t="s">
        <v>492</v>
      </c>
      <c r="D6" s="181">
        <f>PL!L13+PL!L24</f>
        <v>3534.633418584825</v>
      </c>
      <c r="E6" s="181">
        <f>PL!M13+PL!M24</f>
        <v>2695.1023325066922</v>
      </c>
      <c r="F6" s="181">
        <f>PL!N13+PL!N24</f>
        <v>3414.3078985387028</v>
      </c>
      <c r="G6" s="181">
        <f>PL!O13+PL!O24</f>
        <v>3211.9620469876118</v>
      </c>
      <c r="H6" s="181">
        <f>PL!P13+PL!P24</f>
        <v>4252.5838678994551</v>
      </c>
      <c r="I6" s="181">
        <f>PL!Q13+PL!Q24</f>
        <v>4370.6913656261195</v>
      </c>
      <c r="J6" s="181">
        <f>PL!R13+PL!R24</f>
        <v>2832.6266410977864</v>
      </c>
      <c r="K6" s="181">
        <f>PL!S13+PL!S24</f>
        <v>3247.0073242634162</v>
      </c>
      <c r="L6" s="181">
        <f>PL!T13+PL!T24</f>
        <v>3431.4750477077951</v>
      </c>
      <c r="M6" s="181">
        <f>PL!U13+PL!U24</f>
        <v>2925.5735034667596</v>
      </c>
      <c r="N6" s="181">
        <f>PL!V13+PL!V24</f>
        <v>3110.7499048704162</v>
      </c>
      <c r="O6" s="181">
        <f>PL!W13+PL!W24</f>
        <v>3782.4290267649421</v>
      </c>
      <c r="P6" s="181">
        <f>PL!X13+PL!X24</f>
        <v>4161.2523829383581</v>
      </c>
      <c r="Q6" s="181">
        <f>PL!Y13+PL!Y24</f>
        <v>4403.1862433282977</v>
      </c>
      <c r="R6" s="181">
        <f>PL!Z13+PL!Z24</f>
        <v>3853.9334147989866</v>
      </c>
      <c r="S6" s="181">
        <f>PL!AA13+PL!AA24</f>
        <v>4508.3565835441514</v>
      </c>
      <c r="T6" s="181">
        <f>PL!AB13+PL!AB24</f>
        <v>4706.6235137102649</v>
      </c>
      <c r="U6" s="181">
        <f>PL!AC13+PL!AC24</f>
        <v>4405.4322176739706</v>
      </c>
    </row>
    <row r="7" spans="1:21" ht="15.75" customHeight="1" x14ac:dyDescent="0.2">
      <c r="A7" s="186"/>
      <c r="B7" s="228" t="s">
        <v>460</v>
      </c>
      <c r="C7" s="180" t="s">
        <v>493</v>
      </c>
      <c r="D7" s="181">
        <f>PL!L30</f>
        <v>2089.1943734015344</v>
      </c>
      <c r="E7" s="181">
        <f>PL!M30</f>
        <v>1967.9066704072086</v>
      </c>
      <c r="F7" s="181">
        <f>PL!N30</f>
        <v>3838.3722941718775</v>
      </c>
      <c r="G7" s="181">
        <f>PL!O30</f>
        <v>3451.6978190571926</v>
      </c>
      <c r="H7" s="181">
        <f>PL!P30</f>
        <v>3314.40583262463</v>
      </c>
      <c r="I7" s="181">
        <f>PL!Q30</f>
        <v>4759.2153977810867</v>
      </c>
      <c r="J7" s="181">
        <f>PL!R30</f>
        <v>3643.8733749304997</v>
      </c>
      <c r="K7" s="181">
        <f>PL!S30</f>
        <v>3070.2945635687597</v>
      </c>
      <c r="L7" s="181">
        <f>PL!T30</f>
        <v>1964.3724092319253</v>
      </c>
      <c r="M7" s="181">
        <f>PL!U30</f>
        <v>1413.8748643699721</v>
      </c>
      <c r="N7" s="181">
        <f>PL!V30</f>
        <v>3897.8092973391049</v>
      </c>
      <c r="O7" s="181">
        <f>PL!W30</f>
        <v>3247.6244454802054</v>
      </c>
      <c r="P7" s="181">
        <f>PL!X30</f>
        <v>2566.0603258207952</v>
      </c>
      <c r="Q7" s="181">
        <f>PL!Y30</f>
        <v>2508.7000637313677</v>
      </c>
      <c r="R7" s="181">
        <f>PL!Z30</f>
        <v>2468.6393413413321</v>
      </c>
      <c r="S7" s="181">
        <f>PL!AA30</f>
        <v>3570.1935911335981</v>
      </c>
      <c r="T7" s="181">
        <f>PL!AB30</f>
        <v>4885.2335598155796</v>
      </c>
      <c r="U7" s="181">
        <f>PL!AC30</f>
        <v>4302.0361184685762</v>
      </c>
    </row>
    <row r="8" spans="1:21" ht="15.75" customHeight="1" x14ac:dyDescent="0.2">
      <c r="A8" s="186"/>
      <c r="B8" s="228" t="s">
        <v>461</v>
      </c>
      <c r="C8" s="180" t="s">
        <v>494</v>
      </c>
      <c r="D8" s="181">
        <f>PL!L31</f>
        <v>3347.2932651321398</v>
      </c>
      <c r="E8" s="181">
        <f>PL!M31</f>
        <v>1951.3306675390347</v>
      </c>
      <c r="F8" s="181">
        <f>PL!N31</f>
        <v>2267.7055285978608</v>
      </c>
      <c r="G8" s="181">
        <f>PL!O31</f>
        <v>2233.4861080931469</v>
      </c>
      <c r="H8" s="181">
        <f>PL!P31</f>
        <v>2932.3001245735372</v>
      </c>
      <c r="I8" s="181">
        <f>PL!Q31</f>
        <v>4102.1386832338076</v>
      </c>
      <c r="J8" s="181">
        <f>PL!R31</f>
        <v>2742.7075410461803</v>
      </c>
      <c r="K8" s="181">
        <f>PL!S31</f>
        <v>2436.8455032651159</v>
      </c>
      <c r="L8" s="181">
        <f>PL!T31</f>
        <v>1286.6268751753237</v>
      </c>
      <c r="M8" s="181">
        <f>PL!U31</f>
        <v>1322.7192878368792</v>
      </c>
      <c r="N8" s="181">
        <f>PL!V31</f>
        <v>1365.0006702306673</v>
      </c>
      <c r="O8" s="181">
        <f>PL!W31</f>
        <v>1198.2057482345906</v>
      </c>
      <c r="P8" s="181">
        <f>PL!X31</f>
        <v>1571.5840777498129</v>
      </c>
      <c r="Q8" s="181">
        <f>PL!Y31</f>
        <v>1536.3748843598387</v>
      </c>
      <c r="R8" s="181">
        <f>PL!Z31</f>
        <v>1258.0539693519609</v>
      </c>
      <c r="S8" s="181">
        <f>PL!AA31</f>
        <v>1448.6171545596915</v>
      </c>
      <c r="T8" s="181">
        <f>PL!AB31</f>
        <v>1430.0488958990536</v>
      </c>
      <c r="U8" s="181">
        <f>PL!AC31</f>
        <v>1227.3621478449313</v>
      </c>
    </row>
    <row r="9" spans="1:21" ht="15.75" customHeight="1" x14ac:dyDescent="0.2">
      <c r="A9" s="186"/>
      <c r="B9" s="228" t="s">
        <v>462</v>
      </c>
      <c r="C9" s="180" t="s">
        <v>491</v>
      </c>
      <c r="D9" s="181">
        <f>PL!L36-PL!L35</f>
        <v>0</v>
      </c>
      <c r="E9" s="181">
        <f>PL!M36-PL!M35</f>
        <v>0</v>
      </c>
      <c r="F9" s="181">
        <f>PL!N36-PL!N35</f>
        <v>0</v>
      </c>
      <c r="G9" s="181">
        <f>PL!O36-PL!O35</f>
        <v>856.68959670595177</v>
      </c>
      <c r="H9" s="181">
        <f>PL!P36-PL!P35</f>
        <v>1121.4790841556455</v>
      </c>
      <c r="I9" s="181">
        <f>PL!Q36-PL!Q35</f>
        <v>-874.5764149881586</v>
      </c>
      <c r="J9" s="181">
        <f>PL!R36-PL!R35</f>
        <v>956.48215104656356</v>
      </c>
      <c r="K9" s="181">
        <f>PL!S36-PL!S35</f>
        <v>-1028.6042029461291</v>
      </c>
      <c r="L9" s="181">
        <f>PL!T36-PL!T35</f>
        <v>372.70759009760422</v>
      </c>
      <c r="M9" s="181">
        <f>PL!U36-PL!U35</f>
        <v>-259.1621346372915</v>
      </c>
      <c r="N9" s="181">
        <f>PL!V36-PL!V35</f>
        <v>641.18372568708014</v>
      </c>
      <c r="O9" s="181">
        <f>PL!W36-PL!W35</f>
        <v>970.84158514598164</v>
      </c>
      <c r="P9" s="181">
        <f>PL!X36-PL!X35</f>
        <v>592.31556184273745</v>
      </c>
      <c r="Q9" s="181">
        <f>PL!Y36-PL!Y35</f>
        <v>554.24985138896727</v>
      </c>
      <c r="R9" s="181">
        <f>PL!Z36-PL!Z35</f>
        <v>0</v>
      </c>
      <c r="S9" s="181">
        <f>PL!AA36-PL!AA35</f>
        <v>0</v>
      </c>
      <c r="T9" s="181">
        <f>PL!AB36-PL!AB35</f>
        <v>0</v>
      </c>
      <c r="U9" s="181">
        <f>PL!AC36-PL!AC35</f>
        <v>0</v>
      </c>
    </row>
    <row r="10" spans="1:21" ht="15.75" customHeight="1" x14ac:dyDescent="0.2">
      <c r="A10" s="186"/>
      <c r="B10" s="228" t="s">
        <v>463</v>
      </c>
      <c r="C10" s="180" t="s">
        <v>495</v>
      </c>
      <c r="D10" s="181">
        <f>BS!L11</f>
        <v>48175.191815856779</v>
      </c>
      <c r="E10" s="181">
        <f>BS!M11</f>
        <v>39573.04594253601</v>
      </c>
      <c r="F10" s="181">
        <f>BS!N11</f>
        <v>32442.463212443654</v>
      </c>
      <c r="G10" s="181">
        <f>BS!O11</f>
        <v>34439.329685222314</v>
      </c>
      <c r="H10" s="181">
        <f>BS!P11</f>
        <v>45534.473771411773</v>
      </c>
      <c r="I10" s="181">
        <f>BS!Q11</f>
        <v>49066.276969338047</v>
      </c>
      <c r="J10" s="181">
        <f>BS!R11</f>
        <v>29553.854739792274</v>
      </c>
      <c r="K10" s="181">
        <f>BS!S11</f>
        <v>37131.494778621753</v>
      </c>
      <c r="L10" s="181">
        <f>BS!T11</f>
        <v>26051.563148250851</v>
      </c>
      <c r="M10" s="181">
        <f>BS!U11</f>
        <v>24856.344486256716</v>
      </c>
      <c r="N10" s="181">
        <f>BS!V11</f>
        <v>35690.103320453491</v>
      </c>
      <c r="O10" s="181">
        <f>BS!W11</f>
        <v>38435.39365777019</v>
      </c>
      <c r="P10" s="181">
        <f>BS!X11</f>
        <v>28739.948496298479</v>
      </c>
      <c r="Q10" s="181">
        <f>BS!Y11</f>
        <v>28562.182153677066</v>
      </c>
      <c r="R10" s="181">
        <f>BS!Z11</f>
        <v>29504.318765770382</v>
      </c>
      <c r="S10" s="181">
        <f>BS!AA11</f>
        <v>34178.498494157335</v>
      </c>
      <c r="T10" s="181">
        <f>BS!AB11</f>
        <v>27828.816913370541</v>
      </c>
      <c r="U10" s="181">
        <f>BS!AC11</f>
        <v>32595.183963399955</v>
      </c>
    </row>
    <row r="11" spans="1:21" ht="15.75" customHeight="1" x14ac:dyDescent="0.2">
      <c r="A11" s="186"/>
      <c r="B11" s="228" t="s">
        <v>465</v>
      </c>
      <c r="C11" s="180" t="s">
        <v>496</v>
      </c>
      <c r="D11" s="181">
        <f>BS!K11</f>
        <v>38694.018783984204</v>
      </c>
      <c r="E11" s="181">
        <f>BS!L11</f>
        <v>48175.191815856779</v>
      </c>
      <c r="F11" s="181">
        <f>BS!M11</f>
        <v>39573.04594253601</v>
      </c>
      <c r="G11" s="181">
        <f>BS!N11</f>
        <v>32442.463212443654</v>
      </c>
      <c r="H11" s="181">
        <f>BS!O11</f>
        <v>34439.329685222314</v>
      </c>
      <c r="I11" s="181">
        <f>BS!P11</f>
        <v>45534.473771411773</v>
      </c>
      <c r="J11" s="181">
        <f>BS!Q11</f>
        <v>49066.276969338047</v>
      </c>
      <c r="K11" s="181">
        <f>BS!R11</f>
        <v>29553.854739792274</v>
      </c>
      <c r="L11" s="181">
        <f>BS!S11</f>
        <v>37131.494778621753</v>
      </c>
      <c r="M11" s="181">
        <f>BS!T11</f>
        <v>26051.563148250851</v>
      </c>
      <c r="N11" s="181">
        <f>BS!U11</f>
        <v>24856.344486256716</v>
      </c>
      <c r="O11" s="181">
        <f>BS!V11</f>
        <v>35690.103320453491</v>
      </c>
      <c r="P11" s="181">
        <f>BS!W11</f>
        <v>38435.39365777019</v>
      </c>
      <c r="Q11" s="181">
        <f>BS!X11</f>
        <v>28739.948496298479</v>
      </c>
      <c r="R11" s="181">
        <f>BS!Y11</f>
        <v>28562.182153677066</v>
      </c>
      <c r="S11" s="181">
        <f>BS!Z11</f>
        <v>29504.318765770382</v>
      </c>
      <c r="T11" s="181">
        <f>BS!AA11</f>
        <v>34178.498494157335</v>
      </c>
      <c r="U11" s="181">
        <f>BS!AB11</f>
        <v>27828.816913370541</v>
      </c>
    </row>
    <row r="12" spans="1:21" ht="15.75" customHeight="1" x14ac:dyDescent="0.2">
      <c r="A12" s="186"/>
      <c r="B12" s="228" t="s">
        <v>466</v>
      </c>
      <c r="C12" s="180" t="s">
        <v>493</v>
      </c>
      <c r="D12" s="181">
        <f>BS!L13-BS!K13</f>
        <v>6030.9054568118336</v>
      </c>
      <c r="E12" s="181">
        <f>BS!M13-BS!L13</f>
        <v>-3849.1638215353269</v>
      </c>
      <c r="F12" s="181">
        <f>BS!N13-BS!M13</f>
        <v>-2565.90985368154</v>
      </c>
      <c r="G12" s="181">
        <f>BS!O13-BS!N13</f>
        <v>7794.4941529084972</v>
      </c>
      <c r="H12" s="181">
        <f>BS!P13-BS!O13</f>
        <v>-2693.196300627671</v>
      </c>
      <c r="I12" s="181">
        <f>BS!Q13-BS!P13</f>
        <v>-1796.6021955071665</v>
      </c>
      <c r="J12" s="181">
        <f>BS!R13-BS!Q13</f>
        <v>-190.67819809307912</v>
      </c>
      <c r="K12" s="181">
        <f>BS!S13-BS!R13</f>
        <v>868.25905998480084</v>
      </c>
      <c r="L12" s="181">
        <f>BS!T13-BS!S13</f>
        <v>-1261.1029901065776</v>
      </c>
      <c r="M12" s="181">
        <f>BS!U13-BS!T13</f>
        <v>-2533.1815816624257</v>
      </c>
      <c r="N12" s="181">
        <f>BS!V13-BS!U13</f>
        <v>8673.4430990621258</v>
      </c>
      <c r="O12" s="181">
        <f>BS!W13-BS!V13</f>
        <v>-6578.8366585331896</v>
      </c>
      <c r="P12" s="181">
        <f>BS!X13-BS!W13</f>
        <v>-670.43010719223093</v>
      </c>
      <c r="Q12" s="181">
        <f>BS!Y13-BS!X13</f>
        <v>2871.2712438218878</v>
      </c>
      <c r="R12" s="181">
        <f>BS!Z13-BS!Y13</f>
        <v>-1605.4744672596062</v>
      </c>
      <c r="S12" s="181">
        <f>BS!AA13-BS!Z13</f>
        <v>6398.697412610476</v>
      </c>
      <c r="T12" s="181">
        <f>BS!AB13-BS!AA13</f>
        <v>-3057.3196025183388</v>
      </c>
      <c r="U12" s="181">
        <f>BS!AC13-BS!AB13</f>
        <v>1240.9220357599443</v>
      </c>
    </row>
    <row r="13" spans="1:21" ht="15.75" customHeight="1" x14ac:dyDescent="0.2">
      <c r="A13" s="186"/>
      <c r="B13" s="228" t="s">
        <v>467</v>
      </c>
      <c r="C13" s="180" t="s">
        <v>493</v>
      </c>
      <c r="D13" s="181">
        <f>BS!L14</f>
        <v>19276.001705029837</v>
      </c>
      <c r="E13" s="181">
        <f>BS!M14</f>
        <v>3124.9265341550126</v>
      </c>
      <c r="F13" s="181">
        <f>BS!N14</f>
        <v>10300.44765664268</v>
      </c>
      <c r="G13" s="181">
        <f>BS!O14</f>
        <v>5582.7499573873702</v>
      </c>
      <c r="H13" s="181">
        <f>BS!P14</f>
        <v>12968.461883583648</v>
      </c>
      <c r="I13" s="181">
        <f>BS!Q14</f>
        <v>20140.079578794543</v>
      </c>
      <c r="J13" s="181">
        <f>BS!R14</f>
        <v>9439.0812336735762</v>
      </c>
      <c r="K13" s="181">
        <f>BS!S14</f>
        <v>7791.6546947397774</v>
      </c>
      <c r="L13" s="181">
        <f>BS!T14</f>
        <v>5047.2625949650346</v>
      </c>
      <c r="M13" s="181">
        <f>BS!U14</f>
        <v>4609.5104473899337</v>
      </c>
      <c r="N13" s="181">
        <f>BS!V14</f>
        <v>12587.137970285632</v>
      </c>
      <c r="O13" s="181">
        <f>BS!W14</f>
        <v>15894.614636056051</v>
      </c>
      <c r="P13" s="181">
        <f>BS!X14</f>
        <v>7335.0453544976644</v>
      </c>
      <c r="Q13" s="181">
        <f>BS!Y14</f>
        <v>13894.270763560182</v>
      </c>
      <c r="R13" s="181">
        <f>BS!Z14</f>
        <v>9593.0944816751289</v>
      </c>
      <c r="S13" s="181">
        <f>BS!AA14</f>
        <v>15504.078303818809</v>
      </c>
      <c r="T13" s="181">
        <f>BS!AB14</f>
        <v>13920.386192671678</v>
      </c>
      <c r="U13" s="181">
        <f>BS!AC14</f>
        <v>11286.897303154328</v>
      </c>
    </row>
    <row r="14" spans="1:21" ht="15.75" customHeight="1" x14ac:dyDescent="0.2">
      <c r="A14" s="186"/>
      <c r="B14" s="228" t="s">
        <v>468</v>
      </c>
      <c r="C14" s="180" t="s">
        <v>497</v>
      </c>
      <c r="D14" s="181">
        <f>BS!L28</f>
        <v>97.719522591645344</v>
      </c>
      <c r="E14" s="181">
        <f>BS!M28</f>
        <v>273.47182239285473</v>
      </c>
      <c r="F14" s="181">
        <f>BS!N28</f>
        <v>126.07844560486863</v>
      </c>
      <c r="G14" s="181">
        <f>BS!O28</f>
        <v>338.35310212066656</v>
      </c>
      <c r="H14" s="181">
        <f>BS!P28</f>
        <v>170.27814116768027</v>
      </c>
      <c r="I14" s="181">
        <f>BS!Q28</f>
        <v>136.95233215982879</v>
      </c>
      <c r="J14" s="181">
        <f>BS!R28</f>
        <v>24.904885478731721</v>
      </c>
      <c r="K14" s="181">
        <f>BS!S28</f>
        <v>911.55918415378324</v>
      </c>
      <c r="L14" s="181">
        <f>BS!T28</f>
        <v>128.94668560948276</v>
      </c>
      <c r="M14" s="181">
        <f>BS!U28</f>
        <v>116.07831964131891</v>
      </c>
      <c r="N14" s="181">
        <f>BS!V28</f>
        <v>449.70455291948019</v>
      </c>
      <c r="O14" s="181">
        <f>BS!W28</f>
        <v>479.54073545197718</v>
      </c>
      <c r="P14" s="181">
        <f>BS!X28</f>
        <v>536.59561778995237</v>
      </c>
      <c r="Q14" s="181">
        <f>BS!Y28</f>
        <v>52.841089691984372</v>
      </c>
      <c r="R14" s="181">
        <f>BS!Z28</f>
        <v>247.95922216633139</v>
      </c>
      <c r="S14" s="181">
        <f>BS!AA28</f>
        <v>193.07721961209492</v>
      </c>
      <c r="T14" s="181">
        <f>BS!AB28</f>
        <v>268.88692065032762</v>
      </c>
      <c r="U14" s="181">
        <f>BS!AC28</f>
        <v>646.10606790272084</v>
      </c>
    </row>
    <row r="15" spans="1:21" ht="15.75" customHeight="1" x14ac:dyDescent="0.2">
      <c r="A15" s="186"/>
      <c r="B15" s="228" t="s">
        <v>469</v>
      </c>
      <c r="C15" s="180" t="s">
        <v>496</v>
      </c>
      <c r="D15" s="181">
        <f>BS!K14</f>
        <v>7407.6866040533896</v>
      </c>
      <c r="E15" s="181">
        <f>BS!L14</f>
        <v>19276.001705029837</v>
      </c>
      <c r="F15" s="181">
        <f>BS!M14</f>
        <v>3124.9265341550126</v>
      </c>
      <c r="G15" s="181">
        <f>BS!N14</f>
        <v>10300.44765664268</v>
      </c>
      <c r="H15" s="181">
        <f>BS!O14</f>
        <v>5582.7499573873702</v>
      </c>
      <c r="I15" s="181">
        <f>BS!P14</f>
        <v>12968.461883583648</v>
      </c>
      <c r="J15" s="181">
        <f>BS!Q14</f>
        <v>20140.079578794543</v>
      </c>
      <c r="K15" s="181">
        <f>BS!R14</f>
        <v>9439.0812336735762</v>
      </c>
      <c r="L15" s="181">
        <f>BS!S14</f>
        <v>7791.6546947397774</v>
      </c>
      <c r="M15" s="181">
        <f>BS!T14</f>
        <v>5047.2625949650346</v>
      </c>
      <c r="N15" s="181">
        <f>BS!U14</f>
        <v>4609.5104473899337</v>
      </c>
      <c r="O15" s="181">
        <f>BS!V14</f>
        <v>12587.137970285632</v>
      </c>
      <c r="P15" s="181">
        <f>BS!W14</f>
        <v>15894.614636056051</v>
      </c>
      <c r="Q15" s="181">
        <f>BS!X14</f>
        <v>7335.0453544976644</v>
      </c>
      <c r="R15" s="181">
        <f>BS!Y14</f>
        <v>13894.270763560182</v>
      </c>
      <c r="S15" s="181">
        <f>BS!Z14</f>
        <v>9593.0944816751289</v>
      </c>
      <c r="T15" s="181">
        <f>BS!AA14</f>
        <v>15504.078303818809</v>
      </c>
      <c r="U15" s="181">
        <f>BS!AB14</f>
        <v>13920.386192671678</v>
      </c>
    </row>
    <row r="16" spans="1:21" ht="15.75" customHeight="1" x14ac:dyDescent="0.2">
      <c r="A16" s="186"/>
      <c r="B16" s="228" t="s">
        <v>470</v>
      </c>
      <c r="C16" s="180" t="s">
        <v>464</v>
      </c>
      <c r="D16" s="181">
        <f>BS!K28</f>
        <v>543.994068215521</v>
      </c>
      <c r="E16" s="181">
        <f>BS!L28</f>
        <v>97.719522591645344</v>
      </c>
      <c r="F16" s="181">
        <f>BS!M28</f>
        <v>273.47182239285473</v>
      </c>
      <c r="G16" s="181">
        <f>BS!N28</f>
        <v>126.07844560486863</v>
      </c>
      <c r="H16" s="181">
        <f>BS!O28</f>
        <v>338.35310212066656</v>
      </c>
      <c r="I16" s="181">
        <f>BS!P28</f>
        <v>170.27814116768027</v>
      </c>
      <c r="J16" s="181">
        <f>BS!Q28</f>
        <v>136.95233215982879</v>
      </c>
      <c r="K16" s="181">
        <f>BS!R28</f>
        <v>24.904885478731721</v>
      </c>
      <c r="L16" s="181">
        <f>BS!S28</f>
        <v>911.55918415378324</v>
      </c>
      <c r="M16" s="181">
        <f>BS!T28</f>
        <v>128.94668560948276</v>
      </c>
      <c r="N16" s="181">
        <f>BS!U28</f>
        <v>116.07831964131891</v>
      </c>
      <c r="O16" s="181">
        <f>BS!V28</f>
        <v>449.70455291948019</v>
      </c>
      <c r="P16" s="181">
        <f>BS!W28</f>
        <v>479.54073545197718</v>
      </c>
      <c r="Q16" s="181">
        <f>BS!X28</f>
        <v>536.59561778995237</v>
      </c>
      <c r="R16" s="181">
        <f>BS!Y28</f>
        <v>52.841089691984372</v>
      </c>
      <c r="S16" s="181">
        <f>BS!Z28</f>
        <v>247.95922216633139</v>
      </c>
      <c r="T16" s="181">
        <f>BS!AA28</f>
        <v>193.07721961209492</v>
      </c>
      <c r="U16" s="181">
        <f>BS!AB28</f>
        <v>268.88692065032762</v>
      </c>
    </row>
    <row r="17" spans="1:21" ht="15.75" customHeight="1" x14ac:dyDescent="0.2">
      <c r="A17" s="186"/>
      <c r="B17" s="228" t="s">
        <v>471</v>
      </c>
      <c r="C17" s="180" t="s">
        <v>499</v>
      </c>
      <c r="D17" s="181">
        <f>BS!L32</f>
        <v>26867.433930093779</v>
      </c>
      <c r="E17" s="181">
        <f>BS!M32</f>
        <v>25358.542342255274</v>
      </c>
      <c r="F17" s="181">
        <f>BS!N32</f>
        <v>20016.484496343142</v>
      </c>
      <c r="G17" s="181">
        <f>BS!O32</f>
        <v>21642.98171075674</v>
      </c>
      <c r="H17" s="181">
        <f>BS!P32</f>
        <v>27467.804875385336</v>
      </c>
      <c r="I17" s="181">
        <f>BS!Q32</f>
        <v>29440.139955526043</v>
      </c>
      <c r="J17" s="181">
        <f>BS!R32</f>
        <v>22950.386601845647</v>
      </c>
      <c r="K17" s="181">
        <f>BS!S32</f>
        <v>19261.297602343577</v>
      </c>
      <c r="L17" s="181">
        <f>BS!T32</f>
        <v>12362.251293045589</v>
      </c>
      <c r="M17" s="181">
        <f>BS!U32</f>
        <v>16794.079399274473</v>
      </c>
      <c r="N17" s="181">
        <f>BS!V32</f>
        <v>18267.136994643221</v>
      </c>
      <c r="O17" s="181">
        <f>BS!W32</f>
        <v>25073.92489980517</v>
      </c>
      <c r="P17" s="181">
        <f>BS!X32</f>
        <v>17859.70073093941</v>
      </c>
      <c r="Q17" s="181">
        <f>BS!Y32</f>
        <v>23229.247015183646</v>
      </c>
      <c r="R17" s="181">
        <f>BS!Z32</f>
        <v>18402.174666868894</v>
      </c>
      <c r="S17" s="181">
        <f>BS!AA32</f>
        <v>24281.876039031442</v>
      </c>
      <c r="T17" s="181">
        <f>BS!AB32</f>
        <v>20541.283062363505</v>
      </c>
      <c r="U17" s="181">
        <f>BS!AC32</f>
        <v>25700.479171683121</v>
      </c>
    </row>
    <row r="18" spans="1:21" ht="15.75" customHeight="1" x14ac:dyDescent="0.2">
      <c r="A18" s="186"/>
      <c r="B18" s="228" t="s">
        <v>472</v>
      </c>
      <c r="C18" s="180" t="s">
        <v>498</v>
      </c>
      <c r="D18" s="181">
        <f>BS!K32</f>
        <v>28577.360355907098</v>
      </c>
      <c r="E18" s="181">
        <f>BS!L32</f>
        <v>26867.433930093779</v>
      </c>
      <c r="F18" s="181">
        <f>BS!M32</f>
        <v>25358.542342255274</v>
      </c>
      <c r="G18" s="181">
        <f>BS!N32</f>
        <v>20016.484496343142</v>
      </c>
      <c r="H18" s="181">
        <f>BS!O32</f>
        <v>21642.98171075674</v>
      </c>
      <c r="I18" s="181">
        <f>BS!P32</f>
        <v>27467.804875385336</v>
      </c>
      <c r="J18" s="181">
        <f>BS!Q32</f>
        <v>29440.139955526043</v>
      </c>
      <c r="K18" s="181">
        <f>BS!R32</f>
        <v>22950.386601845647</v>
      </c>
      <c r="L18" s="181">
        <f>BS!S32</f>
        <v>19261.297602343577</v>
      </c>
      <c r="M18" s="181">
        <f>BS!T32</f>
        <v>12362.251293045589</v>
      </c>
      <c r="N18" s="181">
        <f>BS!U32</f>
        <v>16794.079399274473</v>
      </c>
      <c r="O18" s="181">
        <f>BS!V32</f>
        <v>18267.136994643221</v>
      </c>
      <c r="P18" s="181">
        <f>BS!W32</f>
        <v>25073.92489980517</v>
      </c>
      <c r="Q18" s="181">
        <f>BS!X32</f>
        <v>17859.70073093941</v>
      </c>
      <c r="R18" s="181">
        <f>BS!Y32</f>
        <v>23229.247015183646</v>
      </c>
      <c r="S18" s="181">
        <f>BS!Z32</f>
        <v>18402.174666868894</v>
      </c>
      <c r="T18" s="181">
        <f>BS!AA32</f>
        <v>24281.876039031442</v>
      </c>
      <c r="U18" s="181">
        <f>BS!AB32</f>
        <v>20541.283062363505</v>
      </c>
    </row>
    <row r="19" spans="1:21" ht="15.75" customHeight="1" x14ac:dyDescent="0.2">
      <c r="A19" s="186"/>
      <c r="B19" s="228" t="s">
        <v>473</v>
      </c>
      <c r="C19" s="180" t="s">
        <v>494</v>
      </c>
      <c r="D19" s="181">
        <f>BS!L36+BS!L42</f>
        <v>18448.316283034954</v>
      </c>
      <c r="E19" s="181">
        <f>BS!M36+BS!M42</f>
        <v>16455.167430716079</v>
      </c>
      <c r="F19" s="181">
        <f>BS!N36+BS!N42</f>
        <v>20123.621866814254</v>
      </c>
      <c r="G19" s="181">
        <f>BS!O36+BS!O42</f>
        <v>11365.519803234218</v>
      </c>
      <c r="H19" s="181">
        <f>BS!P36+BS!P42</f>
        <v>20144.728228334498</v>
      </c>
      <c r="I19" s="181">
        <f>BS!Q36+BS!Q42</f>
        <v>24231.840555154529</v>
      </c>
      <c r="J19" s="181">
        <f>BS!R36+BS!R42</f>
        <v>19993.183252551626</v>
      </c>
      <c r="K19" s="181">
        <f>BS!S36+BS!S42</f>
        <v>15423.07209408844</v>
      </c>
      <c r="L19" s="181">
        <f>BS!T36+BS!T42</f>
        <v>11674.723323570448</v>
      </c>
      <c r="M19" s="181">
        <f>BS!U36+BS!U42</f>
        <v>17185.261715262048</v>
      </c>
      <c r="N19" s="181">
        <f>BS!V36+BS!V42</f>
        <v>17992.745102405021</v>
      </c>
      <c r="O19" s="181">
        <f>BS!W36+BS!W42</f>
        <v>18523.813068079191</v>
      </c>
      <c r="P19" s="181">
        <f>BS!X36+BS!X42</f>
        <v>14659.970009794906</v>
      </c>
      <c r="Q19" s="181">
        <f>BS!Y36+BS!Y42</f>
        <v>18569.665654689386</v>
      </c>
      <c r="R19" s="181">
        <f>BS!Z36+BS!Z42</f>
        <v>15007.168773793725</v>
      </c>
      <c r="S19" s="181">
        <f>BS!AA36+BS!AA42</f>
        <v>20081.795084929523</v>
      </c>
      <c r="T19" s="181">
        <f>BS!AB36+BS!AB42</f>
        <v>16558.132492113553</v>
      </c>
      <c r="U19" s="181">
        <f>BS!AC36+BS!AC42</f>
        <v>14840.888514327009</v>
      </c>
    </row>
    <row r="20" spans="1:21" ht="15.75" customHeight="1" x14ac:dyDescent="0.2">
      <c r="A20" s="186"/>
      <c r="B20" s="229" t="s">
        <v>474</v>
      </c>
      <c r="C20" s="180" t="s">
        <v>498</v>
      </c>
      <c r="D20" s="181">
        <f>BS!K36+BS!K42</f>
        <v>19305.734058329181</v>
      </c>
      <c r="E20" s="181">
        <f>BS!L36+BS!L42</f>
        <v>18448.316283034954</v>
      </c>
      <c r="F20" s="181">
        <f>BS!M36+BS!M42</f>
        <v>16455.167430716079</v>
      </c>
      <c r="G20" s="181">
        <f>BS!N36+BS!N42</f>
        <v>20123.621866814254</v>
      </c>
      <c r="H20" s="181">
        <f>BS!O36+BS!O42</f>
        <v>11365.519803234218</v>
      </c>
      <c r="I20" s="181">
        <f>BS!P36+BS!P42</f>
        <v>20144.728228334498</v>
      </c>
      <c r="J20" s="181">
        <f>BS!Q36+BS!Q42</f>
        <v>24231.840555154529</v>
      </c>
      <c r="K20" s="181">
        <f>BS!R36+BS!R42</f>
        <v>19993.183252551626</v>
      </c>
      <c r="L20" s="181">
        <f>BS!S36+BS!S42</f>
        <v>15423.07209408844</v>
      </c>
      <c r="M20" s="181">
        <f>BS!T36+BS!T42</f>
        <v>11674.723323570448</v>
      </c>
      <c r="N20" s="181">
        <f>BS!U36+BS!U42</f>
        <v>17185.261715262048</v>
      </c>
      <c r="O20" s="181">
        <f>BS!V36+BS!V42</f>
        <v>17992.745102405021</v>
      </c>
      <c r="P20" s="181">
        <f>BS!W36+BS!W42</f>
        <v>18523.813068079191</v>
      </c>
      <c r="Q20" s="181">
        <f>BS!X36+BS!X42</f>
        <v>14659.970009794906</v>
      </c>
      <c r="R20" s="181">
        <f>BS!Y36+BS!Y42</f>
        <v>18569.665654689386</v>
      </c>
      <c r="S20" s="181">
        <f>BS!Z36+BS!Z42</f>
        <v>15007.168773793725</v>
      </c>
      <c r="T20" s="181">
        <f>BS!AA36+BS!AA42</f>
        <v>20081.795084929523</v>
      </c>
      <c r="U20" s="181">
        <f>BS!AB36+BS!AB42</f>
        <v>16558.132492113553</v>
      </c>
    </row>
    <row r="21" spans="1:21"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row>
    <row r="22" spans="1:21" ht="15.75" customHeight="1" x14ac:dyDescent="0.2">
      <c r="A22" s="187"/>
      <c r="B22" s="209" t="s">
        <v>476</v>
      </c>
      <c r="C22" s="225"/>
      <c r="D22" s="226">
        <f t="shared" ref="D22:K22" si="0">D5+D6-D7+D8+D9-D10+D11-D12-D13-D14+D15+D16+D17-D18+D19-D20-D21</f>
        <v>-27731.748837642397</v>
      </c>
      <c r="E22" s="226">
        <f t="shared" si="0"/>
        <v>26708.294125822038</v>
      </c>
      <c r="F22" s="226">
        <f t="shared" si="0"/>
        <v>5232.6939750049096</v>
      </c>
      <c r="G22" s="226">
        <f t="shared" si="0"/>
        <v>-9638.2571228288307</v>
      </c>
      <c r="H22" s="226">
        <f t="shared" si="0"/>
        <v>2955.5863631492703</v>
      </c>
      <c r="I22" s="226">
        <f t="shared" si="0"/>
        <v>-3385.8709523925972</v>
      </c>
      <c r="J22" s="226">
        <f t="shared" si="0"/>
        <v>20888.034540110864</v>
      </c>
      <c r="K22" s="226">
        <f t="shared" si="0"/>
        <v>-11971.745336634149</v>
      </c>
      <c r="L22" s="226">
        <f t="shared" ref="L22:U22" si="1">L5+L6-L7+L8+L9-L10+L11-L12-L13-L14+L15+L16+L17-L18+L19-L20-L21</f>
        <v>9162.1739709877093</v>
      </c>
      <c r="M22" s="226">
        <f t="shared" si="1"/>
        <v>18357.426242813457</v>
      </c>
      <c r="N22" s="226">
        <f t="shared" si="1"/>
        <v>-19465.010745750387</v>
      </c>
      <c r="O22" s="226">
        <f t="shared" si="1"/>
        <v>14822.560632685203</v>
      </c>
      <c r="P22" s="226">
        <f t="shared" si="1"/>
        <v>14221.499044252967</v>
      </c>
      <c r="Q22" s="226">
        <f t="shared" ref="Q22:R22" si="2">Q5+Q6-Q7+Q8+Q9-Q10+Q11-Q12-Q13-Q14+Q15+Q16+Q17-Q18+Q19-Q20-Q21</f>
        <v>7922.1181207887821</v>
      </c>
      <c r="R22" s="226">
        <f t="shared" si="2"/>
        <v>1270.7912780778424</v>
      </c>
      <c r="S22" s="226">
        <f t="shared" ref="S22:T22" si="3">S5+S6-S7+S8+S9-S10+S11-S12-S13-S14+S15+S16+S17-S18+S19-S20-S21</f>
        <v>95.669888836038808</v>
      </c>
      <c r="T22" s="226">
        <f t="shared" si="3"/>
        <v>103103.55886595877</v>
      </c>
      <c r="U22" s="226">
        <f t="shared" si="1"/>
        <v>3712.0634164700205</v>
      </c>
    </row>
    <row r="23" spans="1:21"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row>
    <row r="24" spans="1:21" ht="15.75" customHeight="1" x14ac:dyDescent="0.2">
      <c r="A24" s="232"/>
      <c r="B24" s="227" t="s">
        <v>501</v>
      </c>
      <c r="C24" s="178" t="s">
        <v>491</v>
      </c>
      <c r="D24" s="179">
        <f>D37</f>
        <v>-3046.5793734373146</v>
      </c>
      <c r="E24" s="179">
        <f>E37</f>
        <v>8821.8826057448387</v>
      </c>
      <c r="F24" s="179">
        <f t="shared" ref="F24:K24" si="4">F37</f>
        <v>628.42965707040275</v>
      </c>
      <c r="G24" s="179">
        <f t="shared" si="4"/>
        <v>-6220.3398344571542</v>
      </c>
      <c r="H24" s="179">
        <f t="shared" si="4"/>
        <v>-3844.7039218477839</v>
      </c>
      <c r="I24" s="179">
        <f t="shared" si="4"/>
        <v>5399.756368908209</v>
      </c>
      <c r="J24" s="179">
        <f t="shared" si="4"/>
        <v>-9576.7788761964293</v>
      </c>
      <c r="K24" s="179">
        <f t="shared" si="4"/>
        <v>1416.5728376775514</v>
      </c>
      <c r="L24" s="179">
        <f t="shared" ref="L24:U24" si="5">L37</f>
        <v>220.42361209164301</v>
      </c>
      <c r="M24" s="179">
        <f t="shared" si="5"/>
        <v>4324.391248839871</v>
      </c>
      <c r="N24" s="179">
        <f t="shared" si="5"/>
        <v>8802.4386195769366</v>
      </c>
      <c r="O24" s="179">
        <f t="shared" si="5"/>
        <v>-817.87950603087666</v>
      </c>
      <c r="P24" s="179">
        <f t="shared" si="5"/>
        <v>-5851.2380170532379</v>
      </c>
      <c r="Q24" s="179">
        <f t="shared" ref="Q24:R24" si="6">Q37</f>
        <v>8927.982876466358</v>
      </c>
      <c r="R24" s="179">
        <f t="shared" si="6"/>
        <v>-3470.2952964278229</v>
      </c>
      <c r="S24" s="179">
        <f t="shared" ref="S24:T24" si="7">S37</f>
        <v>7265.2163891488672</v>
      </c>
      <c r="T24" s="179">
        <f t="shared" si="7"/>
        <v>9434.6361345354162</v>
      </c>
      <c r="U24" s="179">
        <f t="shared" si="5"/>
        <v>-8143.3942858905793</v>
      </c>
    </row>
    <row r="25" spans="1:21" ht="15.75" customHeight="1" x14ac:dyDescent="0.2">
      <c r="A25" s="186"/>
      <c r="B25" s="231" t="s">
        <v>478</v>
      </c>
      <c r="C25" s="182" t="s">
        <v>502</v>
      </c>
      <c r="D25" s="183">
        <f>D22+D33</f>
        <v>19812.469105289212</v>
      </c>
      <c r="E25" s="183">
        <f>E22+E33</f>
        <v>-34694.442788552646</v>
      </c>
      <c r="F25" s="183">
        <f t="shared" ref="F25:K25" si="8">F22+F33</f>
        <v>8456.8722351081924</v>
      </c>
      <c r="G25" s="183">
        <f t="shared" si="8"/>
        <v>4606.9713800066256</v>
      </c>
      <c r="H25" s="183">
        <f t="shared" si="8"/>
        <v>9680.5476257354421</v>
      </c>
      <c r="I25" s="183">
        <f t="shared" si="8"/>
        <v>9161.8789721866724</v>
      </c>
      <c r="J25" s="183">
        <f t="shared" si="8"/>
        <v>4318.3044382749358</v>
      </c>
      <c r="K25" s="183">
        <f t="shared" si="8"/>
        <v>-20869.509066981293</v>
      </c>
      <c r="L25" s="183">
        <f t="shared" ref="L25:U25" si="9">L22+L33</f>
        <v>-2466.5254813308202</v>
      </c>
      <c r="M25" s="183">
        <f t="shared" si="9"/>
        <v>13747.022661284025</v>
      </c>
      <c r="N25" s="183">
        <f t="shared" si="9"/>
        <v>-7061.7207214299106</v>
      </c>
      <c r="O25" s="183">
        <f t="shared" si="9"/>
        <v>6426.6870865126875</v>
      </c>
      <c r="P25" s="183">
        <f t="shared" si="9"/>
        <v>19482.799313104464</v>
      </c>
      <c r="Q25" s="183">
        <f t="shared" ref="Q25:R25" si="10">Q22+Q33</f>
        <v>18164.810537168298</v>
      </c>
      <c r="R25" s="183">
        <f t="shared" si="10"/>
        <v>-641.26208847953239</v>
      </c>
      <c r="S25" s="183">
        <f t="shared" ref="S25:T25" si="11">S22+S33</f>
        <v>6264.494815153892</v>
      </c>
      <c r="T25" s="183">
        <f t="shared" si="11"/>
        <v>105944.19581307188</v>
      </c>
      <c r="U25" s="183">
        <f t="shared" si="9"/>
        <v>-4236.821539210574</v>
      </c>
    </row>
    <row r="26" spans="1:21" ht="15.75" customHeight="1" x14ac:dyDescent="0.2">
      <c r="A26" s="187"/>
      <c r="B26" s="209" t="s">
        <v>476</v>
      </c>
      <c r="C26" s="225"/>
      <c r="D26" s="226">
        <f t="shared" ref="D26:K26" si="12">D24-D25</f>
        <v>-22859.048478726527</v>
      </c>
      <c r="E26" s="226">
        <f t="shared" si="12"/>
        <v>43516.325394297484</v>
      </c>
      <c r="F26" s="226">
        <f t="shared" si="12"/>
        <v>-7828.4425780377896</v>
      </c>
      <c r="G26" s="226">
        <f t="shared" si="12"/>
        <v>-10827.31121446378</v>
      </c>
      <c r="H26" s="226">
        <f t="shared" si="12"/>
        <v>-13525.251547583226</v>
      </c>
      <c r="I26" s="226">
        <f t="shared" si="12"/>
        <v>-3762.1226032784634</v>
      </c>
      <c r="J26" s="226">
        <f t="shared" si="12"/>
        <v>-13895.083314471365</v>
      </c>
      <c r="K26" s="226">
        <f t="shared" si="12"/>
        <v>22286.081904658844</v>
      </c>
      <c r="L26" s="226">
        <f t="shared" ref="L26:U26" si="13">L24-L25</f>
        <v>2686.9490934224632</v>
      </c>
      <c r="M26" s="226">
        <f t="shared" si="13"/>
        <v>-9422.6314124441542</v>
      </c>
      <c r="N26" s="226">
        <f t="shared" si="13"/>
        <v>15864.159341006847</v>
      </c>
      <c r="O26" s="226">
        <f t="shared" si="13"/>
        <v>-7244.5665925435642</v>
      </c>
      <c r="P26" s="226">
        <f t="shared" si="13"/>
        <v>-25334.037330157702</v>
      </c>
      <c r="Q26" s="226">
        <f t="shared" ref="Q26:R26" si="14">Q24-Q25</f>
        <v>-9236.8276607019397</v>
      </c>
      <c r="R26" s="226">
        <f t="shared" si="14"/>
        <v>-2829.0332079482905</v>
      </c>
      <c r="S26" s="226">
        <f t="shared" ref="S26:T26" si="15">S24-S25</f>
        <v>1000.7215739949752</v>
      </c>
      <c r="T26" s="226">
        <f t="shared" si="15"/>
        <v>-96509.559678536461</v>
      </c>
      <c r="U26" s="226">
        <f t="shared" si="13"/>
        <v>-3906.5727466800054</v>
      </c>
    </row>
    <row r="27" spans="1:21"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row>
    <row r="28" spans="1:21" ht="15.75" customHeight="1" x14ac:dyDescent="0.2">
      <c r="A28" s="232"/>
      <c r="B28" s="227" t="s">
        <v>480</v>
      </c>
      <c r="C28" s="178" t="s">
        <v>494</v>
      </c>
      <c r="D28" s="179">
        <f>(BS!L33+BS!L34)-(BS!K33+BS!K34)</f>
        <v>20770.330510720913</v>
      </c>
      <c r="E28" s="179">
        <f>(BS!M33+BS!M34)-(BS!L33+BS!L34)</f>
        <v>-28781.096673913758</v>
      </c>
      <c r="F28" s="179">
        <f>(BS!N33+BS!N34)-(BS!M33+BS!M34)</f>
        <v>3122.5226811700632</v>
      </c>
      <c r="G28" s="179">
        <f>(BS!O33+BS!O34)-(BS!N33+BS!N34)</f>
        <v>-303.8188893039187</v>
      </c>
      <c r="H28" s="179">
        <f>(BS!P33+BS!P34)-(BS!O33+BS!O34)</f>
        <v>11689.287206934488</v>
      </c>
      <c r="I28" s="179">
        <f>(BS!Q33+BS!Q34)-(BS!P33+BS!P34)</f>
        <v>-2393.4163159221425</v>
      </c>
      <c r="J28" s="179">
        <f>(BS!R33+BS!R34)-(BS!Q33+BS!Q34)</f>
        <v>-9693.3370296753565</v>
      </c>
      <c r="K28" s="179">
        <f>(BS!S33+BS!S34)-(BS!R33+BS!R34)</f>
        <v>3549.7865940282354</v>
      </c>
      <c r="L28" s="179">
        <f>(BS!T33+BS!T34)-(BS!S33+BS!S34)</f>
        <v>-7476.5874997502306</v>
      </c>
      <c r="M28" s="179">
        <f>(BS!U33+BS!U34)-(BS!T33+BS!T34)</f>
        <v>-402.20268349803882</v>
      </c>
      <c r="N28" s="179">
        <f>(BS!V33+BS!V34)-(BS!U33+BS!U34)</f>
        <v>2032.6893988518732</v>
      </c>
      <c r="O28" s="179">
        <f>(BS!W33+BS!W34)-(BS!V33+BS!V34)</f>
        <v>-2880.882136634933</v>
      </c>
      <c r="P28" s="179">
        <f>(BS!X33+BS!X34)-(BS!W33+BS!W34)</f>
        <v>8685.9217740200074</v>
      </c>
      <c r="Q28" s="179">
        <f>(BS!Y33+BS!Y34)-(BS!X33+BS!X34)</f>
        <v>-12348.059308474269</v>
      </c>
      <c r="R28" s="179">
        <f>(BS!Z33+BS!Z34)-(BS!Y33+BS!Y34)</f>
        <v>11899.31552486261</v>
      </c>
      <c r="S28" s="179">
        <f>(BS!AA33+BS!AA34)-(BS!Z33+BS!Z34)</f>
        <v>2501.4556680564565</v>
      </c>
      <c r="T28" s="179">
        <f>(BS!AB33+BS!AB34)-(BS!AA33+BS!AA34)</f>
        <v>-5915.1688102470398</v>
      </c>
      <c r="U28" s="179">
        <f>(BS!AC33+BS!AC34)-(BS!AB33+BS!AB34)</f>
        <v>7414.1376313775327</v>
      </c>
    </row>
    <row r="29" spans="1:21" ht="15.75" customHeight="1" x14ac:dyDescent="0.2">
      <c r="A29" s="186"/>
      <c r="B29" s="228" t="s">
        <v>481</v>
      </c>
      <c r="C29" s="180" t="s">
        <v>499</v>
      </c>
      <c r="D29" s="181">
        <f>(BS!L38+BS!L39+BS!L40)-(BS!K38+BS!K39+BS!K40)</f>
        <v>24204.624177036509</v>
      </c>
      <c r="E29" s="181">
        <f>(BS!M38+BS!M39+BS!M40)-(BS!L38+BS!L39+BS!L40)</f>
        <v>-24778.34797978073</v>
      </c>
      <c r="F29" s="181">
        <f>(BS!N38+BS!N39+BS!N40)-(BS!M38+BS!M39+BS!M40)</f>
        <v>-1517.6148383996042</v>
      </c>
      <c r="G29" s="181">
        <f>(BS!O38+BS!O39+BS!O40)-(BS!N38+BS!N39+BS!N40)</f>
        <v>14497.909937617165</v>
      </c>
      <c r="H29" s="181">
        <f>(BS!P38+BS!P39+BS!P40)-(BS!O38+BS!O39+BS!O40)</f>
        <v>-5299.9375210734579</v>
      </c>
      <c r="I29" s="181">
        <f>(BS!Q38+BS!Q39+BS!Q40)-(BS!P38+BS!P39+BS!P40)</f>
        <v>13507.509827681009</v>
      </c>
      <c r="J29" s="181">
        <f>(BS!R38+BS!R39+BS!R40)-(BS!Q38+BS!Q39+BS!Q40)</f>
        <v>-5280.0086157831902</v>
      </c>
      <c r="K29" s="181">
        <f>(BS!S38+BS!S39+BS!S40)-(BS!R38+BS!R39+BS!R40)</f>
        <v>-13891.09293852128</v>
      </c>
      <c r="L29" s="181">
        <f>(BS!T38+BS!T39+BS!T40)-(BS!S38+BS!S39+BS!S40)</f>
        <v>-3127.1179977630163</v>
      </c>
      <c r="M29" s="181">
        <f>(BS!U38+BS!U39+BS!U40)-(BS!T38+BS!T39+BS!T40)</f>
        <v>-5056.4653212505436</v>
      </c>
      <c r="N29" s="181">
        <f>(BS!V38+BS!V39+BS!V40)-(BS!U38+BS!U39+BS!U40)</f>
        <v>8038.4622563590383</v>
      </c>
      <c r="O29" s="181">
        <f>(BS!W38+BS!W39+BS!W40)-(BS!V38+BS!V39+BS!V40)</f>
        <v>-2765.3104612278621</v>
      </c>
      <c r="P29" s="181">
        <f>(BS!X38+BS!X39+BS!X40)-(BS!W38+BS!W39+BS!W40)</f>
        <v>-2986.8260024827905</v>
      </c>
      <c r="Q29" s="181">
        <f>(BS!Y38+BS!Y39+BS!Y40)-(BS!X38+BS!X39+BS!X40)</f>
        <v>8592.1379765853053</v>
      </c>
      <c r="R29" s="181">
        <f>(BS!Z38+BS!Z39+BS!Z40)-(BS!Y38+BS!Y39+BS!Y40)</f>
        <v>-2306.807846760792</v>
      </c>
      <c r="S29" s="181">
        <f>(BS!AA38+BS!AA39+BS!AA40)-(BS!Z38+BS!Z39+BS!Z40)</f>
        <v>5413.3603685810085</v>
      </c>
      <c r="T29" s="181">
        <f>(BS!AB38+BS!AB39+BS!AB40)-(BS!AA38+BS!AA39+BS!AA40)</f>
        <v>-105.54219097104942</v>
      </c>
      <c r="U29" s="181">
        <f>(BS!AC38+BS!AC39+BS!AC40)-(BS!AB38+BS!AB39+BS!AB40)</f>
        <v>-8997.7176728604536</v>
      </c>
    </row>
    <row r="30" spans="1:21" ht="15.75" customHeight="1" x14ac:dyDescent="0.2">
      <c r="A30" s="186"/>
      <c r="B30" s="228" t="s">
        <v>482</v>
      </c>
      <c r="C30" s="180" t="s">
        <v>499</v>
      </c>
      <c r="D30" s="181">
        <f>BS!L45+BS!L46</f>
        <v>15733.375959079283</v>
      </c>
      <c r="E30" s="181">
        <f>BS!M45+BS!M46</f>
        <v>7890.0836983990912</v>
      </c>
      <c r="F30" s="181">
        <f>BS!N45+BS!N46</f>
        <v>9509.354115731916</v>
      </c>
      <c r="G30" s="181">
        <f>BS!O45+BS!O46</f>
        <v>9560.4915702541257</v>
      </c>
      <c r="H30" s="181">
        <f>BS!P45+BS!P46</f>
        <v>9896.103146979267</v>
      </c>
      <c r="I30" s="181">
        <f>BS!Q45+BS!Q46</f>
        <v>11329.759559799668</v>
      </c>
      <c r="J30" s="181">
        <f>BS!R45+BS!R46</f>
        <v>9733.3751034222878</v>
      </c>
      <c r="K30" s="181">
        <f>BS!S45+BS!S46</f>
        <v>11176.917717568191</v>
      </c>
      <c r="L30" s="181">
        <f>BS!T45+BS!T46</f>
        <v>10151.923762762908</v>
      </c>
      <c r="M30" s="181">
        <f>BS!U45+BS!U46</f>
        <v>11000.188185982059</v>
      </c>
      <c r="N30" s="181">
        <f>BS!V45+BS!V46</f>
        <v>13332.326555091624</v>
      </c>
      <c r="O30" s="181">
        <f>BS!W45+BS!W46</f>
        <v>10582.645606781904</v>
      </c>
      <c r="P30" s="181">
        <f>BS!X45+BS!X46</f>
        <v>10144.850104096184</v>
      </c>
      <c r="Q30" s="181">
        <f>BS!Y45+BS!Y46</f>
        <v>24143.463852364664</v>
      </c>
      <c r="R30" s="181">
        <f>BS!Z45+BS!Z46</f>
        <v>12638.90280770547</v>
      </c>
      <c r="S30" s="181">
        <f>BS!AA45+BS!AA46</f>
        <v>10892.911697385858</v>
      </c>
      <c r="T30" s="181">
        <f>BS!AB45+BS!AB46</f>
        <v>19754.259645717058</v>
      </c>
      <c r="U30" s="181">
        <f>BS!AC45+BS!AC46</f>
        <v>13388.954731519385</v>
      </c>
    </row>
    <row r="31" spans="1:21" ht="15.75" customHeight="1" x14ac:dyDescent="0.2">
      <c r="A31" s="186"/>
      <c r="B31" s="228" t="s">
        <v>483</v>
      </c>
      <c r="C31" s="180" t="s">
        <v>498</v>
      </c>
      <c r="D31" s="181">
        <f>BS!K45+BS!K46</f>
        <v>13164.112703905092</v>
      </c>
      <c r="E31" s="181">
        <f>BS!L45+BS!L46</f>
        <v>15733.375959079283</v>
      </c>
      <c r="F31" s="181">
        <f>BS!M45+BS!M46</f>
        <v>7890.0836983990912</v>
      </c>
      <c r="G31" s="181">
        <f>BS!N45+BS!N46</f>
        <v>9509.354115731916</v>
      </c>
      <c r="H31" s="181">
        <f>BS!O45+BS!O46</f>
        <v>9560.4915702541257</v>
      </c>
      <c r="I31" s="181">
        <f>BS!P45+BS!P46</f>
        <v>9896.103146979267</v>
      </c>
      <c r="J31" s="181">
        <f>BS!Q45+BS!Q46</f>
        <v>11329.759559799668</v>
      </c>
      <c r="K31" s="181">
        <f>BS!R45+BS!R46</f>
        <v>9733.3751034222878</v>
      </c>
      <c r="L31" s="181">
        <f>BS!S45+BS!S46</f>
        <v>11176.917717568191</v>
      </c>
      <c r="M31" s="181">
        <f>BS!T45+BS!T46</f>
        <v>10151.923762762908</v>
      </c>
      <c r="N31" s="181">
        <f>BS!U45+BS!U46</f>
        <v>11000.188185982059</v>
      </c>
      <c r="O31" s="181">
        <f>BS!V45+BS!V46</f>
        <v>13332.326555091624</v>
      </c>
      <c r="P31" s="181">
        <f>BS!W45+BS!W46</f>
        <v>10582.645606781904</v>
      </c>
      <c r="Q31" s="181">
        <f>BS!X45+BS!X46</f>
        <v>10144.850104096184</v>
      </c>
      <c r="R31" s="181">
        <f>BS!Y45+BS!Y46</f>
        <v>24143.463852364664</v>
      </c>
      <c r="S31" s="181">
        <f>BS!Z45+BS!Z46</f>
        <v>12638.90280770547</v>
      </c>
      <c r="T31" s="181">
        <f>BS!AA45+BS!AA46</f>
        <v>10892.911697385858</v>
      </c>
      <c r="U31" s="181">
        <f>BS!AB45+BS!AB46</f>
        <v>19754.259645717058</v>
      </c>
    </row>
    <row r="32" spans="1:21"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row>
    <row r="33" spans="1:21" ht="15.75" customHeight="1" x14ac:dyDescent="0.2">
      <c r="A33" s="187"/>
      <c r="B33" s="209" t="s">
        <v>476</v>
      </c>
      <c r="C33" s="225"/>
      <c r="D33" s="226">
        <f t="shared" ref="D33:K33" si="16">D28+D29+D30-D31-D32</f>
        <v>47544.217942931609</v>
      </c>
      <c r="E33" s="226">
        <f t="shared" si="16"/>
        <v>-61402.736914374684</v>
      </c>
      <c r="F33" s="226">
        <f t="shared" si="16"/>
        <v>3224.1782601032837</v>
      </c>
      <c r="G33" s="226">
        <f t="shared" si="16"/>
        <v>14245.228502835456</v>
      </c>
      <c r="H33" s="226">
        <f t="shared" si="16"/>
        <v>6724.9612625861719</v>
      </c>
      <c r="I33" s="226">
        <f t="shared" si="16"/>
        <v>12547.74992457927</v>
      </c>
      <c r="J33" s="226">
        <f t="shared" si="16"/>
        <v>-16569.730101835929</v>
      </c>
      <c r="K33" s="226">
        <f t="shared" si="16"/>
        <v>-8897.763730347142</v>
      </c>
      <c r="L33" s="226">
        <f t="shared" ref="L33:U33" si="17">L28+L29+L30-L31-L32</f>
        <v>-11628.699452318529</v>
      </c>
      <c r="M33" s="226">
        <f t="shared" si="17"/>
        <v>-4610.4035815294319</v>
      </c>
      <c r="N33" s="226">
        <f t="shared" si="17"/>
        <v>12403.290024320477</v>
      </c>
      <c r="O33" s="226">
        <f t="shared" si="17"/>
        <v>-8395.8735461725155</v>
      </c>
      <c r="P33" s="226">
        <f t="shared" si="17"/>
        <v>5261.3002688514971</v>
      </c>
      <c r="Q33" s="226">
        <f t="shared" ref="Q33:R33" si="18">Q28+Q29+Q30-Q31-Q32</f>
        <v>10242.692416379517</v>
      </c>
      <c r="R33" s="226">
        <f t="shared" si="18"/>
        <v>-1912.0533665573748</v>
      </c>
      <c r="S33" s="226">
        <f t="shared" ref="S33:T33" si="19">S28+S29+S30-S31-S32</f>
        <v>6168.8249263178532</v>
      </c>
      <c r="T33" s="226">
        <f t="shared" si="19"/>
        <v>2840.6369471131111</v>
      </c>
      <c r="U33" s="226">
        <f t="shared" si="17"/>
        <v>-7948.8849556805944</v>
      </c>
    </row>
    <row r="34" spans="1:21"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row>
    <row r="35" spans="1:21" ht="15.75" customHeight="1" x14ac:dyDescent="0.2">
      <c r="A35" s="232"/>
      <c r="B35" s="227" t="s">
        <v>486</v>
      </c>
      <c r="C35" s="178" t="s">
        <v>492</v>
      </c>
      <c r="D35" s="179">
        <f>BS!L10</f>
        <v>26504.582267689686</v>
      </c>
      <c r="E35" s="179">
        <f>BS!M10</f>
        <v>35326.464873434525</v>
      </c>
      <c r="F35" s="179">
        <f>BS!N10</f>
        <v>35954.894530504927</v>
      </c>
      <c r="G35" s="179">
        <f>BS!O10</f>
        <v>29734.554696047773</v>
      </c>
      <c r="H35" s="179">
        <f>BS!P10</f>
        <v>25889.850774199989</v>
      </c>
      <c r="I35" s="179">
        <f>BS!Q10</f>
        <v>31289.607143108198</v>
      </c>
      <c r="J35" s="179">
        <f>BS!R10</f>
        <v>21712.828266911769</v>
      </c>
      <c r="K35" s="179">
        <f>BS!S10</f>
        <v>23129.40110458932</v>
      </c>
      <c r="L35" s="179">
        <f>BS!T10</f>
        <v>23349.824716680963</v>
      </c>
      <c r="M35" s="179">
        <f>BS!U10</f>
        <v>27674.215965520834</v>
      </c>
      <c r="N35" s="179">
        <f>BS!V10</f>
        <v>36476.654585097771</v>
      </c>
      <c r="O35" s="179">
        <f>BS!W10</f>
        <v>35658.775079066894</v>
      </c>
      <c r="P35" s="179">
        <f>BS!X10</f>
        <v>29807.537062013656</v>
      </c>
      <c r="Q35" s="179">
        <f>BS!Y10</f>
        <v>38735.519938480014</v>
      </c>
      <c r="R35" s="179">
        <f>BS!Z10</f>
        <v>35265.224642052191</v>
      </c>
      <c r="S35" s="179">
        <f>BS!AA10</f>
        <v>42530.441031201059</v>
      </c>
      <c r="T35" s="179">
        <f>BS!AB10</f>
        <v>51965.077165736475</v>
      </c>
      <c r="U35" s="179">
        <f>BS!AC10</f>
        <v>43821.682879845896</v>
      </c>
    </row>
    <row r="36" spans="1:21" ht="15.75" customHeight="1" x14ac:dyDescent="0.2">
      <c r="A36" s="186"/>
      <c r="B36" s="230" t="s">
        <v>487</v>
      </c>
      <c r="C36" s="182" t="s">
        <v>498</v>
      </c>
      <c r="D36" s="183">
        <f>BS!K10</f>
        <v>29551.161641127001</v>
      </c>
      <c r="E36" s="183">
        <f>BS!L10</f>
        <v>26504.582267689686</v>
      </c>
      <c r="F36" s="183">
        <f>BS!M10</f>
        <v>35326.464873434525</v>
      </c>
      <c r="G36" s="183">
        <f>BS!N10</f>
        <v>35954.894530504927</v>
      </c>
      <c r="H36" s="183">
        <f>BS!O10</f>
        <v>29734.554696047773</v>
      </c>
      <c r="I36" s="183">
        <f>BS!P10</f>
        <v>25889.850774199989</v>
      </c>
      <c r="J36" s="183">
        <f>BS!Q10</f>
        <v>31289.607143108198</v>
      </c>
      <c r="K36" s="183">
        <f>BS!R10</f>
        <v>21712.828266911769</v>
      </c>
      <c r="L36" s="183">
        <f>BS!S10</f>
        <v>23129.40110458932</v>
      </c>
      <c r="M36" s="183">
        <f>BS!T10</f>
        <v>23349.824716680963</v>
      </c>
      <c r="N36" s="183">
        <f>BS!U10</f>
        <v>27674.215965520834</v>
      </c>
      <c r="O36" s="183">
        <f>BS!V10</f>
        <v>36476.654585097771</v>
      </c>
      <c r="P36" s="183">
        <f>BS!W10</f>
        <v>35658.775079066894</v>
      </c>
      <c r="Q36" s="183">
        <f>BS!X10</f>
        <v>29807.537062013656</v>
      </c>
      <c r="R36" s="183">
        <f>BS!Y10</f>
        <v>38735.519938480014</v>
      </c>
      <c r="S36" s="183">
        <f>BS!Z10</f>
        <v>35265.224642052191</v>
      </c>
      <c r="T36" s="183">
        <f>BS!AA10</f>
        <v>42530.441031201059</v>
      </c>
      <c r="U36" s="183">
        <f>BS!AB10</f>
        <v>51965.077165736475</v>
      </c>
    </row>
    <row r="37" spans="1:21" ht="15.75" customHeight="1" x14ac:dyDescent="0.2">
      <c r="A37" s="187"/>
      <c r="B37" s="209" t="s">
        <v>476</v>
      </c>
      <c r="C37" s="225"/>
      <c r="D37" s="226">
        <f t="shared" ref="D37:K37" si="20">+D35-D36</f>
        <v>-3046.5793734373146</v>
      </c>
      <c r="E37" s="226">
        <f t="shared" si="20"/>
        <v>8821.8826057448387</v>
      </c>
      <c r="F37" s="226">
        <f t="shared" si="20"/>
        <v>628.42965707040275</v>
      </c>
      <c r="G37" s="226">
        <f t="shared" si="20"/>
        <v>-6220.3398344571542</v>
      </c>
      <c r="H37" s="226">
        <f t="shared" si="20"/>
        <v>-3844.7039218477839</v>
      </c>
      <c r="I37" s="226">
        <f t="shared" si="20"/>
        <v>5399.756368908209</v>
      </c>
      <c r="J37" s="226">
        <f t="shared" si="20"/>
        <v>-9576.7788761964293</v>
      </c>
      <c r="K37" s="226">
        <f t="shared" si="20"/>
        <v>1416.5728376775514</v>
      </c>
      <c r="L37" s="226">
        <f t="shared" ref="L37:U37" si="21">+L35-L36</f>
        <v>220.42361209164301</v>
      </c>
      <c r="M37" s="226">
        <f t="shared" si="21"/>
        <v>4324.391248839871</v>
      </c>
      <c r="N37" s="226">
        <f t="shared" si="21"/>
        <v>8802.4386195769366</v>
      </c>
      <c r="O37" s="226">
        <f t="shared" si="21"/>
        <v>-817.87950603087666</v>
      </c>
      <c r="P37" s="226">
        <f t="shared" si="21"/>
        <v>-5851.2380170532379</v>
      </c>
      <c r="Q37" s="226">
        <f t="shared" ref="Q37:R37" si="22">+Q35-Q36</f>
        <v>8927.982876466358</v>
      </c>
      <c r="R37" s="226">
        <f t="shared" si="22"/>
        <v>-3470.2952964278229</v>
      </c>
      <c r="S37" s="226">
        <f t="shared" ref="S37:T37" si="23">+S35-S36</f>
        <v>7265.2163891488672</v>
      </c>
      <c r="T37" s="226">
        <f t="shared" si="23"/>
        <v>9434.6361345354162</v>
      </c>
      <c r="U37" s="226">
        <f t="shared" si="21"/>
        <v>-8143.3942858905793</v>
      </c>
    </row>
    <row r="38" spans="1:21"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row>
    <row r="39" spans="1:21" ht="15.75" customHeight="1" x14ac:dyDescent="0.2">
      <c r="A39" s="232"/>
      <c r="B39" s="233" t="s">
        <v>489</v>
      </c>
      <c r="C39" s="234" t="s">
        <v>504</v>
      </c>
      <c r="D39" s="235">
        <f>D22</f>
        <v>-27731.748837642397</v>
      </c>
      <c r="E39" s="235">
        <f>E22</f>
        <v>26708.294125822038</v>
      </c>
      <c r="F39" s="235">
        <f t="shared" ref="F39:K39" si="24">F22</f>
        <v>5232.6939750049096</v>
      </c>
      <c r="G39" s="235">
        <f t="shared" si="24"/>
        <v>-9638.2571228288307</v>
      </c>
      <c r="H39" s="235">
        <f t="shared" si="24"/>
        <v>2955.5863631492703</v>
      </c>
      <c r="I39" s="235">
        <f t="shared" si="24"/>
        <v>-3385.8709523925972</v>
      </c>
      <c r="J39" s="235">
        <f t="shared" si="24"/>
        <v>20888.034540110864</v>
      </c>
      <c r="K39" s="235">
        <f t="shared" si="24"/>
        <v>-11971.745336634149</v>
      </c>
      <c r="L39" s="235">
        <f t="shared" ref="L39:U39" si="25">L22</f>
        <v>9162.1739709877093</v>
      </c>
      <c r="M39" s="235">
        <f t="shared" si="25"/>
        <v>18357.426242813457</v>
      </c>
      <c r="N39" s="235">
        <f t="shared" si="25"/>
        <v>-19465.010745750387</v>
      </c>
      <c r="O39" s="235">
        <f t="shared" si="25"/>
        <v>14822.560632685203</v>
      </c>
      <c r="P39" s="235">
        <f t="shared" si="25"/>
        <v>14221.499044252967</v>
      </c>
      <c r="Q39" s="235">
        <f t="shared" ref="Q39:R39" si="26">Q22</f>
        <v>7922.1181207887821</v>
      </c>
      <c r="R39" s="235">
        <f t="shared" si="26"/>
        <v>1270.7912780778424</v>
      </c>
      <c r="S39" s="235">
        <f t="shared" ref="S39:T39" si="27">S22</f>
        <v>95.669888836038808</v>
      </c>
      <c r="T39" s="235">
        <f t="shared" si="27"/>
        <v>103103.55886595877</v>
      </c>
      <c r="U39" s="235">
        <f t="shared" si="25"/>
        <v>3712.0634164700205</v>
      </c>
    </row>
    <row r="40" spans="1:21" ht="15.75" customHeight="1" x14ac:dyDescent="0.2">
      <c r="A40" s="186"/>
      <c r="B40" s="230" t="s">
        <v>490</v>
      </c>
      <c r="C40" s="182" t="s">
        <v>491</v>
      </c>
      <c r="D40" s="183">
        <f>D26</f>
        <v>-22859.048478726527</v>
      </c>
      <c r="E40" s="183">
        <f>E26</f>
        <v>43516.325394297484</v>
      </c>
      <c r="F40" s="183">
        <f t="shared" ref="F40:K40" si="28">F26</f>
        <v>-7828.4425780377896</v>
      </c>
      <c r="G40" s="183">
        <f t="shared" si="28"/>
        <v>-10827.31121446378</v>
      </c>
      <c r="H40" s="183">
        <f t="shared" si="28"/>
        <v>-13525.251547583226</v>
      </c>
      <c r="I40" s="183">
        <f t="shared" si="28"/>
        <v>-3762.1226032784634</v>
      </c>
      <c r="J40" s="183">
        <f t="shared" si="28"/>
        <v>-13895.083314471365</v>
      </c>
      <c r="K40" s="183">
        <f t="shared" si="28"/>
        <v>22286.081904658844</v>
      </c>
      <c r="L40" s="183">
        <f t="shared" ref="L40:U40" si="29">L26</f>
        <v>2686.9490934224632</v>
      </c>
      <c r="M40" s="183">
        <f t="shared" si="29"/>
        <v>-9422.6314124441542</v>
      </c>
      <c r="N40" s="183">
        <f t="shared" si="29"/>
        <v>15864.159341006847</v>
      </c>
      <c r="O40" s="183">
        <f t="shared" si="29"/>
        <v>-7244.5665925435642</v>
      </c>
      <c r="P40" s="183">
        <f t="shared" si="29"/>
        <v>-25334.037330157702</v>
      </c>
      <c r="Q40" s="183">
        <f t="shared" ref="Q40:R40" si="30">Q26</f>
        <v>-9236.8276607019397</v>
      </c>
      <c r="R40" s="183">
        <f t="shared" si="30"/>
        <v>-2829.0332079482905</v>
      </c>
      <c r="S40" s="183">
        <f t="shared" ref="S40:T40" si="31">S26</f>
        <v>1000.7215739949752</v>
      </c>
      <c r="T40" s="183">
        <f t="shared" si="31"/>
        <v>-96509.559678536461</v>
      </c>
      <c r="U40" s="183">
        <f t="shared" si="29"/>
        <v>-3906.5727466800054</v>
      </c>
    </row>
    <row r="41" spans="1:21" ht="15.75" customHeight="1" x14ac:dyDescent="0.2">
      <c r="A41" s="187"/>
      <c r="B41" s="209" t="s">
        <v>476</v>
      </c>
      <c r="C41" s="225"/>
      <c r="D41" s="226">
        <f t="shared" ref="D41:K41" si="32">D39+D40</f>
        <v>-50590.797316368924</v>
      </c>
      <c r="E41" s="226">
        <f t="shared" si="32"/>
        <v>70224.619520119522</v>
      </c>
      <c r="F41" s="226">
        <f t="shared" si="32"/>
        <v>-2595.7486030328801</v>
      </c>
      <c r="G41" s="226">
        <f t="shared" si="32"/>
        <v>-20465.568337292611</v>
      </c>
      <c r="H41" s="226">
        <f t="shared" si="32"/>
        <v>-10569.665184433956</v>
      </c>
      <c r="I41" s="226">
        <f t="shared" si="32"/>
        <v>-7147.9935556710607</v>
      </c>
      <c r="J41" s="226">
        <f t="shared" si="32"/>
        <v>6992.9512256394992</v>
      </c>
      <c r="K41" s="226">
        <f t="shared" si="32"/>
        <v>10314.336568024695</v>
      </c>
      <c r="L41" s="226">
        <f t="shared" ref="L41:U41" si="33">L39+L40</f>
        <v>11849.123064410172</v>
      </c>
      <c r="M41" s="226">
        <f t="shared" si="33"/>
        <v>8934.7948303693029</v>
      </c>
      <c r="N41" s="226">
        <f t="shared" si="33"/>
        <v>-3600.8514047435401</v>
      </c>
      <c r="O41" s="226">
        <f t="shared" si="33"/>
        <v>7577.9940401416388</v>
      </c>
      <c r="P41" s="226">
        <f t="shared" si="33"/>
        <v>-11112.538285904735</v>
      </c>
      <c r="Q41" s="226">
        <f t="shared" ref="Q41:R41" si="34">Q39+Q40</f>
        <v>-1314.7095399131576</v>
      </c>
      <c r="R41" s="226">
        <f t="shared" si="34"/>
        <v>-1558.2419298704481</v>
      </c>
      <c r="S41" s="226">
        <f t="shared" ref="S41:T41" si="35">S39+S40</f>
        <v>1096.391462831014</v>
      </c>
      <c r="T41" s="226">
        <f t="shared" si="35"/>
        <v>6593.9991874223051</v>
      </c>
      <c r="U41" s="226">
        <f t="shared" si="33"/>
        <v>-194.50933020998491</v>
      </c>
    </row>
    <row r="42" spans="1:21" x14ac:dyDescent="0.2">
      <c r="B42" s="31" t="s">
        <v>582</v>
      </c>
    </row>
  </sheetData>
  <sheetProtection algorithmName="SHA-512" hashValue="UvGJYa50R+NTzTx/XML+cHAX6j2LY5RKyRgBIaanRe6n0YRFHWObDdCsAui46UT7pzakQ+2DKt8nDqmQQlRxiw==" saltValue="gBmxigVchrVZbJaa8jVgjA=="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topLeftCell="A73"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森川 雅章</cp:lastModifiedBy>
  <cp:lastPrinted>2016-06-02T03:51:42Z</cp:lastPrinted>
  <dcterms:created xsi:type="dcterms:W3CDTF">2009-06-23T03:53:45Z</dcterms:created>
  <dcterms:modified xsi:type="dcterms:W3CDTF">2023-03-31T01:26:13Z</dcterms:modified>
</cp:coreProperties>
</file>