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0CAD3D34-8FE2-4493-8CC2-D3E6F4368745}"/>
  <bookViews>
    <workbookView xWindow="-108" yWindow="-108" windowWidth="23256" windowHeight="12720" activeTab="5"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38" i="5"/>
  <c r="T33" i="5"/>
  <c r="T37" i="5" s="1"/>
  <c r="T32" i="5"/>
  <c r="T31" i="5"/>
  <c r="T30" i="5"/>
  <c r="T35" i="5" s="1"/>
  <c r="T29" i="5"/>
  <c r="T28" i="5"/>
  <c r="T27" i="5"/>
  <c r="T26" i="5"/>
  <c r="T25" i="5"/>
  <c r="T24" i="5"/>
  <c r="T23" i="5"/>
  <c r="T20" i="5"/>
  <c r="T19" i="5"/>
  <c r="T18" i="5"/>
  <c r="T17" i="5"/>
  <c r="T16" i="5"/>
  <c r="T15" i="5"/>
  <c r="T13" i="5"/>
  <c r="T12" i="5"/>
  <c r="T45" i="5" s="1"/>
  <c r="T11" i="5"/>
  <c r="T22" i="5" s="1"/>
  <c r="T34" i="5" s="1"/>
  <c r="T36" i="5" s="1"/>
  <c r="T9" i="5"/>
  <c r="T8" i="5"/>
  <c r="T7" i="5"/>
  <c r="T6" i="5"/>
  <c r="T5" i="5"/>
  <c r="T32" i="6"/>
  <c r="T25" i="6"/>
  <c r="AM25" i="6" s="1"/>
  <c r="T24" i="6"/>
  <c r="AM24" i="6" s="1"/>
  <c r="T23" i="6"/>
  <c r="T22" i="6"/>
  <c r="T21" i="6"/>
  <c r="AM21" i="6" s="1"/>
  <c r="T20" i="6"/>
  <c r="AM20" i="6" s="1"/>
  <c r="T19" i="6"/>
  <c r="T18" i="6"/>
  <c r="T17" i="6"/>
  <c r="AM17" i="6" s="1"/>
  <c r="T16" i="6"/>
  <c r="AM16" i="6" s="1"/>
  <c r="T14" i="6"/>
  <c r="T13" i="6"/>
  <c r="T12" i="6"/>
  <c r="AM12" i="6" s="1"/>
  <c r="T11" i="6"/>
  <c r="T10" i="6"/>
  <c r="T9" i="6"/>
  <c r="AM9" i="6" s="1"/>
  <c r="T8" i="6"/>
  <c r="T7" i="6"/>
  <c r="T6" i="6"/>
  <c r="T5" i="6"/>
  <c r="AM7" i="6" s="1"/>
  <c r="CQ81" i="3"/>
  <c r="CT80" i="3" s="1"/>
  <c r="CL81" i="3"/>
  <c r="CL78" i="3"/>
  <c r="CL80" i="3" s="1"/>
  <c r="CL76" i="3"/>
  <c r="CL71" i="3"/>
  <c r="CL66" i="3"/>
  <c r="CQ64" i="3"/>
  <c r="CQ65" i="3"/>
  <c r="CL65" i="3"/>
  <c r="CL64" i="3"/>
  <c r="CL54" i="3"/>
  <c r="CL53" i="3"/>
  <c r="CL55" i="3" s="1"/>
  <c r="CL50" i="3"/>
  <c r="CL45" i="3"/>
  <c r="CL44" i="3"/>
  <c r="CL46" i="3" s="1"/>
  <c r="CO45" i="3" s="1"/>
  <c r="CL43" i="3"/>
  <c r="CL39" i="3"/>
  <c r="CL41" i="3" s="1"/>
  <c r="CL35" i="3"/>
  <c r="CL33" i="3"/>
  <c r="CL31" i="3"/>
  <c r="CL30" i="3"/>
  <c r="CL19" i="3"/>
  <c r="CQ62" i="3" s="1"/>
  <c r="CL15" i="3"/>
  <c r="CQ61" i="3" s="1"/>
  <c r="CL12" i="3"/>
  <c r="CL70" i="3" s="1"/>
  <c r="CO6" i="3"/>
  <c r="CL9" i="3"/>
  <c r="CL7" i="3"/>
  <c r="CQ67" i="3" s="1"/>
  <c r="CL6" i="3"/>
  <c r="CL40" i="3" s="1"/>
  <c r="CL51" i="3"/>
  <c r="CL17" i="3"/>
  <c r="CL8" i="3"/>
  <c r="V70" i="7"/>
  <c r="V71" i="7" s="1"/>
  <c r="V69" i="7"/>
  <c r="V68" i="7"/>
  <c r="V66" i="7"/>
  <c r="V64" i="7"/>
  <c r="V51" i="7"/>
  <c r="V44" i="7"/>
  <c r="V40" i="7"/>
  <c r="V35" i="7"/>
  <c r="V34" i="7"/>
  <c r="V30" i="7"/>
  <c r="V29" i="7"/>
  <c r="V28" i="7"/>
  <c r="V16" i="7"/>
  <c r="V15" i="7"/>
  <c r="V14" i="7"/>
  <c r="V13" i="7"/>
  <c r="V26" i="7" s="1"/>
  <c r="V11" i="7"/>
  <c r="V10" i="7"/>
  <c r="V9" i="7"/>
  <c r="V8" i="7"/>
  <c r="V7" i="7"/>
  <c r="V6" i="7"/>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S24" i="6"/>
  <c r="S23" i="6"/>
  <c r="S22" i="6"/>
  <c r="S21" i="6"/>
  <c r="S20" i="6"/>
  <c r="S19" i="6"/>
  <c r="S18" i="6"/>
  <c r="S17" i="6"/>
  <c r="AL17" i="6" s="1"/>
  <c r="S16" i="6"/>
  <c r="S14" i="6"/>
  <c r="S13" i="6"/>
  <c r="S12" i="6"/>
  <c r="S11" i="6"/>
  <c r="S10" i="6"/>
  <c r="S9" i="6"/>
  <c r="S8" i="6"/>
  <c r="S7" i="6"/>
  <c r="S6" i="6"/>
  <c r="S5" i="6"/>
  <c r="S31" i="6" s="1"/>
  <c r="CQ80" i="3"/>
  <c r="CG81" i="3"/>
  <c r="CQ78" i="3"/>
  <c r="CG78" i="3"/>
  <c r="CG80" i="3" s="1"/>
  <c r="CQ76" i="3"/>
  <c r="CG76" i="3"/>
  <c r="CQ71" i="3"/>
  <c r="CG71" i="3"/>
  <c r="CG64" i="3"/>
  <c r="CQ54" i="3"/>
  <c r="CG54" i="3"/>
  <c r="CQ53" i="3"/>
  <c r="CQ55" i="3" s="1"/>
  <c r="CG53" i="3"/>
  <c r="CQ50" i="3"/>
  <c r="CG50" i="3"/>
  <c r="CQ45" i="3"/>
  <c r="CG45" i="3"/>
  <c r="CG44" i="3"/>
  <c r="CQ44" i="3"/>
  <c r="CQ43" i="3"/>
  <c r="CG43" i="3"/>
  <c r="CQ39" i="3"/>
  <c r="CQ41" i="3" s="1"/>
  <c r="CG39" i="3"/>
  <c r="CQ35" i="3"/>
  <c r="CG35" i="3"/>
  <c r="CQ33" i="3"/>
  <c r="CG33" i="3"/>
  <c r="CQ31" i="3"/>
  <c r="CG31" i="3"/>
  <c r="CQ30" i="3"/>
  <c r="CG30" i="3"/>
  <c r="CQ19" i="3"/>
  <c r="CG19" i="3"/>
  <c r="CQ15" i="3"/>
  <c r="CG15" i="3"/>
  <c r="CL61" i="3" s="1"/>
  <c r="CQ12" i="3"/>
  <c r="CQ70" i="3" s="1"/>
  <c r="CG12" i="3"/>
  <c r="CL59" i="3" s="1"/>
  <c r="CQ9" i="3"/>
  <c r="CT8" i="3" s="1"/>
  <c r="CG9" i="3"/>
  <c r="CQ7" i="3"/>
  <c r="CQ49" i="3" s="1"/>
  <c r="CQ6" i="3"/>
  <c r="CQ17" i="3" s="1"/>
  <c r="CG7" i="3"/>
  <c r="CG6" i="3"/>
  <c r="CQ32" i="3"/>
  <c r="CT31" i="3" s="1"/>
  <c r="CQ28" i="3"/>
  <c r="CQ14" i="3"/>
  <c r="CQ8"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7" i="8" s="1"/>
  <c r="S24" i="8" s="1"/>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T43" i="3" l="1"/>
  <c r="CT53" i="3"/>
  <c r="CL58" i="3"/>
  <c r="S47" i="5"/>
  <c r="AM6" i="6"/>
  <c r="AM10" i="6"/>
  <c r="AM8" i="6"/>
  <c r="AM13" i="6"/>
  <c r="CL69" i="3"/>
  <c r="CO69" i="3" s="1"/>
  <c r="AM11" i="6"/>
  <c r="T47" i="5"/>
  <c r="V33" i="7"/>
  <c r="T41" i="5"/>
  <c r="V54" i="7"/>
  <c r="CO64" i="3"/>
  <c r="CQ66" i="3"/>
  <c r="AM18" i="6"/>
  <c r="CO80" i="3"/>
  <c r="V48" i="7"/>
  <c r="V20" i="7"/>
  <c r="AM22" i="6"/>
  <c r="AL22" i="6"/>
  <c r="V56" i="7"/>
  <c r="CO50" i="3"/>
  <c r="AM19" i="6"/>
  <c r="T28" i="6"/>
  <c r="T44" i="5"/>
  <c r="CO22" i="3"/>
  <c r="CL24" i="3" s="1"/>
  <c r="CO11" i="3"/>
  <c r="CQ59" i="3"/>
  <c r="CQ63" i="3"/>
  <c r="V63" i="7"/>
  <c r="CL14" i="3"/>
  <c r="CO13" i="3" s="1"/>
  <c r="CO8" i="3"/>
  <c r="CL60" i="3"/>
  <c r="T34" i="6"/>
  <c r="T49" i="5"/>
  <c r="T39" i="5"/>
  <c r="T16" i="9"/>
  <c r="T20" i="9"/>
  <c r="V12" i="7"/>
  <c r="V25" i="7" s="1"/>
  <c r="CL36" i="3"/>
  <c r="CO35" i="3" s="1"/>
  <c r="CQ60" i="3"/>
  <c r="CT60" i="3" s="1"/>
  <c r="AM5" i="6"/>
  <c r="T5" i="9"/>
  <c r="T17" i="9" s="1"/>
  <c r="T10" i="5"/>
  <c r="CT62" i="3"/>
  <c r="CL62" i="3"/>
  <c r="CO40" i="3"/>
  <c r="CQ58" i="3"/>
  <c r="CL63" i="3"/>
  <c r="CO53" i="3"/>
  <c r="V50" i="7"/>
  <c r="CL48" i="3"/>
  <c r="R44" i="5"/>
  <c r="S41" i="5"/>
  <c r="CT66" i="3"/>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O48" i="3" s="1"/>
  <c r="CL56" i="3"/>
  <c r="CO55" i="3" s="1"/>
  <c r="CL74" i="3"/>
  <c r="CL16" i="3"/>
  <c r="CO15" i="3" s="1"/>
  <c r="CL25" i="3"/>
  <c r="CO24" i="3" s="1"/>
  <c r="CL29" i="3"/>
  <c r="CO29" i="3" s="1"/>
  <c r="CL34" i="3"/>
  <c r="CO33" i="3" s="1"/>
  <c r="CL38" i="3"/>
  <c r="CO38" i="3" s="1"/>
  <c r="V18" i="7"/>
  <c r="V22" i="7"/>
  <c r="V27" i="7"/>
  <c r="V32" i="7"/>
  <c r="V24" i="7"/>
  <c r="V53" i="7"/>
  <c r="V21" i="7"/>
  <c r="V19" i="7"/>
  <c r="U48" i="7"/>
  <c r="U33" i="7"/>
  <c r="U54" i="7"/>
  <c r="U24" i="7"/>
  <c r="U56" i="7"/>
  <c r="U26" i="7"/>
  <c r="T18" i="9"/>
  <c r="T19" i="9"/>
  <c r="S33" i="8"/>
  <c r="CQ51" i="3"/>
  <c r="CT50" i="3" s="1"/>
  <c r="U50" i="7"/>
  <c r="AL23" i="6"/>
  <c r="S46" i="5"/>
  <c r="U20" i="7"/>
  <c r="S37" i="5"/>
  <c r="CQ48" i="3"/>
  <c r="CT48" i="3" s="1"/>
  <c r="S45" i="5"/>
  <c r="T22" i="8"/>
  <c r="T33" i="8"/>
  <c r="U66" i="7"/>
  <c r="AL8" i="6"/>
  <c r="AL12" i="6"/>
  <c r="S20" i="9"/>
  <c r="U12" i="7"/>
  <c r="U25" i="7" s="1"/>
  <c r="AL13" i="6"/>
  <c r="S10" i="5"/>
  <c r="R47" i="5"/>
  <c r="U63" i="7"/>
  <c r="S49" i="5"/>
  <c r="S34" i="5"/>
  <c r="CG69" i="3"/>
  <c r="S32" i="6"/>
  <c r="S33" i="6" s="1"/>
  <c r="S5" i="9"/>
  <c r="S17" i="9" s="1"/>
  <c r="AL5" i="6"/>
  <c r="S22" i="8"/>
  <c r="S25" i="8" s="1"/>
  <c r="S26" i="8" s="1"/>
  <c r="S40" i="8" s="1"/>
  <c r="S43" i="5"/>
  <c r="U46" i="5"/>
  <c r="U37" i="5"/>
  <c r="S29" i="6"/>
  <c r="CQ46" i="3"/>
  <c r="CT45" i="3" s="1"/>
  <c r="CT38" i="3"/>
  <c r="CQ27" i="3"/>
  <c r="CT27" i="3" s="1"/>
  <c r="CQ79" i="3"/>
  <c r="CT78" i="3" s="1"/>
  <c r="CT6" i="3"/>
  <c r="CQ40" i="3"/>
  <c r="CT40" i="3" s="1"/>
  <c r="CQ18" i="3"/>
  <c r="CT17" i="3" s="1"/>
  <c r="CQ36" i="3"/>
  <c r="CT35" i="3" s="1"/>
  <c r="CQ56" i="3"/>
  <c r="CT55" i="3" s="1"/>
  <c r="CQ74" i="3"/>
  <c r="CQ20" i="3"/>
  <c r="CT19" i="3" s="1"/>
  <c r="CQ16" i="3"/>
  <c r="CT15" i="3" s="1"/>
  <c r="CQ25" i="3"/>
  <c r="CQ29" i="3"/>
  <c r="CT29" i="3" s="1"/>
  <c r="CQ34" i="3"/>
  <c r="CT33" i="3" s="1"/>
  <c r="CQ38" i="3"/>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B15" i="3"/>
  <c r="CO60" i="3" s="1"/>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S35" i="6" l="1"/>
  <c r="CL72" i="3"/>
  <c r="CO71" i="3" s="1"/>
  <c r="CL73" i="3"/>
  <c r="CL75" i="3" s="1"/>
  <c r="CO75" i="3" s="1"/>
  <c r="CO62" i="3"/>
  <c r="S36" i="5"/>
  <c r="CO27" i="3"/>
  <c r="S34" i="6"/>
  <c r="CT58" i="3"/>
  <c r="T39" i="8"/>
  <c r="V60" i="7"/>
  <c r="V59" i="7"/>
  <c r="CB70" i="3"/>
  <c r="CO58" i="3"/>
  <c r="CG67" i="3"/>
  <c r="CO66" i="3"/>
  <c r="U21" i="7"/>
  <c r="U18" i="7"/>
  <c r="T25" i="8"/>
  <c r="T26" i="8" s="1"/>
  <c r="T40" i="8" s="1"/>
  <c r="S39" i="8"/>
  <c r="S41" i="8" s="1"/>
  <c r="S39" i="5"/>
  <c r="S19" i="9"/>
  <c r="U36" i="5"/>
  <c r="S18" i="9"/>
  <c r="U59" i="7"/>
  <c r="U61" i="7"/>
  <c r="U60" i="7"/>
  <c r="R36" i="5"/>
  <c r="R39" i="5"/>
  <c r="R27" i="6"/>
  <c r="AK18" i="6"/>
  <c r="R30" i="6"/>
  <c r="AK19" i="6"/>
  <c r="AK16" i="6"/>
  <c r="AK20" i="6"/>
  <c r="AK24" i="6"/>
  <c r="AK6" i="6"/>
  <c r="AK10" i="6"/>
  <c r="U39" i="5"/>
  <c r="CB69" i="3"/>
  <c r="R48" i="5"/>
  <c r="R49" i="5" s="1"/>
  <c r="R31" i="6"/>
  <c r="CE53" i="3"/>
  <c r="R28" i="6"/>
  <c r="AK12" i="6"/>
  <c r="CB13" i="3"/>
  <c r="T12" i="7"/>
  <c r="T21" i="7" s="1"/>
  <c r="R32" i="6"/>
  <c r="R33" i="6" s="1"/>
  <c r="T63" i="7"/>
  <c r="T66" i="7"/>
  <c r="AK9" i="6"/>
  <c r="AK7" i="6"/>
  <c r="AK11" i="6"/>
  <c r="R5" i="9"/>
  <c r="CG61" i="3"/>
  <c r="CG59" i="3"/>
  <c r="CG63" i="3"/>
  <c r="AK8" i="6"/>
  <c r="CE69" i="3"/>
  <c r="AK5" i="6"/>
  <c r="AK13" i="6"/>
  <c r="CB79" i="3"/>
  <c r="CE78" i="3" s="1"/>
  <c r="T53" i="7"/>
  <c r="CE64" i="3"/>
  <c r="AK22" i="6"/>
  <c r="AK23" i="6"/>
  <c r="CE55" i="3"/>
  <c r="R29" i="6"/>
  <c r="CE80" i="3"/>
  <c r="T54" i="7"/>
  <c r="T26" i="7"/>
  <c r="R21" i="9"/>
  <c r="R37" i="8"/>
  <c r="R24" i="8" s="1"/>
  <c r="R33" i="8"/>
  <c r="R22" i="8"/>
  <c r="CB51" i="3"/>
  <c r="CE50" i="3" s="1"/>
  <c r="CB48" i="3"/>
  <c r="T50" i="7"/>
  <c r="CB49" i="3"/>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B27" i="3"/>
  <c r="CB32" i="3"/>
  <c r="CE31" i="3" s="1"/>
  <c r="P42" i="1"/>
  <c r="CO73" i="3" l="1"/>
  <c r="CE13" i="3"/>
  <c r="V61" i="7"/>
  <c r="CE48" i="3"/>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F5" i="6" s="1"/>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N53" i="3"/>
  <c r="AN55" i="3" s="1"/>
  <c r="AI9" i="3"/>
  <c r="AL80" i="3" s="1"/>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D13" i="3"/>
  <c r="CT22" i="3" l="1"/>
  <c r="CQ24" i="3" s="1"/>
  <c r="CT24" i="3" s="1"/>
  <c r="U20" i="9"/>
  <c r="U19" i="9"/>
  <c r="L48" i="5"/>
  <c r="AQ80" i="3"/>
  <c r="F32" i="7"/>
  <c r="F27" i="7"/>
  <c r="R22" i="3"/>
  <c r="O24" i="3" s="1"/>
  <c r="W22" i="3"/>
  <c r="T24" i="3" s="1"/>
  <c r="AF11" i="6"/>
  <c r="AF7" i="6"/>
  <c r="AG22" i="3"/>
  <c r="AD24" i="3" s="1"/>
  <c r="D41" i="5"/>
  <c r="M53" i="3"/>
  <c r="BK45" i="3"/>
  <c r="I21" i="9"/>
  <c r="V21" i="6"/>
  <c r="CQ72" i="3"/>
  <c r="CT71" i="3" s="1"/>
  <c r="CQ73" i="3"/>
  <c r="I47" i="5"/>
  <c r="N31" i="6"/>
  <c r="N63" i="7"/>
  <c r="E47" i="5"/>
  <c r="T14" i="3"/>
  <c r="J47" i="5"/>
  <c r="G12" i="7"/>
  <c r="G21" i="7" s="1"/>
  <c r="C47" i="5"/>
  <c r="Y59" i="3"/>
  <c r="AI29" i="3"/>
  <c r="AL29" i="3" s="1"/>
  <c r="AN69" i="3"/>
  <c r="AN73" i="3" s="1"/>
  <c r="AN75" i="3" s="1"/>
  <c r="AQ75" i="3" s="1"/>
  <c r="W63" i="7"/>
  <c r="U48" i="5"/>
  <c r="U49" i="5" s="1"/>
  <c r="W12" i="7"/>
  <c r="W18" i="7" s="1"/>
  <c r="U10" i="5"/>
  <c r="R64" i="3"/>
  <c r="M80" i="3"/>
  <c r="AV80" i="3"/>
  <c r="CJ80" i="3"/>
  <c r="BF80" i="3"/>
  <c r="AV6" i="3"/>
  <c r="G48" i="5"/>
  <c r="G49" i="5" s="1"/>
  <c r="E12" i="7"/>
  <c r="E18" i="7" s="1"/>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H13" i="3" s="1"/>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AL40" i="3"/>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F38" i="3"/>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O59" i="3"/>
  <c r="J36" i="3"/>
  <c r="M35" i="3" s="1"/>
  <c r="J34" i="3"/>
  <c r="M33" i="3" s="1"/>
  <c r="J27" i="3"/>
  <c r="AN72" i="3"/>
  <c r="AQ71" i="3" s="1"/>
  <c r="F10" i="5"/>
  <c r="T13" i="3"/>
  <c r="W13" i="3" s="1"/>
  <c r="F11" i="6"/>
  <c r="Y11" i="6" s="1"/>
  <c r="H12" i="7"/>
  <c r="H18" i="7" s="1"/>
  <c r="F48" i="5"/>
  <c r="F49" i="5" s="1"/>
  <c r="T69" i="3"/>
  <c r="H66" i="7"/>
  <c r="O61" i="3"/>
  <c r="J60" i="3"/>
  <c r="M60" i="3" s="1"/>
  <c r="J32" i="3"/>
  <c r="M31" i="3" s="1"/>
  <c r="I43" i="5"/>
  <c r="C48" i="5"/>
  <c r="C49" i="5" s="1"/>
  <c r="C32" i="6"/>
  <c r="E66" i="7"/>
  <c r="M19" i="7"/>
  <c r="F33" i="6"/>
  <c r="J20" i="3"/>
  <c r="M19" i="3" s="1"/>
  <c r="J18" i="3"/>
  <c r="M17" i="3" s="1"/>
  <c r="O58" i="3"/>
  <c r="AQ38" i="3"/>
  <c r="J62" i="3"/>
  <c r="M62" i="3" s="1"/>
  <c r="E63" i="7"/>
  <c r="AC5" i="6"/>
  <c r="AC8" i="6"/>
  <c r="AC6" i="6"/>
  <c r="AC7" i="6"/>
  <c r="U5" i="9"/>
  <c r="T41" i="3"/>
  <c r="W40" i="3" s="1"/>
  <c r="Y13" i="6"/>
  <c r="F27" i="6"/>
  <c r="F5" i="9"/>
  <c r="F34" i="6"/>
  <c r="J16" i="3"/>
  <c r="M15" i="3" s="1"/>
  <c r="J70" i="3"/>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BF58" i="3" s="1"/>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7" i="9" l="1"/>
  <c r="U18" i="9"/>
  <c r="CQ75" i="3"/>
  <c r="CT75" i="3" s="1"/>
  <c r="CT73" i="3"/>
  <c r="M69" i="3"/>
  <c r="BA17" i="3"/>
  <c r="G18" i="7"/>
  <c r="R17" i="3"/>
  <c r="M24" i="3"/>
  <c r="BA73" i="3"/>
  <c r="W24"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<sst xmlns="http://schemas.openxmlformats.org/spreadsheetml/2006/main" count="1674" uniqueCount="585">
  <si>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</si>
  <si>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</si>
  <si>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</si>
  <si>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</si>
  <si>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</si>
  <si>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</si>
  <si>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</si>
  <si>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</si>
  <si>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</si>
  <si>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</si>
  <si>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</si>
  <si>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</si>
  <si>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</si>
  <si>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</si>
  <si>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</si>
  <si>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</si>
  <si>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</si>
  <si>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</si>
  <si>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</si>
  <si>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</si>
  <si>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</si>
  <si>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</si>
  <si>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</si>
  <si>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</si>
  <si>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</si>
  <si>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</si>
  <si>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</si>
  <si>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</si>
  <si>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</si>
  <si>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</si>
  <si>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</si>
  <si>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</si>
  <si>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</si>
  <si>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</si>
  <si>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</si>
  <si>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</si>
  <si>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</si>
  <si>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</si>
  <si>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</si>
  <si>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</si>
  <si>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</si>
  <si>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</si>
  <si>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</si>
  <si>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</si>
  <si>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</si>
  <si>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</si>
  <si>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</si>
  <si>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</si>
  <si>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</si>
  <si>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</si>
  <si>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</si>
  <si>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</si>
  <si>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</si>
  <si>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</si>
  <si>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</si>
  <si>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</si>
  <si>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</si>
  <si>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</si>
  <si>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</si>
  <si>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</si>
  <si>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</si>
  <si>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</si>
  <si>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</si>
  <si>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</si>
  <si>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</si>
  <si>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</si>
  <si>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</si>
  <si>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</si>
  <si>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</si>
  <si>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</si>
  <si>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</si>
  <si>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</si>
  <si>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</si>
  <si>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</si>
  <si>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</si>
  <si>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</si>
  <si>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</si>
  <si>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</si>
  <si>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</si>
  <si>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</si>
  <si>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</si>
  <si>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</si>
  <si>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</si>
  <si>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</si>
  <si>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</si>
  <si>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</si>
  <si>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</si>
  <si>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</si>
  <si>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</si>
  <si>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</si>
  <si>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</si>
  <si>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</si>
  <si>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</si>
  <si>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</si>
  <si>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</si>
  <si>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</si>
  <si>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</si>
  <si>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</si>
  <si>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</si>
  <si>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</si>
  <si>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</si>
  <si>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</si>
  <si>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</si>
  <si>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</si>
  <si>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</si>
  <si>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</si>
  <si>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</si>
  <si>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</si>
  <si>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</si>
  <si>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</si>
  <si>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</si>
  <si>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</si>
  <si>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</si>
  <si>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</si>
  <si>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</si>
  <si>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</si>
  <si>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</si>
  <si>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</si>
  <si>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</si>
  <si>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</si>
  <si>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</si>
  <si>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</si>
  <si>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</si>
  <si>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</si>
  <si>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</si>
  <si>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</si>
  <si>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</si>
  <si>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</si>
  <si>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</si>
  <si>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</si>
  <si>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</si>
  <si>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</si>
  <si>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</si>
  <si>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</si>
  <si>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</si>
  <si>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</si>
  <si>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</si>
  <si>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</si>
  <si>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</si>
  <si>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</si>
  <si>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</si>
  <si>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</si>
  <si>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</si>
  <si>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</si>
  <si>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</si>
  <si>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</si>
  <si>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</si>
  <si>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</si>
  <si>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</si>
  <si>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</si>
  <si>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</si>
  <si>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</si>
  <si>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</si>
  <si>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</si>
  <si>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</si>
  <si>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</si>
  <si>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</si>
  <si>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</si>
  <si>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</si>
  <si>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</si>
  <si>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</si>
  <si>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</si>
  <si>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</si>
  <si>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</si>
  <si>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</si>
  <si>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</si>
  <si>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</si>
  <si>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</si>
  <si>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</si>
  <si>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</si>
  <si>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</si>
  <si>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</si>
  <si>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</si>
  <si>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</si>
  <si>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</si>
  <si>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</si>
  <si>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</si>
  <si>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</si>
  <si>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</si>
  <si>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</si>
  <si>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</si>
  <si>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</si>
  <si>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</si>
  <si>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</si>
  <si>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</si>
  <si>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</si>
  <si>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</si>
  <si>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</si>
  <si>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</si>
  <si>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</si>
  <si>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</si>
  <si>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</si>
  <si>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</si>
  <si>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</si>
  <si>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</si>
  <si>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</si>
  <si>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</si>
  <si>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</si>
  <si>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</si>
  <si>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</si>
  <si>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</si>
  <si>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</si>
  <si>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</si>
  <si>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</si>
  <si>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</si>
  <si>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</si>
  <si>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</si>
  <si>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</si>
  <si>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</si>
  <si>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</si>
  <si>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</si>
  <si>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</si>
  <si>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</si>
  <si>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</si>
  <si>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</si>
  <si>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</si>
  <si>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</si>
  <si>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</si>
  <si>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</si>
  <si>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</si>
  <si>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</si>
  <si>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</si>
  <si>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</si>
  <si>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</si>
  <si>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</si>
  <si>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</si>
  <si>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</si>
  <si>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</si>
  <si>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</si>
  <si>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</si>
  <si>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</si>
  <si>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</si>
  <si>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</si>
  <si>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</si>
  <si>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</si>
  <si>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</si>
  <si>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</si>
  <si>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</si>
  <si>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</si>
  <si>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</si>
  <si>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</si>
  <si>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</si>
  <si>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</si>
  <si>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</si>
  <si>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</si>
  <si>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</si>
  <si>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</si>
  <si>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</si>
  <si>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</si>
  <si>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</si>
  <si>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</si>
  <si>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</si>
  <si>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</si>
  <si>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</si>
  <si>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</si>
  <si>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</si>
  <si>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</si>
  <si>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</si>
  <si>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</si>
  <si>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</si>
  <si>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</si>
  <si>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</si>
  <si>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</si>
  <si>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</si>
  <si>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</si>
  <si>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</si>
  <si>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</si>
  <si>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</si>
  <si>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</si>
  <si>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</si>
  <si>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</si>
  <si>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</si>
  <si>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</si>
  <si>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</si>
  <si>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</si>
  <si>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</si>
  <si>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</si>
  <si>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</si>
  <si>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</si>
  <si>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</si>
  <si>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</si>
  <si>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</si>
  <si>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</si>
  <si>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</si>
  <si>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</si>
  <si>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</si>
  <si>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</si>
  <si>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</si>
  <si>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</si>
  <si>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</si>
  <si>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</si>
  <si>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</si>
  <si>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</si>
  <si>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</si>
  <si>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</si>
  <si>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</si>
  <si>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</si>
  <si>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</si>
  <si>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</si>
  <si>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</si>
  <si>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</si>
  <si>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</si>
  <si>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</si>
  <si>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</si>
  <si>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</si>
  <si>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</si>
  <si>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</si>
  <si>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</si>
  <si>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</si>
  <si>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</si>
  <si>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</si>
  <si>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</si>
  <si>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</si>
  <si>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</si>
  <si>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</si>
  <si>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</si>
  <si>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</si>
  <si>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</si>
  <si>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</si>
  <si>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</si>
  <si>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</si>
  <si>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</si>
  <si>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</si>
  <si>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</si>
  <si>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</si>
  <si>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</si>
  <si>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</si>
  <si>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</si>
  <si>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</si>
  <si>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</si>
  <si>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</si>
  <si>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</si>
  <si>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</si>
  <si>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</si>
  <si>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</si>
  <si>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</si>
  <si>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</si>
  <si>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</si>
  <si>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</si>
  <si>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</si>
  <si>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</si>
  <si>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</si>
  <si>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</si>
  <si>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</si>
  <si>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</si>
  <si>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</si>
  <si>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</si>
  <si>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</si>
  <si>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</si>
  <si>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</si>
  <si>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</si>
  <si>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</si>
  <si>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</si>
  <si>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</si>
  <si>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</si>
  <si>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</si>
  <si>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</si>
  <si>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</si>
  <si>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</si>
  <si>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</si>
  <si>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</si>
  <si>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</si>
  <si>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</si>
  <si>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</si>
  <si>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</si>
  <si>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</si>
  <si>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</si>
  <si>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</si>
  <si>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</si>
  <si>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</si>
  <si>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</si>
  <si>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</si>
  <si>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</si>
  <si>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</si>
  <si>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</si>
  <si>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</si>
  <si>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</si>
  <si>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</si>
  <si>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</si>
  <si>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</si>
  <si>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</si>
  <si>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</si>
  <si>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</si>
  <si>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</si>
  <si>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</si>
  <si>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</si>
  <si>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</si>
  <si>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</si>
  <si>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</si>
  <si>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</si>
  <si>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</si>
  <si>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</si>
  <si>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</si>
  <si>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</si>
  <si>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</si>
  <si>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</si>
  <si>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</si>
  <si>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</si>
  <si>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</si>
  <si>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</si>
  <si>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</si>
  <si>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</si>
  <si>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</si>
  <si>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</si>
  <si>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</si>
  <si>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</si>
  <si>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</si>
  <si>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</si>
  <si>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</si>
  <si>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</si>
  <si>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</si>
  <si>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</si>
  <si>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</si>
  <si>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</si>
  <si>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</si>
  <si>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</si>
  <si>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</si>
  <si>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</si>
  <si>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</si>
  <si>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</si>
  <si>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</si>
  <si>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</si>
  <si>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</si>
  <si>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</si>
  <si>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</si>
  <si>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</si>
  <si>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</si>
  <si>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</si>
  <si>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</si>
  <si>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</si>
  <si>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</si>
  <si>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</si>
  <si>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</si>
  <si>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</si>
  <si>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</si>
  <si>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</si>
  <si>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</si>
  <si>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</si>
  <si>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</si>
  <si>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</si>
  <si>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</si>
  <si>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</si>
  <si>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</si>
  <si>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</si>
  <si>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</si>
  <si>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</si>
  <si>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</si>
  <si>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</si>
  <si>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</si>
  <si>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</si>
  <si>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</si>
  <si>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</si>
  <si>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</si>
  <si>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</si>
  <si>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</si>
  <si>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</si>
  <si>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</si>
  <si>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</si>
  <si>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</si>
  <si>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</si>
  <si>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</si>
  <si>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</si>
  <si>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</si>
  <si>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</si>
  <si>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</si>
  <si>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</si>
  <si>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</si>
  <si>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</si>
  <si>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</si>
  <si>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</si>
  <si>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</si>
  <si>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</si>
  <si>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</si>
  <si>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</si>
  <si>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</si>
  <si>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</si>
  <si>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</si>
  <si>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</si>
  <si>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</si>
  <si>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</si>
  <si>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</si>
  <si>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</si>
  <si>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</si>
  <si>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</si>
  <si>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</si>
  <si>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</si>
  <si>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</si>
  <si>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</si>
  <si>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</si>
  <si>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</si>
  <si>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</si>
  <si>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</si>
  <si>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</si>
  <si>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</si>
  <si>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</si>
  <si>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</si>
  <si>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</si>
  <si>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</si>
  <si>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</si>
  <si>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</si>
  <si>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</si>
  <si>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</si>
  <si>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</si>
  <si>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</si>
  <si>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</si>
  <si>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</si>
  <si>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</si>
  <si>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</si>
  <si>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</si>
  <si>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</si>
  <si>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</si>
  <si>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</si>
  <si>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</si>
  <si>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</si>
  <si>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</si>
  <si>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</si>
  <si>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</si>
  <si>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</si>
  <si>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</si>
  <si>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</si>
  <si>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</si>
  <si>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</si>
  <si>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</si>
  <si>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</si>
  <si>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</si>
  <si>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</si>
  <si>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</si>
  <si>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</si>
  <si>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</si>
  <si>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</si>
  <si>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</si>
  <si>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</si>
  <si>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</si>
  <si>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</si>
  <si>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</si>
  <si>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</si>
  <si>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</si>
  <si>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</si>
  <si>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</si>
  <si>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</si>
  <si>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</si>
  <si>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</si>
  <si>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</si>
  <si>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</si>
  <si>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</si>
  <si>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</si>
  <si>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</si>
  <si>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</si>
  <si>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</si>
  <si>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</si>
  <si>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</si>
  <si>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</si>
  <si>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</si>
  <si>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</si>
  <si>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</si>
  <si>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</si>
  <si>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</si>
  <si>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</si>
  <si>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</si>
  <si>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</si>
  <si>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</si>
  <si>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</si>
  <si>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</si>
  <si>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</si>
  <si>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</si>
  <si>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</si>
  <si>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</si>
  <si>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</si>
  <si>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</si>
  <si>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</si>
  <si>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</si>
  <si>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</si>
  <si>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</si>
  <si>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</si>
  <si>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</si>
  <si>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</si>
  <si>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</si>
  <si>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</si>
  <si>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</si>
  <si>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</si>
  <si>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</si>
  <si>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</si>
  <si>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</si>
  <si>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</si>
  <si>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１６　化学工業</t>
    <rPh sb="3" eb="5">
      <t>カガク</t>
    </rPh>
    <rPh sb="5" eb="7">
      <t>コウギョウ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</si>
</sst>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553550.01953888196</c:v>
                </c:pt>
                <c:pt idx="1">
                  <c:v>1393015.436565364</c:v>
                </c:pt>
                <c:pt idx="2">
                  <c:v>577381.50141734572</c:v>
                </c:pt>
                <c:pt idx="3">
                  <c:v>472632.12796949386</c:v>
                </c:pt>
                <c:pt idx="4">
                  <c:v>799333.19982824905</c:v>
                </c:pt>
                <c:pt idx="5">
                  <c:v>509334.51900716953</c:v>
                </c:pt>
                <c:pt idx="6">
                  <c:v>574129.00666448171</c:v>
                </c:pt>
                <c:pt idx="7">
                  <c:v>545994.89917504345</c:v>
                </c:pt>
                <c:pt idx="8">
                  <c:v>665027.34989371127</c:v>
                </c:pt>
                <c:pt idx="9">
                  <c:v>790118.18028685404</c:v>
                </c:pt>
                <c:pt idx="10">
                  <c:v>879802.16703996062</c:v>
                </c:pt>
                <c:pt idx="11">
                  <c:v>1086236.0459765396</c:v>
                </c:pt>
                <c:pt idx="12">
                  <c:v>1284116.5010116843</c:v>
                </c:pt>
                <c:pt idx="13">
                  <c:v>1321960.3582554755</c:v>
                </c:pt>
                <c:pt idx="14">
                  <c:v>1021430.7274923503</c:v>
                </c:pt>
                <c:pt idx="15">
                  <c:v>988445.62844990555</c:v>
                </c:pt>
                <c:pt idx="16">
                  <c:v>1243456.2378951579</c:v>
                </c:pt>
                <c:pt idx="17">
                  <c:v>1242668.9340679867</c:v>
                </c:pt>
                <c:pt idx="18">
                  <c:v>1009884.574859014</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726479.87495115306</c:v>
                </c:pt>
                <c:pt idx="1">
                  <c:v>905897.73275446217</c:v>
                </c:pt>
                <c:pt idx="2">
                  <c:v>666633.56479752599</c:v>
                </c:pt>
                <c:pt idx="3">
                  <c:v>599670.58954681433</c:v>
                </c:pt>
                <c:pt idx="4">
                  <c:v>705366.31272931187</c:v>
                </c:pt>
                <c:pt idx="5">
                  <c:v>675707.14444716182</c:v>
                </c:pt>
                <c:pt idx="6">
                  <c:v>675921.01963618735</c:v>
                </c:pt>
                <c:pt idx="7">
                  <c:v>744532.96325636515</c:v>
                </c:pt>
                <c:pt idx="8">
                  <c:v>736115.7401487265</c:v>
                </c:pt>
                <c:pt idx="9">
                  <c:v>914802.78330295486</c:v>
                </c:pt>
                <c:pt idx="10">
                  <c:v>805040.53010362666</c:v>
                </c:pt>
                <c:pt idx="11">
                  <c:v>771192.05050101352</c:v>
                </c:pt>
                <c:pt idx="12">
                  <c:v>870540.1581922567</c:v>
                </c:pt>
                <c:pt idx="13">
                  <c:v>876184.49224351766</c:v>
                </c:pt>
                <c:pt idx="14">
                  <c:v>790733.40974898566</c:v>
                </c:pt>
                <c:pt idx="15">
                  <c:v>898655.04620807245</c:v>
                </c:pt>
                <c:pt idx="16">
                  <c:v>835701.58103241294</c:v>
                </c:pt>
                <c:pt idx="17">
                  <c:v>749811.34142697044</c:v>
                </c:pt>
                <c:pt idx="18">
                  <c:v>761089.50554848101</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552425.1660805</c:v>
                </c:pt>
                <c:pt idx="1">
                  <c:v>846803.66618427401</c:v>
                </c:pt>
                <c:pt idx="2">
                  <c:v>508845.06590201269</c:v>
                </c:pt>
                <c:pt idx="3">
                  <c:v>489488.71104435821</c:v>
                </c:pt>
                <c:pt idx="4">
                  <c:v>604848.92805496161</c:v>
                </c:pt>
                <c:pt idx="5">
                  <c:v>449149.10800948722</c:v>
                </c:pt>
                <c:pt idx="6">
                  <c:v>531896.49559552141</c:v>
                </c:pt>
                <c:pt idx="7">
                  <c:v>496629.69632398983</c:v>
                </c:pt>
                <c:pt idx="8">
                  <c:v>513463.3386591422</c:v>
                </c:pt>
                <c:pt idx="9">
                  <c:v>599841.27137208637</c:v>
                </c:pt>
                <c:pt idx="10">
                  <c:v>672972.41587468062</c:v>
                </c:pt>
                <c:pt idx="11">
                  <c:v>762505.46305860591</c:v>
                </c:pt>
                <c:pt idx="12">
                  <c:v>740322.5087091059</c:v>
                </c:pt>
                <c:pt idx="13">
                  <c:v>793907.65587115404</c:v>
                </c:pt>
                <c:pt idx="14">
                  <c:v>762507.84757310944</c:v>
                </c:pt>
                <c:pt idx="15">
                  <c:v>832265.55400724709</c:v>
                </c:pt>
                <c:pt idx="16">
                  <c:v>886993.23529411783</c:v>
                </c:pt>
                <c:pt idx="17">
                  <c:v>864572.91240194242</c:v>
                </c:pt>
                <c:pt idx="18">
                  <c:v>716107.40513007087</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723024.814380617</c:v>
                </c:pt>
                <c:pt idx="1">
                  <c:v>1451698.7457790643</c:v>
                </c:pt>
                <c:pt idx="2">
                  <c:v>730416.15619800403</c:v>
                </c:pt>
                <c:pt idx="3">
                  <c:v>580910.38739962934</c:v>
                </c:pt>
                <c:pt idx="4">
                  <c:v>884972.01158426353</c:v>
                </c:pt>
                <c:pt idx="5">
                  <c:v>734966.63359350374</c:v>
                </c:pt>
                <c:pt idx="6">
                  <c:v>714047.6083432727</c:v>
                </c:pt>
                <c:pt idx="7">
                  <c:v>792999.32452253893</c:v>
                </c:pt>
                <c:pt idx="8">
                  <c:v>886407.5082656322</c:v>
                </c:pt>
                <c:pt idx="9">
                  <c:v>1103741.0603727486</c:v>
                </c:pt>
                <c:pt idx="10">
                  <c:v>1007245.3291933706</c:v>
                </c:pt>
                <c:pt idx="11">
                  <c:v>1090288.4997005861</c:v>
                </c:pt>
                <c:pt idx="12">
                  <c:v>1413116.5461301659</c:v>
                </c:pt>
                <c:pt idx="13">
                  <c:v>1401520.4539959265</c:v>
                </c:pt>
                <c:pt idx="14">
                  <c:v>1047878.1784269899</c:v>
                </c:pt>
                <c:pt idx="15">
                  <c:v>1049164.9821349161</c:v>
                </c:pt>
                <c:pt idx="16">
                  <c:v>1189437.9013605441</c:v>
                </c:pt>
                <c:pt idx="17">
                  <c:v>1125375.7250653717</c:v>
                </c:pt>
                <c:pt idx="18">
                  <c:v>1052124.488266327</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1199263.5717076999</c:v>
                </c:pt>
                <c:pt idx="1">
                  <c:v>2634019.778099373</c:v>
                </c:pt>
                <c:pt idx="2">
                  <c:v>1348723.4490983936</c:v>
                </c:pt>
                <c:pt idx="3">
                  <c:v>1056744.785635201</c:v>
                </c:pt>
                <c:pt idx="4">
                  <c:v>1435780.6975102983</c:v>
                </c:pt>
                <c:pt idx="5">
                  <c:v>1139646.9441218986</c:v>
                </c:pt>
                <c:pt idx="6">
                  <c:v>1113270.3754271546</c:v>
                </c:pt>
                <c:pt idx="7">
                  <c:v>1178692.5444474781</c:v>
                </c:pt>
                <c:pt idx="8">
                  <c:v>1123776.1018134595</c:v>
                </c:pt>
                <c:pt idx="9">
                  <c:v>2145264.2362076058</c:v>
                </c:pt>
                <c:pt idx="10">
                  <c:v>1635288.0735911727</c:v>
                </c:pt>
                <c:pt idx="11">
                  <c:v>1532630.3077977516</c:v>
                </c:pt>
                <c:pt idx="12">
                  <c:v>1688215.9641749286</c:v>
                </c:pt>
                <c:pt idx="13">
                  <c:v>1799739.0706540067</c:v>
                </c:pt>
                <c:pt idx="14">
                  <c:v>1500599.2514027345</c:v>
                </c:pt>
                <c:pt idx="15">
                  <c:v>1620330.270631151</c:v>
                </c:pt>
                <c:pt idx="16">
                  <c:v>1662799.7204881951</c:v>
                </c:pt>
                <c:pt idx="17">
                  <c:v>1460414.3403063128</c:v>
                </c:pt>
                <c:pt idx="18">
                  <c:v>1506041.9205020922</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58883.059788980099</c:v>
                </c:pt>
                <c:pt idx="1">
                  <c:v>314966.71490593342</c:v>
                </c:pt>
                <c:pt idx="2">
                  <c:v>68028.075798494639</c:v>
                </c:pt>
                <c:pt idx="3">
                  <c:v>19453.835466321518</c:v>
                </c:pt>
                <c:pt idx="4">
                  <c:v>87797.712712291919</c:v>
                </c:pt>
                <c:pt idx="5">
                  <c:v>29917.541731271191</c:v>
                </c:pt>
                <c:pt idx="6">
                  <c:v>55424.127092153809</c:v>
                </c:pt>
                <c:pt idx="7">
                  <c:v>75947.549212629761</c:v>
                </c:pt>
                <c:pt idx="8">
                  <c:v>58798.701840306894</c:v>
                </c:pt>
                <c:pt idx="9">
                  <c:v>140109.35791278037</c:v>
                </c:pt>
                <c:pt idx="10">
                  <c:v>102145.02910872283</c:v>
                </c:pt>
                <c:pt idx="11">
                  <c:v>94067.627221694536</c:v>
                </c:pt>
                <c:pt idx="12">
                  <c:v>103689.56079046405</c:v>
                </c:pt>
                <c:pt idx="13">
                  <c:v>162205.33261365557</c:v>
                </c:pt>
                <c:pt idx="14">
                  <c:v>118607.21027551361</c:v>
                </c:pt>
                <c:pt idx="15">
                  <c:v>118199.33137788069</c:v>
                </c:pt>
                <c:pt idx="16">
                  <c:v>118898.34433773509</c:v>
                </c:pt>
                <c:pt idx="17">
                  <c:v>131514.98001494209</c:v>
                </c:pt>
                <c:pt idx="18">
                  <c:v>116369.58450063672</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27052.488738838056</c:v>
                </c:pt>
                <c:pt idx="1">
                  <c:v>48399.609989584955</c:v>
                </c:pt>
                <c:pt idx="2">
                  <c:v>31071.2197238439</c:v>
                </c:pt>
                <c:pt idx="3">
                  <c:v>26748.306135938674</c:v>
                </c:pt>
                <c:pt idx="4">
                  <c:v>28918.845930712705</c:v>
                </c:pt>
                <c:pt idx="5">
                  <c:v>28197.572489842576</c:v>
                </c:pt>
                <c:pt idx="6">
                  <c:v>25103.872976391423</c:v>
                </c:pt>
                <c:pt idx="7">
                  <c:v>30426.780433195876</c:v>
                </c:pt>
                <c:pt idx="8">
                  <c:v>27140.123753159882</c:v>
                </c:pt>
                <c:pt idx="9">
                  <c:v>37629.329198678199</c:v>
                </c:pt>
                <c:pt idx="10">
                  <c:v>32921.50798227678</c:v>
                </c:pt>
                <c:pt idx="11">
                  <c:v>30178.218636759808</c:v>
                </c:pt>
                <c:pt idx="12">
                  <c:v>29813.529246651258</c:v>
                </c:pt>
                <c:pt idx="13">
                  <c:v>29788.23427050437</c:v>
                </c:pt>
                <c:pt idx="14">
                  <c:v>27796.623511508536</c:v>
                </c:pt>
                <c:pt idx="15">
                  <c:v>33128.551254157108</c:v>
                </c:pt>
                <c:pt idx="16">
                  <c:v>32013.008335805051</c:v>
                </c:pt>
                <c:pt idx="17">
                  <c:v>29495.974476496565</c:v>
                </c:pt>
                <c:pt idx="18">
                  <c:v>31498.713743260778</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12685.693520093828</c:v>
                </c:pt>
                <c:pt idx="1">
                  <c:v>21856.015245861683</c:v>
                </c:pt>
                <c:pt idx="2">
                  <c:v>10482.455329804936</c:v>
                </c:pt>
                <c:pt idx="3">
                  <c:v>11719.942176911227</c:v>
                </c:pt>
                <c:pt idx="4">
                  <c:v>12455.948994160368</c:v>
                </c:pt>
                <c:pt idx="5">
                  <c:v>14630.772308949043</c:v>
                </c:pt>
                <c:pt idx="6">
                  <c:v>12637.91021641212</c:v>
                </c:pt>
                <c:pt idx="7">
                  <c:v>13623.968785804069</c:v>
                </c:pt>
                <c:pt idx="8">
                  <c:v>13777.56449269857</c:v>
                </c:pt>
                <c:pt idx="9">
                  <c:v>28310.607824127026</c:v>
                </c:pt>
                <c:pt idx="10">
                  <c:v>18226.511471887265</c:v>
                </c:pt>
                <c:pt idx="11">
                  <c:v>14173.102158129495</c:v>
                </c:pt>
                <c:pt idx="12">
                  <c:v>15007.741090683379</c:v>
                </c:pt>
                <c:pt idx="13">
                  <c:v>15091.003147685797</c:v>
                </c:pt>
                <c:pt idx="14">
                  <c:v>12962.511667736797</c:v>
                </c:pt>
                <c:pt idx="15">
                  <c:v>17038.21625151562</c:v>
                </c:pt>
                <c:pt idx="16">
                  <c:v>15864.263028547432</c:v>
                </c:pt>
                <c:pt idx="17">
                  <c:v>15037.749257796431</c:v>
                </c:pt>
                <c:pt idx="18">
                  <c:v>14560.654445700027</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562369.33567800059</c:v>
                </c:pt>
                <c:pt idx="1">
                  <c:v>1189455.3786782443</c:v>
                </c:pt>
                <c:pt idx="2">
                  <c:v>455017.00393772993</c:v>
                </c:pt>
                <c:pt idx="3">
                  <c:v>463019.51684172999</c:v>
                </c:pt>
                <c:pt idx="4">
                  <c:v>618420.63745686691</c:v>
                </c:pt>
                <c:pt idx="5">
                  <c:v>591324.48220652342</c:v>
                </c:pt>
                <c:pt idx="6">
                  <c:v>560447.82669475616</c:v>
                </c:pt>
                <c:pt idx="7">
                  <c:v>527774.22405469127</c:v>
                </c:pt>
                <c:pt idx="8">
                  <c:v>570479.99702969973</c:v>
                </c:pt>
                <c:pt idx="9">
                  <c:v>1613999.9240946427</c:v>
                </c:pt>
                <c:pt idx="10">
                  <c:v>905353.32856549928</c:v>
                </c:pt>
                <c:pt idx="11">
                  <c:v>719794.83562371263</c:v>
                </c:pt>
                <c:pt idx="12">
                  <c:v>849825.85878663068</c:v>
                </c:pt>
                <c:pt idx="13">
                  <c:v>911764.95167912007</c:v>
                </c:pt>
                <c:pt idx="14">
                  <c:v>699780.50740053377</c:v>
                </c:pt>
                <c:pt idx="15">
                  <c:v>833345.75478684937</c:v>
                </c:pt>
                <c:pt idx="16">
                  <c:v>824011.65966386534</c:v>
                </c:pt>
                <c:pt idx="17">
                  <c:v>744553.96208442259</c:v>
                </c:pt>
                <c:pt idx="18">
                  <c:v>696185.7605966893</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42.257420078017496</c:v>
                </c:pt>
                <c:pt idx="1">
                  <c:v>26.245436970062947</c:v>
                </c:pt>
                <c:pt idx="2">
                  <c:v>46.377843314510656</c:v>
                </c:pt>
                <c:pt idx="3">
                  <c:v>39.655847617775599</c:v>
                </c:pt>
                <c:pt idx="4">
                  <c:v>34.359877661388239</c:v>
                </c:pt>
                <c:pt idx="5">
                  <c:v>32.73985999518333</c:v>
                </c:pt>
                <c:pt idx="6">
                  <c:v>43.46365635759841</c:v>
                </c:pt>
                <c:pt idx="7">
                  <c:v>40.527445156527442</c:v>
                </c:pt>
                <c:pt idx="8">
                  <c:v>34.266158576219013</c:v>
                </c:pt>
                <c:pt idx="9">
                  <c:v>15.657858914302897</c:v>
                </c:pt>
                <c:pt idx="10">
                  <c:v>22.66403913243489</c:v>
                </c:pt>
                <c:pt idx="11">
                  <c:v>33.738512276599074</c:v>
                </c:pt>
                <c:pt idx="12">
                  <c:v>33.144911746376614</c:v>
                </c:pt>
                <c:pt idx="13">
                  <c:v>30.392564601666212</c:v>
                </c:pt>
                <c:pt idx="14">
                  <c:v>42.25154319444313</c:v>
                </c:pt>
                <c:pt idx="15">
                  <c:v>32.2794809502672</c:v>
                </c:pt>
                <c:pt idx="16">
                  <c:v>33.632282519497167</c:v>
                </c:pt>
                <c:pt idx="17">
                  <c:v>33.258516227029929</c:v>
                </c:pt>
                <c:pt idx="18">
                  <c:v>35.580970222577115</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1.1963643691341694</c:v>
                </c:pt>
                <c:pt idx="2">
                  <c:v>-0.48796001445684267</c:v>
                </c:pt>
                <c:pt idx="3">
                  <c:v>-0.21648519839880964</c:v>
                </c:pt>
                <c:pt idx="4">
                  <c:v>0.3586825476004234</c:v>
                </c:pt>
                <c:pt idx="5">
                  <c:v>-0.20625277516399798</c:v>
                </c:pt>
                <c:pt idx="6">
                  <c:v>-2.3144508771589134E-2</c:v>
                </c:pt>
                <c:pt idx="7">
                  <c:v>5.8765750409213391E-2</c:v>
                </c:pt>
                <c:pt idx="8">
                  <c:v>-4.6590981586093871E-2</c:v>
                </c:pt>
                <c:pt idx="9">
                  <c:v>0.90897833896427493</c:v>
                </c:pt>
                <c:pt idx="10">
                  <c:v>-0.23772184051227552</c:v>
                </c:pt>
                <c:pt idx="11">
                  <c:v>-6.2776563622811477E-2</c:v>
                </c:pt>
                <c:pt idx="12">
                  <c:v>0.10151545065080914</c:v>
                </c:pt>
                <c:pt idx="13">
                  <c:v>6.6059739302122944E-2</c:v>
                </c:pt>
                <c:pt idx="14">
                  <c:v>-0.16621288281671176</c:v>
                </c:pt>
                <c:pt idx="15">
                  <c:v>7.978880378388431E-2</c:v>
                </c:pt>
                <c:pt idx="16">
                  <c:v>2.6210366261010032E-2</c:v>
                </c:pt>
                <c:pt idx="17">
                  <c:v>-0.12171362412934628</c:v>
                </c:pt>
                <c:pt idx="18">
                  <c:v>3.1242900686807351E-2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5.2374440106773217E-2</c:v>
                </c:pt>
                <c:pt idx="1">
                  <c:v>0.12039654064420732</c:v>
                </c:pt>
                <c:pt idx="2">
                  <c:v>4.7509723632251977E-2</c:v>
                </c:pt>
                <c:pt idx="3">
                  <c:v>1.6634285308000447E-2</c:v>
                </c:pt>
                <c:pt idx="4">
                  <c:v>5.910513359729104E-2</c:v>
                </c:pt>
                <c:pt idx="5">
                  <c:v>2.9757286218267179E-2</c:v>
                </c:pt>
                <c:pt idx="6">
                  <c:v>4.7388346482646872E-2</c:v>
                </c:pt>
                <c:pt idx="7">
                  <c:v>6.3305119701334484E-2</c:v>
                </c:pt>
                <c:pt idx="8">
                  <c:v>5.7833552341281708E-2</c:v>
                </c:pt>
                <c:pt idx="9">
                  <c:v>6.533164996125608E-2</c:v>
                </c:pt>
                <c:pt idx="10">
                  <c:v>5.5178546761611338E-2</c:v>
                </c:pt>
                <c:pt idx="11">
                  <c:v>5.1032559233986259E-2</c:v>
                </c:pt>
                <c:pt idx="12">
                  <c:v>5.6312743744294208E-2</c:v>
                </c:pt>
                <c:pt idx="13">
                  <c:v>8.3653613593138068E-2</c:v>
                </c:pt>
                <c:pt idx="14">
                  <c:v>7.1887097798903288E-2</c:v>
                </c:pt>
                <c:pt idx="15">
                  <c:v>6.5393537405119162E-2</c:v>
                </c:pt>
                <c:pt idx="16">
                  <c:v>6.4277820918614725E-2</c:v>
                </c:pt>
                <c:pt idx="17">
                  <c:v>7.9352873582036854E-2</c:v>
                </c:pt>
                <c:pt idx="18">
                  <c:v>6.4728131950212334E-2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1416.8589511914306</c:v>
                </c:pt>
                <c:pt idx="1">
                  <c:v>5827.1456112748474</c:v>
                </c:pt>
                <c:pt idx="2">
                  <c:v>1476.1850619968004</c:v>
                </c:pt>
                <c:pt idx="3">
                  <c:v>444.93895577094287</c:v>
                </c:pt>
                <c:pt idx="4">
                  <c:v>1709.2522522142508</c:v>
                </c:pt>
                <c:pt idx="5">
                  <c:v>839.08323524058233</c:v>
                </c:pt>
                <c:pt idx="6">
                  <c:v>1189.6310306615924</c:v>
                </c:pt>
                <c:pt idx="7">
                  <c:v>1926.1709774496867</c:v>
                </c:pt>
                <c:pt idx="8">
                  <c:v>1569.609767627235</c:v>
                </c:pt>
                <c:pt idx="9">
                  <c:v>2458.3861634849168</c:v>
                </c:pt>
                <c:pt idx="10">
                  <c:v>1816.5609676628203</c:v>
                </c:pt>
                <c:pt idx="11">
                  <c:v>1540.0717301566331</c:v>
                </c:pt>
                <c:pt idx="12">
                  <c:v>1678.8816325796929</c:v>
                </c:pt>
                <c:pt idx="13">
                  <c:v>2491.8934392866458</c:v>
                </c:pt>
                <c:pt idx="14">
                  <c:v>1998.218592851109</c:v>
                </c:pt>
                <c:pt idx="15">
                  <c:v>2166.3931556161301</c:v>
                </c:pt>
                <c:pt idx="16">
                  <c:v>2057.7264168749975</c:v>
                </c:pt>
                <c:pt idx="17">
                  <c:v>2340.5903338124176</c:v>
                </c:pt>
                <c:pt idx="18">
                  <c:v>2038.8528994357505</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1.6134566553034584</c:v>
                </c:pt>
                <c:pt idx="1">
                  <c:v>-9.159953582601324E-2</c:v>
                </c:pt>
                <c:pt idx="2">
                  <c:v>1.2297600423448805</c:v>
                </c:pt>
                <c:pt idx="3">
                  <c:v>3.7386500826348201</c:v>
                </c:pt>
                <c:pt idx="4">
                  <c:v>0.48695818196329171</c:v>
                </c:pt>
                <c:pt idx="5">
                  <c:v>2.5126248265693039</c:v>
                </c:pt>
                <c:pt idx="6">
                  <c:v>1.8651350511397302</c:v>
                </c:pt>
                <c:pt idx="7">
                  <c:v>0.66424403724093561</c:v>
                </c:pt>
                <c:pt idx="8">
                  <c:v>0.56944376881016445</c:v>
                </c:pt>
                <c:pt idx="9">
                  <c:v>1.3139256192356557</c:v>
                </c:pt>
                <c:pt idx="10">
                  <c:v>0.90360162737424066</c:v>
                </c:pt>
                <c:pt idx="11">
                  <c:v>-0.25455049874575297</c:v>
                </c:pt>
                <c:pt idx="12">
                  <c:v>-0.97089839546928347</c:v>
                </c:pt>
                <c:pt idx="13">
                  <c:v>-1.4727419252778335</c:v>
                </c:pt>
                <c:pt idx="14">
                  <c:v>-0.99891364745716227</c:v>
                </c:pt>
                <c:pt idx="15">
                  <c:v>0.35083604593393802</c:v>
                </c:pt>
                <c:pt idx="16">
                  <c:v>-3.7982603377965454E-2</c:v>
                </c:pt>
                <c:pt idx="17">
                  <c:v>-0.56465754518262457</c:v>
                </c:pt>
                <c:pt idx="18">
                  <c:v>-0.62896698844264531</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2.3806989953336855</c:v>
                </c:pt>
                <c:pt idx="1">
                  <c:v>2.1586788913403105</c:v>
                </c:pt>
                <c:pt idx="2">
                  <c:v>1.9491305679514825</c:v>
                </c:pt>
                <c:pt idx="3">
                  <c:v>2.2403267942516538</c:v>
                </c:pt>
                <c:pt idx="4">
                  <c:v>2.4855938981709143</c:v>
                </c:pt>
                <c:pt idx="5">
                  <c:v>3.1755909275032552</c:v>
                </c:pt>
                <c:pt idx="6">
                  <c:v>3.0699943866227919</c:v>
                </c:pt>
                <c:pt idx="7">
                  <c:v>2.482244535516327</c:v>
                </c:pt>
                <c:pt idx="8">
                  <c:v>2.9284949311586312</c:v>
                </c:pt>
                <c:pt idx="9">
                  <c:v>2.1303849984215635</c:v>
                </c:pt>
                <c:pt idx="10">
                  <c:v>2.8894670830339222</c:v>
                </c:pt>
                <c:pt idx="11">
                  <c:v>3.0518157099826064</c:v>
                </c:pt>
                <c:pt idx="12">
                  <c:v>1.9283426314839396</c:v>
                </c:pt>
                <c:pt idx="13">
                  <c:v>2.5867921790517858</c:v>
                </c:pt>
                <c:pt idx="14">
                  <c:v>2.1513136130801764</c:v>
                </c:pt>
                <c:pt idx="15">
                  <c:v>2.0515851264937277</c:v>
                </c:pt>
                <c:pt idx="16">
                  <c:v>3.181254754994721</c:v>
                </c:pt>
                <c:pt idx="17">
                  <c:v>3.0566531432028148</c:v>
                </c:pt>
                <c:pt idx="18">
                  <c:v>1.9405593812148016</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0.43245085284466483</c:v>
                </c:pt>
                <c:pt idx="1">
                  <c:v>0.60594521583323313</c:v>
                </c:pt>
                <c:pt idx="2">
                  <c:v>0.46412741862856016</c:v>
                </c:pt>
                <c:pt idx="3">
                  <c:v>0.44076371368732059</c:v>
                </c:pt>
                <c:pt idx="4">
                  <c:v>0.53122446917631416</c:v>
                </c:pt>
                <c:pt idx="5">
                  <c:v>0.42980304804008945</c:v>
                </c:pt>
                <c:pt idx="6">
                  <c:v>0.45928482427501577</c:v>
                </c:pt>
                <c:pt idx="7">
                  <c:v>0.4230787378324139</c:v>
                </c:pt>
                <c:pt idx="8">
                  <c:v>0.47463200198458594</c:v>
                </c:pt>
                <c:pt idx="9">
                  <c:v>0.46343390524286526</c:v>
                </c:pt>
                <c:pt idx="10">
                  <c:v>0.52218653321852593</c:v>
                </c:pt>
                <c:pt idx="11">
                  <c:v>0.58480651177641241</c:v>
                </c:pt>
                <c:pt idx="12">
                  <c:v>0.59597267876827931</c:v>
                </c:pt>
                <c:pt idx="13">
                  <c:v>0.60139820083075146</c:v>
                </c:pt>
                <c:pt idx="14">
                  <c:v>0.56365243440214963</c:v>
                </c:pt>
                <c:pt idx="15">
                  <c:v>0.52379061791658432</c:v>
                </c:pt>
                <c:pt idx="16">
                  <c:v>0.59805764938831452</c:v>
                </c:pt>
                <c:pt idx="17">
                  <c:v>0.62367941572685937</c:v>
                </c:pt>
                <c:pt idx="18">
                  <c:v>0.57024243665194863</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5118</c:v>
                </c:pt>
                <c:pt idx="1">
                  <c:v>4146</c:v>
                </c:pt>
                <c:pt idx="2">
                  <c:v>4105.7449184795496</c:v>
                </c:pt>
                <c:pt idx="3">
                  <c:v>3491.02409931588</c:v>
                </c:pt>
                <c:pt idx="4">
                  <c:v>4296.2853634802996</c:v>
                </c:pt>
                <c:pt idx="5">
                  <c:v>4293.7611283656697</c:v>
                </c:pt>
                <c:pt idx="6">
                  <c:v>3950.2797821639601</c:v>
                </c:pt>
                <c:pt idx="7">
                  <c:v>5474.3471962253416</c:v>
                </c:pt>
                <c:pt idx="8">
                  <c:v>5462.1231689000078</c:v>
                </c:pt>
                <c:pt idx="9">
                  <c:v>5058.0306305679942</c:v>
                </c:pt>
                <c:pt idx="10">
                  <c:v>5014.2564048999766</c:v>
                </c:pt>
                <c:pt idx="11">
                  <c:v>4980.8620499999906</c:v>
                </c:pt>
                <c:pt idx="12">
                  <c:v>4957.3227119999592</c:v>
                </c:pt>
                <c:pt idx="13">
                  <c:v>4943.1579710000206</c:v>
                </c:pt>
                <c:pt idx="14">
                  <c:v>4630.0320595999901</c:v>
                </c:pt>
                <c:pt idx="15">
                  <c:v>4881</c:v>
                </c:pt>
                <c:pt idx="16">
                  <c:v>4998</c:v>
                </c:pt>
                <c:pt idx="17">
                  <c:v>5354</c:v>
                </c:pt>
                <c:pt idx="18">
                  <c:v>5497</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44.330988667448203</c:v>
                </c:pt>
                <c:pt idx="1">
                  <c:v>54.422334780511335</c:v>
                </c:pt>
                <c:pt idx="2">
                  <c:v>43.407483229999812</c:v>
                </c:pt>
                <c:pt idx="3">
                  <c:v>39.506979629464183</c:v>
                </c:pt>
                <c:pt idx="4">
                  <c:v>49.648616716943572</c:v>
                </c:pt>
                <c:pt idx="5">
                  <c:v>40.416491332096975</c:v>
                </c:pt>
                <c:pt idx="6">
                  <c:v>44.346558655475739</c:v>
                </c:pt>
                <c:pt idx="7">
                  <c:v>38.738654818750213</c:v>
                </c:pt>
                <c:pt idx="8">
                  <c:v>41.406447223094183</c:v>
                </c:pt>
                <c:pt idx="9">
                  <c:v>57.010429946302693</c:v>
                </c:pt>
                <c:pt idx="10">
                  <c:v>49.672331974328955</c:v>
                </c:pt>
                <c:pt idx="11">
                  <c:v>50.785976675603671</c:v>
                </c:pt>
                <c:pt idx="12">
                  <c:v>56.625834204602057</c:v>
                </c:pt>
                <c:pt idx="13">
                  <c:v>60.417782884031745</c:v>
                </c:pt>
                <c:pt idx="14">
                  <c:v>53.984947156673428</c:v>
                </c:pt>
                <c:pt idx="15">
                  <c:v>48.910387242720894</c:v>
                </c:pt>
                <c:pt idx="16">
                  <c:v>51.941376550620248</c:v>
                </c:pt>
                <c:pt idx="17">
                  <c:v>49.512327231976094</c:v>
                </c:pt>
                <c:pt idx="18">
                  <c:v>47.812806985628526</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1199263.5717076999</c:v>
                </c:pt>
                <c:pt idx="1">
                  <c:v>2634019.778099373</c:v>
                </c:pt>
                <c:pt idx="2">
                  <c:v>1348723.4490983936</c:v>
                </c:pt>
                <c:pt idx="3">
                  <c:v>1056744.785635201</c:v>
                </c:pt>
                <c:pt idx="4">
                  <c:v>1435780.6975102983</c:v>
                </c:pt>
                <c:pt idx="5">
                  <c:v>1139646.9441218986</c:v>
                </c:pt>
                <c:pt idx="6">
                  <c:v>1113270.3754271546</c:v>
                </c:pt>
                <c:pt idx="7">
                  <c:v>1178692.5444474781</c:v>
                </c:pt>
                <c:pt idx="8">
                  <c:v>1123776.1018134595</c:v>
                </c:pt>
                <c:pt idx="9">
                  <c:v>2145264.2362076058</c:v>
                </c:pt>
                <c:pt idx="10">
                  <c:v>1635288.0735911727</c:v>
                </c:pt>
                <c:pt idx="11">
                  <c:v>1532630.3077977516</c:v>
                </c:pt>
                <c:pt idx="12">
                  <c:v>1688215.9641749286</c:v>
                </c:pt>
                <c:pt idx="13">
                  <c:v>1799739.0706540067</c:v>
                </c:pt>
                <c:pt idx="14">
                  <c:v>1500599.2514027345</c:v>
                </c:pt>
                <c:pt idx="15">
                  <c:v>1620330.270631151</c:v>
                </c:pt>
                <c:pt idx="16">
                  <c:v>1662799.7204881951</c:v>
                </c:pt>
                <c:pt idx="17">
                  <c:v>1460414.3403063128</c:v>
                </c:pt>
                <c:pt idx="18">
                  <c:v>1506041.9205020922</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38326.320828448603</c:v>
                </c:pt>
                <c:pt idx="1">
                  <c:v>188081.52436082973</c:v>
                </c:pt>
                <c:pt idx="2">
                  <c:v>37626.65341626251</c:v>
                </c:pt>
                <c:pt idx="3">
                  <c:v>-66559.98295911937</c:v>
                </c:pt>
                <c:pt idx="4">
                  <c:v>48925.206147699799</c:v>
                </c:pt>
                <c:pt idx="5">
                  <c:v>9784.896796626912</c:v>
                </c:pt>
                <c:pt idx="6">
                  <c:v>29490.480118135019</c:v>
                </c:pt>
                <c:pt idx="7">
                  <c:v>40646.889696761682</c:v>
                </c:pt>
                <c:pt idx="8">
                  <c:v>35017.523582025831</c:v>
                </c:pt>
                <c:pt idx="9">
                  <c:v>71632.75866834895</c:v>
                </c:pt>
                <c:pt idx="10">
                  <c:v>56732.43026997034</c:v>
                </c:pt>
                <c:pt idx="11">
                  <c:v>45780.98743647369</c:v>
                </c:pt>
                <c:pt idx="12">
                  <c:v>63365.397796625366</c:v>
                </c:pt>
                <c:pt idx="13">
                  <c:v>90907.121801878064</c:v>
                </c:pt>
                <c:pt idx="14">
                  <c:v>76839.41727238649</c:v>
                </c:pt>
                <c:pt idx="15">
                  <c:v>82418.284699908851</c:v>
                </c:pt>
                <c:pt idx="16">
                  <c:v>73017.917567026816</c:v>
                </c:pt>
                <c:pt idx="17">
                  <c:v>85285.503548748602</c:v>
                </c:pt>
                <c:pt idx="18">
                  <c:v>91139.5346552665</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62810.758108639857</c:v>
                </c:pt>
                <c:pt idx="1">
                  <c:v>317126.86927158711</c:v>
                </c:pt>
                <c:pt idx="2">
                  <c:v>64077.478323002346</c:v>
                </c:pt>
                <c:pt idx="3">
                  <c:v>17578.194261997705</c:v>
                </c:pt>
                <c:pt idx="4">
                  <c:v>84862.009942757897</c:v>
                </c:pt>
                <c:pt idx="5">
                  <c:v>33912.800304008881</c:v>
                </c:pt>
                <c:pt idx="6">
                  <c:v>52756.042279608366</c:v>
                </c:pt>
                <c:pt idx="7">
                  <c:v>74617.272617318114</c:v>
                </c:pt>
                <c:pt idx="8">
                  <c:v>64991.964004110232</c:v>
                </c:pt>
                <c:pt idx="9">
                  <c:v>140153.65215431669</c:v>
                </c:pt>
                <c:pt idx="10">
                  <c:v>90232.819437355851</c:v>
                </c:pt>
                <c:pt idx="11">
                  <c:v>78214.046966491354</c:v>
                </c:pt>
                <c:pt idx="12">
                  <c:v>95068.072975609321</c:v>
                </c:pt>
                <c:pt idx="13">
                  <c:v>150554.6767849637</c:v>
                </c:pt>
                <c:pt idx="14">
                  <c:v>107873.72514254945</c:v>
                </c:pt>
                <c:pt idx="15">
                  <c:v>105959.12816116503</c:v>
                </c:pt>
                <c:pt idx="16">
                  <c:v>106881.14265706282</c:v>
                </c:pt>
                <c:pt idx="17">
                  <c:v>115888.07452372058</c:v>
                </c:pt>
                <c:pt idx="18">
                  <c:v>97483.280152810621</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140036.971473232</c:v>
                </c:pt>
                <c:pt idx="1">
                  <c:v>207740.95513748197</c:v>
                </c:pt>
                <c:pt idx="2">
                  <c:v>136321.14788249281</c:v>
                </c:pt>
                <c:pt idx="3">
                  <c:v>116963.57175419587</c:v>
                </c:pt>
                <c:pt idx="4">
                  <c:v>136545.25376309635</c:v>
                </c:pt>
                <c:pt idx="5">
                  <c:v>132749.62822353875</c:v>
                </c:pt>
                <c:pt idx="6">
                  <c:v>132441.18772418686</c:v>
                </c:pt>
                <c:pt idx="7">
                  <c:v>119492.04270837674</c:v>
                </c:pt>
                <c:pt idx="8">
                  <c:v>161208.74325205281</c:v>
                </c:pt>
                <c:pt idx="9">
                  <c:v>142189.4580576836</c:v>
                </c:pt>
                <c:pt idx="10">
                  <c:v>188020.93263141805</c:v>
                </c:pt>
                <c:pt idx="11">
                  <c:v>166030.65932462388</c:v>
                </c:pt>
                <c:pt idx="12">
                  <c:v>210623.17891896167</c:v>
                </c:pt>
                <c:pt idx="13">
                  <c:v>214052.07095320127</c:v>
                </c:pt>
                <c:pt idx="14">
                  <c:v>146052.8150238964</c:v>
                </c:pt>
                <c:pt idx="15">
                  <c:v>142815.17344316235</c:v>
                </c:pt>
                <c:pt idx="16">
                  <c:v>172952.35514205683</c:v>
                </c:pt>
                <c:pt idx="17">
                  <c:v>147242.11935001868</c:v>
                </c:pt>
                <c:pt idx="18">
                  <c:v>148530.53702019283</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121878.83352872211</c:v>
                </c:pt>
                <c:pt idx="1">
                  <c:v>353442.83646888565</c:v>
                </c:pt>
                <c:pt idx="2">
                  <c:v>44302.038515849679</c:v>
                </c:pt>
                <c:pt idx="3">
                  <c:v>145447.3061482232</c:v>
                </c:pt>
                <c:pt idx="4">
                  <c:v>184870.11298095935</c:v>
                </c:pt>
                <c:pt idx="5">
                  <c:v>231828.77674006141</c:v>
                </c:pt>
                <c:pt idx="6">
                  <c:v>131945.11827350213</c:v>
                </c:pt>
                <c:pt idx="7">
                  <c:v>120115.20244373906</c:v>
                </c:pt>
                <c:pt idx="8">
                  <c:v>151762.5703444184</c:v>
                </c:pt>
                <c:pt idx="9">
                  <c:v>1079234.4011208485</c:v>
                </c:pt>
                <c:pt idx="10">
                  <c:v>422223.92601084063</c:v>
                </c:pt>
                <c:pt idx="11">
                  <c:v>233301.56869777021</c:v>
                </c:pt>
                <c:pt idx="12">
                  <c:v>263149.99758013425</c:v>
                </c:pt>
                <c:pt idx="13">
                  <c:v>270379.56368805567</c:v>
                </c:pt>
                <c:pt idx="14">
                  <c:v>150641.35889072917</c:v>
                </c:pt>
                <c:pt idx="15">
                  <c:v>316159.92328995891</c:v>
                </c:pt>
                <c:pt idx="16">
                  <c:v>267652.28111244523</c:v>
                </c:pt>
                <c:pt idx="17">
                  <c:v>234049.60534180043</c:v>
                </c:pt>
                <c:pt idx="18">
                  <c:v>202761.16700018186</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237642.772567409</c:v>
                </c:pt>
                <c:pt idx="1">
                  <c:v>311144.71780028939</c:v>
                </c:pt>
                <c:pt idx="2">
                  <c:v>210316.33921638649</c:v>
                </c:pt>
                <c:pt idx="3">
                  <c:v>183030.44467731169</c:v>
                </c:pt>
                <c:pt idx="4">
                  <c:v>212143.2607700532</c:v>
                </c:pt>
                <c:pt idx="5">
                  <c:v>192833.27693891514</c:v>
                </c:pt>
                <c:pt idx="6">
                  <c:v>243305.47841745819</c:v>
                </c:pt>
                <c:pt idx="7">
                  <c:v>213549.70628525756</c:v>
                </c:pt>
                <c:pt idx="8">
                  <c:v>192516.71942911844</c:v>
                </c:pt>
                <c:pt idx="9">
                  <c:v>252422.41276179414</c:v>
                </c:pt>
                <c:pt idx="10">
                  <c:v>204875.65048588364</c:v>
                </c:pt>
                <c:pt idx="11">
                  <c:v>242248.56063482765</c:v>
                </c:pt>
                <c:pt idx="12">
                  <c:v>280984.60931192467</c:v>
                </c:pt>
                <c:pt idx="13">
                  <c:v>276778.64025289833</c:v>
                </c:pt>
                <c:pt idx="14">
                  <c:v>295212.60834335705</c:v>
                </c:pt>
                <c:pt idx="15">
                  <c:v>268411.52989256079</c:v>
                </c:pt>
                <c:pt idx="16">
                  <c:v>276525.8807523009</c:v>
                </c:pt>
                <c:pt idx="17">
                  <c:v>247374.16268210683</c:v>
                </c:pt>
                <c:pt idx="18">
                  <c:v>247410.7764235037</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636894.23602969933</c:v>
                </c:pt>
                <c:pt idx="1">
                  <c:v>1444564.3994211287</c:v>
                </c:pt>
                <c:pt idx="2">
                  <c:v>893706.44516066369</c:v>
                </c:pt>
                <c:pt idx="3">
                  <c:v>593725.26879347104</c:v>
                </c:pt>
                <c:pt idx="4">
                  <c:v>817360.06005343143</c:v>
                </c:pt>
                <c:pt idx="5">
                  <c:v>548322.46191537508</c:v>
                </c:pt>
                <c:pt idx="6">
                  <c:v>552822.54873239843</c:v>
                </c:pt>
                <c:pt idx="7">
                  <c:v>650918.32039278687</c:v>
                </c:pt>
                <c:pt idx="8">
                  <c:v>553296.1047837598</c:v>
                </c:pt>
                <c:pt idx="9">
                  <c:v>531264.31211296318</c:v>
                </c:pt>
                <c:pt idx="10">
                  <c:v>729934.74502567318</c:v>
                </c:pt>
                <c:pt idx="11">
                  <c:v>812835.47217403911</c:v>
                </c:pt>
                <c:pt idx="12">
                  <c:v>838390.10538829793</c:v>
                </c:pt>
                <c:pt idx="13">
                  <c:v>887974.1189748866</c:v>
                </c:pt>
                <c:pt idx="14">
                  <c:v>800818.74400220078</c:v>
                </c:pt>
                <c:pt idx="15">
                  <c:v>786984.51584430167</c:v>
                </c:pt>
                <c:pt idx="16">
                  <c:v>838788.06082432973</c:v>
                </c:pt>
                <c:pt idx="17">
                  <c:v>715860.37822189019</c:v>
                </c:pt>
                <c:pt idx="18">
                  <c:v>809856.15990540292</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379257.13169206737</c:v>
                </c:pt>
                <c:pt idx="1">
                  <c:v>256393.8736131211</c:v>
                </c:pt>
                <c:pt idx="2">
                  <c:v>291007.93187650066</c:v>
                </c:pt>
                <c:pt idx="3">
                  <c:v>318092.17977200239</c:v>
                </c:pt>
                <c:pt idx="4">
                  <c:v>333567.43411674321</c:v>
                </c:pt>
                <c:pt idx="5">
                  <c:v>386044.43619669264</c:v>
                </c:pt>
                <c:pt idx="6">
                  <c:v>390689.73181954073</c:v>
                </c:pt>
                <c:pt idx="7">
                  <c:v>369604.07822951552</c:v>
                </c:pt>
                <c:pt idx="8">
                  <c:v>366954.64369811921</c:v>
                </c:pt>
                <c:pt idx="9">
                  <c:v>342768.54391527612</c:v>
                </c:pt>
                <c:pt idx="10">
                  <c:v>373750.31680954457</c:v>
                </c:pt>
                <c:pt idx="11">
                  <c:v>337028.82412484672</c:v>
                </c:pt>
                <c:pt idx="12">
                  <c:v>407612.6902739646</c:v>
                </c:pt>
                <c:pt idx="13">
                  <c:v>385107.64887437789</c:v>
                </c:pt>
                <c:pt idx="14">
                  <c:v>344510.06405176228</c:v>
                </c:pt>
                <c:pt idx="15">
                  <c:v>471874.52009618795</c:v>
                </c:pt>
                <c:pt idx="16">
                  <c:v>349607.97639055626</c:v>
                </c:pt>
                <c:pt idx="17">
                  <c:v>373703.94919686223</c:v>
                </c:pt>
                <c:pt idx="18">
                  <c:v>356928.57431326178</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29.628771431401784</c:v>
                </c:pt>
                <c:pt idx="1">
                  <c:v>11.152829825624936</c:v>
                </c:pt>
                <c:pt idx="2">
                  <c:v>23.392637258159745</c:v>
                </c:pt>
                <c:pt idx="3">
                  <c:v>29.66440115984922</c:v>
                </c:pt>
                <c:pt idx="4">
                  <c:v>22.168375235914947</c:v>
                </c:pt>
                <c:pt idx="5">
                  <c:v>32.576444196180773</c:v>
                </c:pt>
                <c:pt idx="6">
                  <c:v>31.253927730854652</c:v>
                </c:pt>
                <c:pt idx="7">
                  <c:v>28.63975966649539</c:v>
                </c:pt>
                <c:pt idx="8">
                  <c:v>26.189662305439825</c:v>
                </c:pt>
                <c:pt idx="9">
                  <c:v>20.104658880700114</c:v>
                </c:pt>
                <c:pt idx="10">
                  <c:v>22.183098602806407</c:v>
                </c:pt>
                <c:pt idx="11">
                  <c:v>18.144919028843805</c:v>
                </c:pt>
                <c:pt idx="12">
                  <c:v>18.917756039357162</c:v>
                </c:pt>
                <c:pt idx="13">
                  <c:v>17.519666585528071</c:v>
                </c:pt>
                <c:pt idx="14">
                  <c:v>19.010974611616092</c:v>
                </c:pt>
                <c:pt idx="15">
                  <c:v>25.005264765840394</c:v>
                </c:pt>
                <c:pt idx="16">
                  <c:v>16.814884046218481</c:v>
                </c:pt>
                <c:pt idx="17">
                  <c:v>18.755716369841078</c:v>
                </c:pt>
                <c:pt idx="18">
                  <c:v>20.154364666428869</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156171.13657480862</c:v>
                </c:pt>
                <c:pt idx="2">
                  <c:v>457656.57227336837</c:v>
                </c:pt>
                <c:pt idx="3">
                  <c:v>60814.557037163468</c:v>
                </c:pt>
                <c:pt idx="4">
                  <c:v>65649.860026835464</c:v>
                </c:pt>
                <c:pt idx="5">
                  <c:v>86758.446430851283</c:v>
                </c:pt>
                <c:pt idx="6">
                  <c:v>137006.25528099434</c:v>
                </c:pt>
                <c:pt idx="7">
                  <c:v>231701.9640595185</c:v>
                </c:pt>
                <c:pt idx="8">
                  <c:v>47016.279339596411</c:v>
                </c:pt>
                <c:pt idx="9">
                  <c:v>31830.080117225079</c:v>
                </c:pt>
                <c:pt idx="10">
                  <c:v>236637.52688642597</c:v>
                </c:pt>
                <c:pt idx="11">
                  <c:v>263253.90818432311</c:v>
                </c:pt>
                <c:pt idx="12">
                  <c:v>95750.544260164112</c:v>
                </c:pt>
                <c:pt idx="13">
                  <c:v>455273.26525132736</c:v>
                </c:pt>
                <c:pt idx="14">
                  <c:v>311052.15608056769</c:v>
                </c:pt>
                <c:pt idx="15">
                  <c:v>105099.80873728436</c:v>
                </c:pt>
                <c:pt idx="16">
                  <c:v>82104.520441281464</c:v>
                </c:pt>
                <c:pt idx="17">
                  <c:v>305197.8935159418</c:v>
                </c:pt>
                <c:pt idx="18">
                  <c:v>282403.01665230677</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-364060.36213947111</c:v>
                </c:pt>
                <c:pt idx="2">
                  <c:v>314789.08740803378</c:v>
                </c:pt>
                <c:pt idx="3">
                  <c:v>-6951.0155964536098</c:v>
                </c:pt>
                <c:pt idx="4">
                  <c:v>-155459.72032186633</c:v>
                </c:pt>
                <c:pt idx="5">
                  <c:v>119817.16408939261</c:v>
                </c:pt>
                <c:pt idx="6">
                  <c:v>-121281.20097752262</c:v>
                </c:pt>
                <c:pt idx="7">
                  <c:v>-19269.174075871095</c:v>
                </c:pt>
                <c:pt idx="8">
                  <c:v>-62150.999328896425</c:v>
                </c:pt>
                <c:pt idx="9">
                  <c:v>-123367.37705922185</c:v>
                </c:pt>
                <c:pt idx="10">
                  <c:v>-136160.40712499875</c:v>
                </c:pt>
                <c:pt idx="11">
                  <c:v>-131748.38040321949</c:v>
                </c:pt>
                <c:pt idx="12">
                  <c:v>-38353.821574791109</c:v>
                </c:pt>
                <c:pt idx="13">
                  <c:v>-116891.11073309276</c:v>
                </c:pt>
                <c:pt idx="14">
                  <c:v>-18801.086193067422</c:v>
                </c:pt>
                <c:pt idx="15">
                  <c:v>-127913.69571168919</c:v>
                </c:pt>
                <c:pt idx="16">
                  <c:v>-121766.13286750298</c:v>
                </c:pt>
                <c:pt idx="17">
                  <c:v>-38652.915807861951</c:v>
                </c:pt>
                <c:pt idx="18">
                  <c:v>98493.343182368189</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422568.64622973069</c:v>
                </c:pt>
                <c:pt idx="2">
                  <c:v>-515882.56078704406</c:v>
                </c:pt>
                <c:pt idx="3">
                  <c:v>60762.442895238921</c:v>
                </c:pt>
                <c:pt idx="4">
                  <c:v>46277.932390101938</c:v>
                </c:pt>
                <c:pt idx="5">
                  <c:v>-25000.88856635135</c:v>
                </c:pt>
                <c:pt idx="6">
                  <c:v>52296.849757322321</c:v>
                </c:pt>
                <c:pt idx="7">
                  <c:v>-6406.2029155610071</c:v>
                </c:pt>
                <c:pt idx="8">
                  <c:v>-56982.180180359937</c:v>
                </c:pt>
                <c:pt idx="9">
                  <c:v>137047.55280145316</c:v>
                </c:pt>
                <c:pt idx="10">
                  <c:v>-120607.8927714951</c:v>
                </c:pt>
                <c:pt idx="11">
                  <c:v>14829.836113580983</c:v>
                </c:pt>
                <c:pt idx="12">
                  <c:v>65557.392799214227</c:v>
                </c:pt>
                <c:pt idx="13">
                  <c:v>-67919.354975998562</c:v>
                </c:pt>
                <c:pt idx="14">
                  <c:v>-25367.905219711844</c:v>
                </c:pt>
                <c:pt idx="15">
                  <c:v>233277.97192587773</c:v>
                </c:pt>
                <c:pt idx="16">
                  <c:v>-199765.96047949133</c:v>
                </c:pt>
                <c:pt idx="17">
                  <c:v>138628.51330857337</c:v>
                </c:pt>
                <c:pt idx="18">
                  <c:v>-144907.77103556815</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-207889.22556466248</c:v>
                </c:pt>
                <c:pt idx="2">
                  <c:v>772445.65968140215</c:v>
                </c:pt>
                <c:pt idx="3">
                  <c:v>53863.541440709858</c:v>
                </c:pt>
                <c:pt idx="4">
                  <c:v>-89809.86029503087</c:v>
                </c:pt>
                <c:pt idx="5">
                  <c:v>206575.61052024388</c:v>
                </c:pt>
                <c:pt idx="6">
                  <c:v>15725.054303471727</c:v>
                </c:pt>
                <c:pt idx="7">
                  <c:v>212432.78998364741</c:v>
                </c:pt>
                <c:pt idx="8">
                  <c:v>-15134.719989300014</c:v>
                </c:pt>
                <c:pt idx="9">
                  <c:v>-91537.29694199677</c:v>
                </c:pt>
                <c:pt idx="10">
                  <c:v>100477.11976142722</c:v>
                </c:pt>
                <c:pt idx="11">
                  <c:v>131505.52778110362</c:v>
                </c:pt>
                <c:pt idx="12">
                  <c:v>57396.722685373003</c:v>
                </c:pt>
                <c:pt idx="13">
                  <c:v>338382.1545182346</c:v>
                </c:pt>
                <c:pt idx="14">
                  <c:v>292251.06988750026</c:v>
                </c:pt>
                <c:pt idx="15">
                  <c:v>-22813.886974404828</c:v>
                </c:pt>
                <c:pt idx="16">
                  <c:v>-39661.612426221516</c:v>
                </c:pt>
                <c:pt idx="17">
                  <c:v>266544.97770807985</c:v>
                </c:pt>
                <c:pt idx="18">
                  <c:v>380896.35983467498</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562369.33567800059</c:v>
                </c:pt>
                <c:pt idx="1">
                  <c:v>1189455.3786782443</c:v>
                </c:pt>
                <c:pt idx="2">
                  <c:v>455017.00393772993</c:v>
                </c:pt>
                <c:pt idx="3">
                  <c:v>463019.51684172999</c:v>
                </c:pt>
                <c:pt idx="4">
                  <c:v>618420.63745686691</c:v>
                </c:pt>
                <c:pt idx="5">
                  <c:v>591324.48220652342</c:v>
                </c:pt>
                <c:pt idx="6">
                  <c:v>560447.82669475616</c:v>
                </c:pt>
                <c:pt idx="7">
                  <c:v>527774.22405469127</c:v>
                </c:pt>
                <c:pt idx="8">
                  <c:v>570479.99702969973</c:v>
                </c:pt>
                <c:pt idx="9">
                  <c:v>1613999.9240946427</c:v>
                </c:pt>
                <c:pt idx="10">
                  <c:v>905353.32856549928</c:v>
                </c:pt>
                <c:pt idx="11">
                  <c:v>719794.83562371263</c:v>
                </c:pt>
                <c:pt idx="12">
                  <c:v>849825.85878663068</c:v>
                </c:pt>
                <c:pt idx="13">
                  <c:v>911764.95167912007</c:v>
                </c:pt>
                <c:pt idx="14">
                  <c:v>699780.50740053377</c:v>
                </c:pt>
                <c:pt idx="15">
                  <c:v>833345.75478684937</c:v>
                </c:pt>
                <c:pt idx="16">
                  <c:v>824011.65966386534</c:v>
                </c:pt>
                <c:pt idx="17">
                  <c:v>744553.96208442259</c:v>
                </c:pt>
                <c:pt idx="18">
                  <c:v>696185.7605966893</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42.257420078017496</c:v>
                </c:pt>
                <c:pt idx="1">
                  <c:v>26.158586810212419</c:v>
                </c:pt>
                <c:pt idx="2">
                  <c:v>46.221643893811212</c:v>
                </c:pt>
                <c:pt idx="3">
                  <c:v>39.529747239547881</c:v>
                </c:pt>
                <c:pt idx="4">
                  <c:v>34.30403966504911</c:v>
                </c:pt>
                <c:pt idx="5">
                  <c:v>32.610399660666687</c:v>
                </c:pt>
                <c:pt idx="6">
                  <c:v>43.412690143229469</c:v>
                </c:pt>
                <c:pt idx="7">
                  <c:v>40.462322059731399</c:v>
                </c:pt>
                <c:pt idx="8">
                  <c:v>33.74644517450028</c:v>
                </c:pt>
                <c:pt idx="9">
                  <c:v>15.639555429557284</c:v>
                </c:pt>
                <c:pt idx="10">
                  <c:v>22.629358508075732</c:v>
                </c:pt>
                <c:pt idx="11">
                  <c:v>33.655223495027684</c:v>
                </c:pt>
                <c:pt idx="12">
                  <c:v>33.063786704856277</c:v>
                </c:pt>
                <c:pt idx="13">
                  <c:v>30.356358811904165</c:v>
                </c:pt>
                <c:pt idx="14">
                  <c:v>42.186457785167491</c:v>
                </c:pt>
                <c:pt idx="15">
                  <c:v>32.208903489430298</c:v>
                </c:pt>
                <c:pt idx="16">
                  <c:v>33.558491255463863</c:v>
                </c:pt>
                <c:pt idx="17">
                  <c:v>33.224477375631487</c:v>
                </c:pt>
                <c:pt idx="18">
                  <c:v>35.538040337316296</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62810.758108639857</c:v>
                </c:pt>
                <c:pt idx="1">
                  <c:v>317126.86927158711</c:v>
                </c:pt>
                <c:pt idx="2">
                  <c:v>64077.478323002346</c:v>
                </c:pt>
                <c:pt idx="3">
                  <c:v>17578.194261997705</c:v>
                </c:pt>
                <c:pt idx="4">
                  <c:v>84862.009942757897</c:v>
                </c:pt>
                <c:pt idx="5">
                  <c:v>33912.800304008881</c:v>
                </c:pt>
                <c:pt idx="6">
                  <c:v>52756.042279608366</c:v>
                </c:pt>
                <c:pt idx="7">
                  <c:v>74617.272617318114</c:v>
                </c:pt>
                <c:pt idx="8">
                  <c:v>64991.964004110232</c:v>
                </c:pt>
                <c:pt idx="9">
                  <c:v>140153.65215431669</c:v>
                </c:pt>
                <c:pt idx="10">
                  <c:v>90232.819437355851</c:v>
                </c:pt>
                <c:pt idx="11">
                  <c:v>78214.046966491354</c:v>
                </c:pt>
                <c:pt idx="12">
                  <c:v>95068.072975609321</c:v>
                </c:pt>
                <c:pt idx="13">
                  <c:v>150554.6767849637</c:v>
                </c:pt>
                <c:pt idx="14">
                  <c:v>107873.72514254945</c:v>
                </c:pt>
                <c:pt idx="15">
                  <c:v>105959.12816116503</c:v>
                </c:pt>
                <c:pt idx="16">
                  <c:v>106881.14265706282</c:v>
                </c:pt>
                <c:pt idx="17">
                  <c:v>115888.07452372058</c:v>
                </c:pt>
                <c:pt idx="18">
                  <c:v>97483.280152810621</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160090.79914028908</c:v>
                </c:pt>
                <c:pt idx="1">
                  <c:v>324418.95803183789</c:v>
                </c:pt>
                <c:pt idx="2">
                  <c:v>121497.36963650279</c:v>
                </c:pt>
                <c:pt idx="3">
                  <c:v>157912.24305033693</c:v>
                </c:pt>
                <c:pt idx="4">
                  <c:v>187802.30843957062</c:v>
                </c:pt>
                <c:pt idx="5">
                  <c:v>208162.61795169517</c:v>
                </c:pt>
                <c:pt idx="6">
                  <c:v>159337.62132832478</c:v>
                </c:pt>
                <c:pt idx="7">
                  <c:v>133632.21902666651</c:v>
                </c:pt>
                <c:pt idx="8">
                  <c:v>194086.20760048504</c:v>
                </c:pt>
                <c:pt idx="9">
                  <c:v>647772.04279129871</c:v>
                </c:pt>
                <c:pt idx="10">
                  <c:v>345336.17872398492</c:v>
                </c:pt>
                <c:pt idx="11">
                  <c:v>238453.18595796725</c:v>
                </c:pt>
                <c:pt idx="12">
                  <c:v>286165.15351793088</c:v>
                </c:pt>
                <c:pt idx="13">
                  <c:v>294766.82031270419</c:v>
                </c:pt>
                <c:pt idx="14">
                  <c:v>174531.92701788578</c:v>
                </c:pt>
                <c:pt idx="15">
                  <c:v>250781.14424855204</c:v>
                </c:pt>
                <c:pt idx="16">
                  <c:v>252682.52030812335</c:v>
                </c:pt>
                <c:pt idx="17">
                  <c:v>214816.39288382512</c:v>
                </c:pt>
                <c:pt idx="18">
                  <c:v>206548.42877933415</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101825.00586166467</c:v>
                </c:pt>
                <c:pt idx="1">
                  <c:v>235731.30728412926</c:v>
                </c:pt>
                <c:pt idx="2">
                  <c:v>58415.082837603783</c:v>
                </c:pt>
                <c:pt idx="3">
                  <c:v>103914.76549007659</c:v>
                </c:pt>
                <c:pt idx="4">
                  <c:v>133267.74461158167</c:v>
                </c:pt>
                <c:pt idx="5">
                  <c:v>155650.25635916175</c:v>
                </c:pt>
                <c:pt idx="6">
                  <c:v>104763.04562858486</c:v>
                </c:pt>
                <c:pt idx="7">
                  <c:v>105631.32320665359</c:v>
                </c:pt>
                <c:pt idx="8">
                  <c:v>115920.244997298</c:v>
                </c:pt>
                <c:pt idx="9">
                  <c:v>573356.39815733244</c:v>
                </c:pt>
                <c:pt idx="10">
                  <c:v>264594.69773127075</c:v>
                </c:pt>
                <c:pt idx="11">
                  <c:v>160279.53371602227</c:v>
                </c:pt>
                <c:pt idx="12">
                  <c:v>186918.60140037385</c:v>
                </c:pt>
                <c:pt idx="13">
                  <c:v>189334.70262702374</c:v>
                </c:pt>
                <c:pt idx="14">
                  <c:v>121706.79188946716</c:v>
                </c:pt>
                <c:pt idx="15">
                  <c:v>207605.79821084859</c:v>
                </c:pt>
                <c:pt idx="16">
                  <c:v>187314.06732693088</c:v>
                </c:pt>
                <c:pt idx="17">
                  <c:v>166221.89419125882</c:v>
                </c:pt>
                <c:pt idx="18">
                  <c:v>144444.40349281422</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237642.772567409</c:v>
                </c:pt>
                <c:pt idx="1">
                  <c:v>312177.76169802214</c:v>
                </c:pt>
                <c:pt idx="2">
                  <c:v>211027.07314062116</c:v>
                </c:pt>
                <c:pt idx="3">
                  <c:v>183614.31403931725</c:v>
                </c:pt>
                <c:pt idx="4">
                  <c:v>212488.57446295675</c:v>
                </c:pt>
                <c:pt idx="5">
                  <c:v>193598.80759165852</c:v>
                </c:pt>
                <c:pt idx="6">
                  <c:v>243591.11745823751</c:v>
                </c:pt>
                <c:pt idx="7">
                  <c:v>213893.40920405326</c:v>
                </c:pt>
                <c:pt idx="8">
                  <c:v>195481.58042780642</c:v>
                </c:pt>
                <c:pt idx="9">
                  <c:v>252717.83099169502</c:v>
                </c:pt>
                <c:pt idx="10">
                  <c:v>205189.6326728866</c:v>
                </c:pt>
                <c:pt idx="11">
                  <c:v>242848.06898323243</c:v>
                </c:pt>
                <c:pt idx="12">
                  <c:v>281674.03089271591</c:v>
                </c:pt>
                <c:pt idx="13">
                  <c:v>277108.75195442728</c:v>
                </c:pt>
                <c:pt idx="14">
                  <c:v>295668.06335062982</c:v>
                </c:pt>
                <c:pt idx="15">
                  <c:v>268999.68416628148</c:v>
                </c:pt>
                <c:pt idx="16">
                  <c:v>277133.9293717487</c:v>
                </c:pt>
                <c:pt idx="17">
                  <c:v>247627.60029884198</c:v>
                </c:pt>
                <c:pt idx="18">
                  <c:v>247709.64817173002</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69514.2379835873</c:v>
                </c:pt>
                <c:pt idx="1">
                  <c:v>110797.15388326098</c:v>
                </c:pt>
                <c:pt idx="2">
                  <c:v>18616.584156451347</c:v>
                </c:pt>
                <c:pt idx="3">
                  <c:v>38963.191717281043</c:v>
                </c:pt>
                <c:pt idx="4">
                  <c:v>31265.953385317291</c:v>
                </c:pt>
                <c:pt idx="5">
                  <c:v>49577.65443141204</c:v>
                </c:pt>
                <c:pt idx="6">
                  <c:v>32312.951666353129</c:v>
                </c:pt>
                <c:pt idx="7">
                  <c:v>23995.342633627741</c:v>
                </c:pt>
                <c:pt idx="8">
                  <c:v>52002.02817439301</c:v>
                </c:pt>
                <c:pt idx="9">
                  <c:v>27275.127896458976</c:v>
                </c:pt>
                <c:pt idx="10">
                  <c:v>36643.43806369901</c:v>
                </c:pt>
                <c:pt idx="11">
                  <c:v>20386.277294387906</c:v>
                </c:pt>
                <c:pt idx="12">
                  <c:v>55096.678545001254</c:v>
                </c:pt>
                <c:pt idx="13">
                  <c:v>55463.233130950874</c:v>
                </c:pt>
                <c:pt idx="14">
                  <c:v>58958.952071482854</c:v>
                </c:pt>
                <c:pt idx="15">
                  <c:v>43770.008977511337</c:v>
                </c:pt>
                <c:pt idx="16">
                  <c:v>70806.239095638244</c:v>
                </c:pt>
                <c:pt idx="17">
                  <c:v>52891.031751961142</c:v>
                </c:pt>
                <c:pt idx="18">
                  <c:v>52672.748226305259</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567379.99804611201</c:v>
                </c:pt>
                <c:pt idx="1">
                  <c:v>1333767.2455378678</c:v>
                </c:pt>
                <c:pt idx="2">
                  <c:v>875089.86100421229</c:v>
                </c:pt>
                <c:pt idx="3">
                  <c:v>554762.07707619003</c:v>
                </c:pt>
                <c:pt idx="4">
                  <c:v>786094.1066681142</c:v>
                </c:pt>
                <c:pt idx="5">
                  <c:v>498744.80748396309</c:v>
                </c:pt>
                <c:pt idx="6">
                  <c:v>520509.59706604527</c:v>
                </c:pt>
                <c:pt idx="7">
                  <c:v>626922.97775915917</c:v>
                </c:pt>
                <c:pt idx="8">
                  <c:v>501294.07660936681</c:v>
                </c:pt>
                <c:pt idx="9">
                  <c:v>503989.18421650422</c:v>
                </c:pt>
                <c:pt idx="10">
                  <c:v>693291.30696197413</c:v>
                </c:pt>
                <c:pt idx="11">
                  <c:v>792449.19487965119</c:v>
                </c:pt>
                <c:pt idx="12">
                  <c:v>783293.42684329662</c:v>
                </c:pt>
                <c:pt idx="13">
                  <c:v>832510.88584393577</c:v>
                </c:pt>
                <c:pt idx="14">
                  <c:v>741859.79193071788</c:v>
                </c:pt>
                <c:pt idx="15">
                  <c:v>743214.50686679035</c:v>
                </c:pt>
                <c:pt idx="16">
                  <c:v>767981.82172869146</c:v>
                </c:pt>
                <c:pt idx="17">
                  <c:v>662969.34646992909</c:v>
                </c:pt>
                <c:pt idx="18">
                  <c:v>757183.41167909768</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510169.59749902267</c:v>
                </c:pt>
                <c:pt idx="1">
                  <c:v>1243123.2513265796</c:v>
                </c:pt>
                <c:pt idx="2">
                  <c:v>527435.20629861217</c:v>
                </c:pt>
                <c:pt idx="3">
                  <c:v>417673.27155707654</c:v>
                </c:pt>
                <c:pt idx="4">
                  <c:v>753573.86144440493</c:v>
                </c:pt>
                <c:pt idx="5">
                  <c:v>474246.11847123358</c:v>
                </c:pt>
                <c:pt idx="6">
                  <c:v>531466.07590473152</c:v>
                </c:pt>
                <c:pt idx="7">
                  <c:v>505126.79038328142</c:v>
                </c:pt>
                <c:pt idx="8">
                  <c:v>624890.2453098828</c:v>
                </c:pt>
                <c:pt idx="9">
                  <c:v>730496.64295268781</c:v>
                </c:pt>
                <c:pt idx="10">
                  <c:v>827295.6012603892</c:v>
                </c:pt>
                <c:pt idx="11">
                  <c:v>1035943.355819417</c:v>
                </c:pt>
                <c:pt idx="12">
                  <c:v>1236064.6086478406</c:v>
                </c:pt>
                <c:pt idx="13">
                  <c:v>1276406.4099569353</c:v>
                </c:pt>
                <c:pt idx="14">
                  <c:v>975229.314586833</c:v>
                </c:pt>
                <c:pt idx="15">
                  <c:v>927595.74373196962</c:v>
                </c:pt>
                <c:pt idx="16">
                  <c:v>1190716.2799119647</c:v>
                </c:pt>
                <c:pt idx="17">
                  <c:v>1197704.5967500936</c:v>
                </c:pt>
                <c:pt idx="18">
                  <c:v>970924.9254138621</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43380.422039859302</c:v>
                </c:pt>
                <c:pt idx="1">
                  <c:v>149892.18523878438</c:v>
                </c:pt>
                <c:pt idx="2">
                  <c:v>49946.295118733506</c:v>
                </c:pt>
                <c:pt idx="3">
                  <c:v>54958.856412417335</c:v>
                </c:pt>
                <c:pt idx="4">
                  <c:v>45759.338383844173</c:v>
                </c:pt>
                <c:pt idx="5">
                  <c:v>35088.400535935965</c:v>
                </c:pt>
                <c:pt idx="6">
                  <c:v>42662.930759750161</c:v>
                </c:pt>
                <c:pt idx="7">
                  <c:v>40868.108791762017</c:v>
                </c:pt>
                <c:pt idx="8">
                  <c:v>40137.104583828426</c:v>
                </c:pt>
                <c:pt idx="9">
                  <c:v>59621.537334166278</c:v>
                </c:pt>
                <c:pt idx="10">
                  <c:v>52506.565779571407</c:v>
                </c:pt>
                <c:pt idx="11">
                  <c:v>50292.690157122539</c:v>
                </c:pt>
                <c:pt idx="12">
                  <c:v>48051.892363843632</c:v>
                </c:pt>
                <c:pt idx="13">
                  <c:v>45553.948298540097</c:v>
                </c:pt>
                <c:pt idx="14">
                  <c:v>46201.412905517289</c:v>
                </c:pt>
                <c:pt idx="15">
                  <c:v>60849.884717935878</c:v>
                </c:pt>
                <c:pt idx="16">
                  <c:v>52739.957983193279</c:v>
                </c:pt>
                <c:pt idx="17">
                  <c:v>44964.337317893165</c:v>
                </c:pt>
                <c:pt idx="18">
                  <c:v>38959.649445151903</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379257.13169206737</c:v>
                </c:pt>
                <c:pt idx="1">
                  <c:v>256393.8736131211</c:v>
                </c:pt>
                <c:pt idx="2">
                  <c:v>291007.93187650066</c:v>
                </c:pt>
                <c:pt idx="3">
                  <c:v>318092.17977200239</c:v>
                </c:pt>
                <c:pt idx="4">
                  <c:v>333567.43411674321</c:v>
                </c:pt>
                <c:pt idx="5">
                  <c:v>386044.43619669264</c:v>
                </c:pt>
                <c:pt idx="6">
                  <c:v>390689.73181954073</c:v>
                </c:pt>
                <c:pt idx="7">
                  <c:v>369604.07822951552</c:v>
                </c:pt>
                <c:pt idx="8">
                  <c:v>366954.64369811921</c:v>
                </c:pt>
                <c:pt idx="9">
                  <c:v>342768.54391527612</c:v>
                </c:pt>
                <c:pt idx="10">
                  <c:v>373750.31680954457</c:v>
                </c:pt>
                <c:pt idx="11">
                  <c:v>337028.82412484672</c:v>
                </c:pt>
                <c:pt idx="12">
                  <c:v>407612.6902739646</c:v>
                </c:pt>
                <c:pt idx="13">
                  <c:v>385107.64887437789</c:v>
                </c:pt>
                <c:pt idx="14">
                  <c:v>344510.06405176228</c:v>
                </c:pt>
                <c:pt idx="15">
                  <c:v>471874.52009618795</c:v>
                </c:pt>
                <c:pt idx="16">
                  <c:v>349607.97639055626</c:v>
                </c:pt>
                <c:pt idx="17">
                  <c:v>373703.94919686223</c:v>
                </c:pt>
                <c:pt idx="18">
                  <c:v>356928.57431326178</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347222.74325908546</c:v>
                </c:pt>
                <c:pt idx="1">
                  <c:v>649503.61794500716</c:v>
                </c:pt>
                <c:pt idx="2">
                  <c:v>375625.63292102568</c:v>
                </c:pt>
                <c:pt idx="3">
                  <c:v>281578.40977481205</c:v>
                </c:pt>
                <c:pt idx="4">
                  <c:v>371798.87861256878</c:v>
                </c:pt>
                <c:pt idx="5">
                  <c:v>289662.70825046866</c:v>
                </c:pt>
                <c:pt idx="6">
                  <c:v>283102.52961776685</c:v>
                </c:pt>
                <c:pt idx="7">
                  <c:v>373005.01227384747</c:v>
                </c:pt>
                <c:pt idx="8">
                  <c:v>369161.09645060712</c:v>
                </c:pt>
                <c:pt idx="9">
                  <c:v>572034.23938767845</c:v>
                </c:pt>
                <c:pt idx="10">
                  <c:v>431290.21329408215</c:v>
                </c:pt>
                <c:pt idx="11">
                  <c:v>434163.22637616674</c:v>
                </c:pt>
                <c:pt idx="12">
                  <c:v>462927.46791829314</c:v>
                </c:pt>
                <c:pt idx="13">
                  <c:v>491076.84336913924</c:v>
                </c:pt>
                <c:pt idx="14">
                  <c:v>446223.34569722414</c:v>
                </c:pt>
                <c:pt idx="15">
                  <c:v>426780.52611188369</c:v>
                </c:pt>
                <c:pt idx="16">
                  <c:v>486093.60464185668</c:v>
                </c:pt>
                <c:pt idx="17">
                  <c:v>376107.39223010826</c:v>
                </c:pt>
                <c:pt idx="18">
                  <c:v>404160.93123521924</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100749.70691676435</c:v>
                </c:pt>
                <c:pt idx="1">
                  <c:v>181261.21562952243</c:v>
                </c:pt>
                <c:pt idx="2">
                  <c:v>133891.54871714363</c:v>
                </c:pt>
                <c:pt idx="3">
                  <c:v>91198.473645394013</c:v>
                </c:pt>
                <c:pt idx="4">
                  <c:v>175784.64513597186</c:v>
                </c:pt>
                <c:pt idx="5">
                  <c:v>127529.72975082484</c:v>
                </c:pt>
                <c:pt idx="6">
                  <c:v>145447.77087414553</c:v>
                </c:pt>
                <c:pt idx="7">
                  <c:v>92899.627469300685</c:v>
                </c:pt>
                <c:pt idx="8">
                  <c:v>89894.487852120452</c:v>
                </c:pt>
                <c:pt idx="9">
                  <c:v>37029.854675960334</c:v>
                </c:pt>
                <c:pt idx="10">
                  <c:v>110108.68324143726</c:v>
                </c:pt>
                <c:pt idx="11">
                  <c:v>154214.66464678865</c:v>
                </c:pt>
                <c:pt idx="12">
                  <c:v>203622.25067094903</c:v>
                </c:pt>
                <c:pt idx="13">
                  <c:v>206984.81841156501</c:v>
                </c:pt>
                <c:pt idx="14">
                  <c:v>281042.74658108345</c:v>
                </c:pt>
                <c:pt idx="15">
                  <c:v>160108.01191341446</c:v>
                </c:pt>
                <c:pt idx="16">
                  <c:v>215044.18267306921</c:v>
                </c:pt>
                <c:pt idx="17">
                  <c:v>245978.11841613747</c:v>
                </c:pt>
                <c:pt idx="18">
                  <c:v>229369.63125341095</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456255.37319265347</c:v>
                </c:pt>
                <c:pt idx="1">
                  <c:v>665952.96671490592</c:v>
                </c:pt>
                <c:pt idx="2">
                  <c:v>379707.36129972531</c:v>
                </c:pt>
                <c:pt idx="3">
                  <c:v>400246.44597165828</c:v>
                </c:pt>
                <c:pt idx="4">
                  <c:v>443942.8558373258</c:v>
                </c:pt>
                <c:pt idx="5">
                  <c:v>322545.30011000071</c:v>
                </c:pt>
                <c:pt idx="6">
                  <c:v>390554.6470832515</c:v>
                </c:pt>
                <c:pt idx="7">
                  <c:v>404628.91043956915</c:v>
                </c:pt>
                <c:pt idx="8">
                  <c:v>424841.09392468474</c:v>
                </c:pt>
                <c:pt idx="9">
                  <c:v>564150.04854109883</c:v>
                </c:pt>
                <c:pt idx="10">
                  <c:v>567488.68470877735</c:v>
                </c:pt>
                <c:pt idx="11">
                  <c:v>612924.93213017948</c:v>
                </c:pt>
                <c:pt idx="12">
                  <c:v>537917.86240282678</c:v>
                </c:pt>
                <c:pt idx="13">
                  <c:v>589639.57809150184</c:v>
                </c:pt>
                <c:pt idx="14">
                  <c:v>483243.21223326237</c:v>
                </c:pt>
                <c:pt idx="15">
                  <c:v>677827.68060964567</c:v>
                </c:pt>
                <c:pt idx="16">
                  <c:v>674675.73489395762</c:v>
                </c:pt>
                <c:pt idx="17">
                  <c:v>621126.43220022414</c:v>
                </c:pt>
                <c:pt idx="18">
                  <c:v>489479.96088775696</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146817.506838609</c:v>
                </c:pt>
                <c:pt idx="1">
                  <c:v>249029.66714905933</c:v>
                </c:pt>
                <c:pt idx="2">
                  <c:v>87394.217100967275</c:v>
                </c:pt>
                <c:pt idx="3">
                  <c:v>133302.85016852024</c:v>
                </c:pt>
                <c:pt idx="4">
                  <c:v>202751.41413407659</c:v>
                </c:pt>
                <c:pt idx="5">
                  <c:v>143930.44826369695</c:v>
                </c:pt>
                <c:pt idx="6">
                  <c:v>154020.80199351933</c:v>
                </c:pt>
                <c:pt idx="7">
                  <c:v>177794.22112354735</c:v>
                </c:pt>
                <c:pt idx="8">
                  <c:v>188219.73659023334</c:v>
                </c:pt>
                <c:pt idx="9">
                  <c:v>348653.12312717707</c:v>
                </c:pt>
                <c:pt idx="10">
                  <c:v>264669.31826332217</c:v>
                </c:pt>
                <c:pt idx="11">
                  <c:v>240576.03920827073</c:v>
                </c:pt>
                <c:pt idx="12">
                  <c:v>136762.73058497193</c:v>
                </c:pt>
                <c:pt idx="13">
                  <c:v>224694.03187425592</c:v>
                </c:pt>
                <c:pt idx="14">
                  <c:v>160832.46273875737</c:v>
                </c:pt>
                <c:pt idx="15">
                  <c:v>232886.52594646084</c:v>
                </c:pt>
                <c:pt idx="16">
                  <c:v>292273.57242897159</c:v>
                </c:pt>
                <c:pt idx="17">
                  <c:v>259266.44378035114</c:v>
                </c:pt>
                <c:pt idx="18">
                  <c:v>182418.65362925234</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360958.18679171544</c:v>
                </c:pt>
                <c:pt idx="1">
                  <c:v>910843.46357935353</c:v>
                </c:pt>
                <c:pt idx="2">
                  <c:v>459306.87080970412</c:v>
                </c:pt>
                <c:pt idx="3">
                  <c:v>293588.12761145254</c:v>
                </c:pt>
                <c:pt idx="4">
                  <c:v>409504.19464300305</c:v>
                </c:pt>
                <c:pt idx="5">
                  <c:v>380361.54531395115</c:v>
                </c:pt>
                <c:pt idx="6">
                  <c:v>339604.9841558609</c:v>
                </c:pt>
                <c:pt idx="7">
                  <c:v>331390.29869185336</c:v>
                </c:pt>
                <c:pt idx="8">
                  <c:v>394048.08346118813</c:v>
                </c:pt>
                <c:pt idx="9">
                  <c:v>645072.24609316082</c:v>
                </c:pt>
                <c:pt idx="10">
                  <c:v>507313.56088446907</c:v>
                </c:pt>
                <c:pt idx="11">
                  <c:v>482028.27757753362</c:v>
                </c:pt>
                <c:pt idx="12">
                  <c:v>717664.62714707572</c:v>
                </c:pt>
                <c:pt idx="13">
                  <c:v>476757.24202823418</c:v>
                </c:pt>
                <c:pt idx="14">
                  <c:v>384632.75676780695</c:v>
                </c:pt>
                <c:pt idx="15">
                  <c:v>401981.43497245054</c:v>
                </c:pt>
                <c:pt idx="16">
                  <c:v>540950.43357342924</c:v>
                </c:pt>
                <c:pt idx="17">
                  <c:v>392482.79137093772</c:v>
                </c:pt>
                <c:pt idx="18">
                  <c:v>420032.65362925222</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215248.92536146901</c:v>
                </c:pt>
                <c:pt idx="1">
                  <c:v>291825.37385431741</c:v>
                </c:pt>
                <c:pt idx="2">
                  <c:v>183715.06828733181</c:v>
                </c:pt>
                <c:pt idx="3">
                  <c:v>154019.4096196577</c:v>
                </c:pt>
                <c:pt idx="4">
                  <c:v>272716.40280718345</c:v>
                </c:pt>
                <c:pt idx="5">
                  <c:v>210674.64001585689</c:v>
                </c:pt>
                <c:pt idx="6">
                  <c:v>220421.82219389101</c:v>
                </c:pt>
                <c:pt idx="7">
                  <c:v>283814.80470713781</c:v>
                </c:pt>
                <c:pt idx="8">
                  <c:v>304139.68821421085</c:v>
                </c:pt>
                <c:pt idx="9">
                  <c:v>110015.69115241116</c:v>
                </c:pt>
                <c:pt idx="10">
                  <c:v>235262.45004558071</c:v>
                </c:pt>
                <c:pt idx="11">
                  <c:v>367684.18291478034</c:v>
                </c:pt>
                <c:pt idx="12">
                  <c:v>558689.18839811825</c:v>
                </c:pt>
                <c:pt idx="13">
                  <c:v>700069.18009343592</c:v>
                </c:pt>
                <c:pt idx="14">
                  <c:v>502412.95892042661</c:v>
                </c:pt>
                <c:pt idx="15">
                  <c:v>414297.02121600474</c:v>
                </c:pt>
                <c:pt idx="16">
                  <c:v>356213.89535814332</c:v>
                </c:pt>
                <c:pt idx="17">
                  <c:v>473626.48991408292</c:v>
                </c:pt>
                <c:pt idx="18">
                  <c:v>449673.18100782239</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379257.13169206737</c:v>
                </c:pt>
                <c:pt idx="1">
                  <c:v>256393.8736131211</c:v>
                </c:pt>
                <c:pt idx="2">
                  <c:v>291007.93187650066</c:v>
                </c:pt>
                <c:pt idx="3">
                  <c:v>318092.17977200239</c:v>
                </c:pt>
                <c:pt idx="4">
                  <c:v>333567.43411674321</c:v>
                </c:pt>
                <c:pt idx="5">
                  <c:v>386044.43619669264</c:v>
                </c:pt>
                <c:pt idx="6">
                  <c:v>390689.73181954073</c:v>
                </c:pt>
                <c:pt idx="7">
                  <c:v>369604.07822951552</c:v>
                </c:pt>
                <c:pt idx="8">
                  <c:v>366954.64369811921</c:v>
                </c:pt>
                <c:pt idx="9">
                  <c:v>342768.54391527612</c:v>
                </c:pt>
                <c:pt idx="10">
                  <c:v>373750.31680954457</c:v>
                </c:pt>
                <c:pt idx="11">
                  <c:v>337028.82412484672</c:v>
                </c:pt>
                <c:pt idx="12">
                  <c:v>407612.6902739646</c:v>
                </c:pt>
                <c:pt idx="13">
                  <c:v>385107.64887437789</c:v>
                </c:pt>
                <c:pt idx="14">
                  <c:v>344510.06405176228</c:v>
                </c:pt>
                <c:pt idx="15">
                  <c:v>471874.52009618795</c:v>
                </c:pt>
                <c:pt idx="16">
                  <c:v>349607.97639055626</c:v>
                </c:pt>
                <c:pt idx="17">
                  <c:v>373703.94919686223</c:v>
                </c:pt>
                <c:pt idx="18">
                  <c:v>356928.57431326178</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29.628771431401784</c:v>
                </c:pt>
                <c:pt idx="1">
                  <c:v>11.152829825624936</c:v>
                </c:pt>
                <c:pt idx="2">
                  <c:v>23.392637258159745</c:v>
                </c:pt>
                <c:pt idx="3">
                  <c:v>29.66440115984922</c:v>
                </c:pt>
                <c:pt idx="4">
                  <c:v>22.168375235914947</c:v>
                </c:pt>
                <c:pt idx="5">
                  <c:v>32.576444196180773</c:v>
                </c:pt>
                <c:pt idx="6">
                  <c:v>31.253927730854652</c:v>
                </c:pt>
                <c:pt idx="7">
                  <c:v>28.63975966649539</c:v>
                </c:pt>
                <c:pt idx="8">
                  <c:v>26.189662305439825</c:v>
                </c:pt>
                <c:pt idx="9">
                  <c:v>20.104658880700114</c:v>
                </c:pt>
                <c:pt idx="10">
                  <c:v>22.183098602806407</c:v>
                </c:pt>
                <c:pt idx="11">
                  <c:v>18.144919028843805</c:v>
                </c:pt>
                <c:pt idx="12">
                  <c:v>18.917756039357162</c:v>
                </c:pt>
                <c:pt idx="13">
                  <c:v>17.519666585528071</c:v>
                </c:pt>
                <c:pt idx="14">
                  <c:v>19.010974611616092</c:v>
                </c:pt>
                <c:pt idx="15">
                  <c:v>25.005264765840394</c:v>
                </c:pt>
                <c:pt idx="16">
                  <c:v>16.814884046218481</c:v>
                </c:pt>
                <c:pt idx="17">
                  <c:v>18.755716369841078</c:v>
                </c:pt>
                <c:pt idx="18">
                  <c:v>20.154364666428869</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１６　化学工業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1199263.5717076999</v>
      </c>
      <c r="D5" s="82">
        <f>+PL!L6</f>
        <v>2634019.778099373</v>
      </c>
      <c r="E5" s="82">
        <f>+PL!M6</f>
        <v>1348723.4490983936</v>
      </c>
      <c r="F5" s="82">
        <f>+PL!N6</f>
        <v>1056744.785635201</v>
      </c>
      <c r="G5" s="82">
        <f>+PL!O6</f>
        <v>1435780.6975102983</v>
      </c>
      <c r="H5" s="82">
        <f>+PL!P6</f>
        <v>1139646.9441218986</v>
      </c>
      <c r="I5" s="82">
        <f>+PL!Q6</f>
        <v>1113270.3754271546</v>
      </c>
      <c r="J5" s="82">
        <f>+PL!R6</f>
        <v>1178692.5444474781</v>
      </c>
      <c r="K5" s="82">
        <f>+PL!S6</f>
        <v>1123776.1018134595</v>
      </c>
      <c r="L5" s="82">
        <f>+PL!T6</f>
        <v>2145264.2362076058</v>
      </c>
      <c r="M5" s="82">
        <f>+PL!U6</f>
        <v>1635288.0735911727</v>
      </c>
      <c r="N5" s="82">
        <f>+PL!V6</f>
        <v>1532630.3077977516</v>
      </c>
      <c r="O5" s="82">
        <f>+PL!W6</f>
        <v>1688215.9641749286</v>
      </c>
      <c r="P5" s="82">
        <f>+PL!X6</f>
        <v>1799739.0706540067</v>
      </c>
      <c r="Q5" s="82">
        <f>+PL!Y6</f>
        <v>1500599.2514027345</v>
      </c>
      <c r="R5" s="82">
        <f>+PL!Z6</f>
        <v>1620330.270631151</v>
      </c>
      <c r="S5" s="82">
        <f>+PL!AA6</f>
        <v>1662799.7204881951</v>
      </c>
      <c r="T5" s="82">
        <f>+PL!AB6</f>
        <v>1460414.3403063128</v>
      </c>
      <c r="U5" s="82">
        <f>+PL!AC6</f>
        <v>1506041.9205020922</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636894.23602969933</v>
      </c>
      <c r="D6" s="85">
        <f>PL!L9+PL!L10+PL!L12</f>
        <v>1444564.3994211287</v>
      </c>
      <c r="E6" s="85">
        <f>PL!M9+PL!M10+PL!M12</f>
        <v>893706.44516066369</v>
      </c>
      <c r="F6" s="85">
        <f>PL!N9+PL!N10+PL!N12</f>
        <v>593725.26879347104</v>
      </c>
      <c r="G6" s="85">
        <f>PL!O9+PL!O10+PL!O12</f>
        <v>817360.06005343143</v>
      </c>
      <c r="H6" s="85">
        <f>PL!P9+PL!P10+PL!P12</f>
        <v>548322.46191537508</v>
      </c>
      <c r="I6" s="85">
        <f>PL!Q9+PL!Q10+PL!Q12</f>
        <v>552822.54873239843</v>
      </c>
      <c r="J6" s="85">
        <f>PL!R9+PL!R10+PL!R12</f>
        <v>650918.32039278687</v>
      </c>
      <c r="K6" s="85">
        <f>PL!S9+PL!S10+PL!S12</f>
        <v>553296.1047837598</v>
      </c>
      <c r="L6" s="85">
        <f>PL!T9+PL!T10+PL!T12</f>
        <v>531264.31211296318</v>
      </c>
      <c r="M6" s="85">
        <f>PL!U9+PL!U10+PL!U12</f>
        <v>729934.74502567318</v>
      </c>
      <c r="N6" s="85">
        <f>PL!V9+PL!V10+PL!V12</f>
        <v>812835.47217403911</v>
      </c>
      <c r="O6" s="85">
        <f>PL!W9+PL!W10+PL!W12</f>
        <v>838390.10538829793</v>
      </c>
      <c r="P6" s="85">
        <f>PL!X9+PL!X10+PL!X12</f>
        <v>887974.1189748866</v>
      </c>
      <c r="Q6" s="85">
        <f>PL!Y9+PL!Y10+PL!Y12</f>
        <v>800818.74400220078</v>
      </c>
      <c r="R6" s="85">
        <f>PL!Z9+PL!Z10+PL!Z12</f>
        <v>786984.51584430167</v>
      </c>
      <c r="S6" s="85">
        <f>PL!AA9+PL!AA10+PL!AA12</f>
        <v>838788.06082432973</v>
      </c>
      <c r="T6" s="85">
        <f>PL!AB9+PL!AB10+PL!AB12</f>
        <v>715860.37822189019</v>
      </c>
      <c r="U6" s="85">
        <f>PL!AC9+PL!AC10+PL!AC12</f>
        <v>809856.15990540292</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237642.772567409</v>
      </c>
      <c r="D7" s="85">
        <f>+PL!L11+PL!L17</f>
        <v>311144.71780028939</v>
      </c>
      <c r="E7" s="85">
        <f>+PL!M11+PL!M17</f>
        <v>210316.33921638649</v>
      </c>
      <c r="F7" s="85">
        <f>+PL!N11+PL!N17</f>
        <v>183030.44467731169</v>
      </c>
      <c r="G7" s="85">
        <f>+PL!O11+PL!O17</f>
        <v>212143.2607700532</v>
      </c>
      <c r="H7" s="85">
        <f>+PL!P11+PL!P17</f>
        <v>192833.27693891514</v>
      </c>
      <c r="I7" s="85">
        <f>+PL!Q11+PL!Q17</f>
        <v>243305.47841745819</v>
      </c>
      <c r="J7" s="85">
        <f>+PL!R11+PL!R17</f>
        <v>213549.70628525756</v>
      </c>
      <c r="K7" s="85">
        <f>+PL!S11+PL!S17</f>
        <v>192516.71942911844</v>
      </c>
      <c r="L7" s="85">
        <f>+PL!T11+PL!T17</f>
        <v>252422.41276179414</v>
      </c>
      <c r="M7" s="85">
        <f>+PL!U11+PL!U17</f>
        <v>204875.65048588364</v>
      </c>
      <c r="N7" s="85">
        <f>+PL!V11+PL!V17</f>
        <v>242248.56063482765</v>
      </c>
      <c r="O7" s="85">
        <f>+PL!W11+PL!W17</f>
        <v>280984.60931192467</v>
      </c>
      <c r="P7" s="85">
        <f>+PL!X11+PL!X17</f>
        <v>276778.64025289833</v>
      </c>
      <c r="Q7" s="85">
        <f>+PL!Y11+PL!Y17</f>
        <v>295212.60834335705</v>
      </c>
      <c r="R7" s="85">
        <f>+PL!Z11+PL!Z17</f>
        <v>268411.52989256079</v>
      </c>
      <c r="S7" s="85">
        <f>+PL!AA11+PL!AA17</f>
        <v>276525.8807523009</v>
      </c>
      <c r="T7" s="85">
        <f>+PL!AB11+PL!AB17</f>
        <v>247374.16268210683</v>
      </c>
      <c r="U7" s="85">
        <f>+PL!AC11+PL!AC17</f>
        <v>247410.7764235037</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121878.83352872211</v>
      </c>
      <c r="D8" s="85">
        <f>+PL!L13+PL!L14</f>
        <v>353442.83646888565</v>
      </c>
      <c r="E8" s="85">
        <f>+PL!M13+PL!M14</f>
        <v>44302.038515849679</v>
      </c>
      <c r="F8" s="85">
        <f>+PL!N13+PL!N14</f>
        <v>145447.3061482232</v>
      </c>
      <c r="G8" s="85">
        <f>+PL!O13+PL!O14</f>
        <v>184870.11298095935</v>
      </c>
      <c r="H8" s="85">
        <f>+PL!P13+PL!P14</f>
        <v>231828.77674006141</v>
      </c>
      <c r="I8" s="85">
        <f>+PL!Q13+PL!Q14</f>
        <v>131945.11827350213</v>
      </c>
      <c r="J8" s="85">
        <f>+PL!R13+PL!R14</f>
        <v>120115.20244373906</v>
      </c>
      <c r="K8" s="85">
        <f>+PL!S13+PL!S14</f>
        <v>151762.5703444184</v>
      </c>
      <c r="L8" s="85">
        <f>+PL!T13+PL!T14</f>
        <v>1079234.4011208485</v>
      </c>
      <c r="M8" s="85">
        <f>+PL!U13+PL!U14</f>
        <v>422223.92601084063</v>
      </c>
      <c r="N8" s="85">
        <f>+PL!V13+PL!V14</f>
        <v>233301.56869777021</v>
      </c>
      <c r="O8" s="85">
        <f>+PL!W13+PL!W14</f>
        <v>263149.99758013425</v>
      </c>
      <c r="P8" s="85">
        <f>+PL!X13+PL!X14</f>
        <v>270379.56368805567</v>
      </c>
      <c r="Q8" s="85">
        <f>+PL!Y13+PL!Y14</f>
        <v>150641.35889072917</v>
      </c>
      <c r="R8" s="85">
        <f>+PL!Z13+PL!Z14</f>
        <v>316159.92328995891</v>
      </c>
      <c r="S8" s="85">
        <f>+PL!AA13+PL!AA14</f>
        <v>267652.28111244523</v>
      </c>
      <c r="T8" s="85">
        <f>+PL!AB13+PL!AB14</f>
        <v>234049.60534180043</v>
      </c>
      <c r="U8" s="85">
        <f>+PL!AC13+PL!AC14</f>
        <v>202761.16700018186</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140036.971473232</v>
      </c>
      <c r="D9" s="85">
        <f>+PL!L16-PL!L17</f>
        <v>207740.95513748197</v>
      </c>
      <c r="E9" s="85">
        <f>+PL!M16-PL!M17</f>
        <v>136321.14788249281</v>
      </c>
      <c r="F9" s="85">
        <f>+PL!N16-PL!N17</f>
        <v>116963.57175419587</v>
      </c>
      <c r="G9" s="85">
        <f>+PL!O16-PL!O17</f>
        <v>136545.25376309635</v>
      </c>
      <c r="H9" s="85">
        <f>+PL!P16-PL!P17</f>
        <v>132749.62822353875</v>
      </c>
      <c r="I9" s="85">
        <f>+PL!Q16-PL!Q17</f>
        <v>132441.18772418686</v>
      </c>
      <c r="J9" s="85">
        <f>+PL!R16-PL!R17</f>
        <v>119492.04270837674</v>
      </c>
      <c r="K9" s="85">
        <f>+PL!S16-PL!S17</f>
        <v>161208.74325205281</v>
      </c>
      <c r="L9" s="85">
        <f>+PL!T16-PL!T17</f>
        <v>142189.4580576836</v>
      </c>
      <c r="M9" s="85">
        <f>+PL!U16-PL!U17</f>
        <v>188020.93263141805</v>
      </c>
      <c r="N9" s="85">
        <f>+PL!V16-PL!V17</f>
        <v>166030.65932462388</v>
      </c>
      <c r="O9" s="85">
        <f>+PL!W16-PL!W17</f>
        <v>210623.17891896167</v>
      </c>
      <c r="P9" s="85">
        <f>+PL!X16-PL!X17</f>
        <v>214052.07095320127</v>
      </c>
      <c r="Q9" s="85">
        <f>+PL!Y16-PL!Y17</f>
        <v>146052.8150238964</v>
      </c>
      <c r="R9" s="85">
        <f>+PL!Z16-PL!Z17</f>
        <v>142815.17344316235</v>
      </c>
      <c r="S9" s="85">
        <f>+PL!AA16-PL!AA17</f>
        <v>172952.35514205683</v>
      </c>
      <c r="T9" s="85">
        <f>+PL!AB16-PL!AB17</f>
        <v>147242.11935001868</v>
      </c>
      <c r="U9" s="85">
        <f>+PL!AC16-PL!AC17</f>
        <v>148530.53702019283</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62810.758108639857</v>
      </c>
      <c r="D10" s="85">
        <f>+PL!L42</f>
        <v>317126.86927158711</v>
      </c>
      <c r="E10" s="85">
        <f>+PL!M42</f>
        <v>64077.478323002346</v>
      </c>
      <c r="F10" s="85">
        <f>+PL!N42</f>
        <v>17578.194261997705</v>
      </c>
      <c r="G10" s="85">
        <f>+PL!O42</f>
        <v>84862.009942757897</v>
      </c>
      <c r="H10" s="85">
        <f>+PL!P42</f>
        <v>33912.800304008881</v>
      </c>
      <c r="I10" s="85">
        <f>+PL!Q42</f>
        <v>52756.042279608366</v>
      </c>
      <c r="J10" s="85">
        <f>+PL!R42</f>
        <v>74617.272617318114</v>
      </c>
      <c r="K10" s="85">
        <f>+PL!S42</f>
        <v>64991.964004110232</v>
      </c>
      <c r="L10" s="85">
        <f>+PL!T42</f>
        <v>140153.65215431669</v>
      </c>
      <c r="M10" s="85">
        <f>+PL!U42</f>
        <v>90232.819437355851</v>
      </c>
      <c r="N10" s="85">
        <f>+PL!V42</f>
        <v>78214.046966491354</v>
      </c>
      <c r="O10" s="85">
        <f>+PL!W42</f>
        <v>95068.072975609321</v>
      </c>
      <c r="P10" s="85">
        <f>+PL!X42</f>
        <v>150554.6767849637</v>
      </c>
      <c r="Q10" s="85">
        <f>+PL!Y42</f>
        <v>107873.72514254945</v>
      </c>
      <c r="R10" s="85">
        <f>+PL!Z42</f>
        <v>105959.12816116503</v>
      </c>
      <c r="S10" s="85">
        <f>+PL!AA42</f>
        <v>106881.14265706282</v>
      </c>
      <c r="T10" s="85">
        <f>+PL!AB42</f>
        <v>115888.07452372058</v>
      </c>
      <c r="U10" s="85">
        <f>+PL!AC42</f>
        <v>97483.280152810621</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58883.059788980099</v>
      </c>
      <c r="D11" s="87">
        <f>+PL!L34</f>
        <v>314966.71490593342</v>
      </c>
      <c r="E11" s="87">
        <f>+PL!M34</f>
        <v>68028.075798494639</v>
      </c>
      <c r="F11" s="87">
        <f>+PL!N34</f>
        <v>19453.835466321518</v>
      </c>
      <c r="G11" s="87">
        <f>+PL!O34</f>
        <v>87797.712712291919</v>
      </c>
      <c r="H11" s="87">
        <f>+PL!P34</f>
        <v>29917.541731271191</v>
      </c>
      <c r="I11" s="87">
        <f>+PL!Q34</f>
        <v>55424.127092153809</v>
      </c>
      <c r="J11" s="87">
        <f>+PL!R34</f>
        <v>75947.549212629761</v>
      </c>
      <c r="K11" s="87">
        <f>+PL!S34</f>
        <v>58798.701840306894</v>
      </c>
      <c r="L11" s="87">
        <f>+PL!T34</f>
        <v>140109.35791278037</v>
      </c>
      <c r="M11" s="87">
        <f>+PL!U34</f>
        <v>102145.02910872283</v>
      </c>
      <c r="N11" s="87">
        <f>+PL!V34</f>
        <v>94067.627221694536</v>
      </c>
      <c r="O11" s="87">
        <f>+PL!W34</f>
        <v>103689.56079046405</v>
      </c>
      <c r="P11" s="87">
        <f>+PL!X34</f>
        <v>162205.33261365557</v>
      </c>
      <c r="Q11" s="87">
        <f>+PL!Y34</f>
        <v>118607.21027551361</v>
      </c>
      <c r="R11" s="87">
        <f>+PL!Z34</f>
        <v>118199.33137788069</v>
      </c>
      <c r="S11" s="87">
        <f>+PL!AA34</f>
        <v>118898.34433773509</v>
      </c>
      <c r="T11" s="87">
        <f>+PL!AB34</f>
        <v>131514.98001494209</v>
      </c>
      <c r="U11" s="87">
        <f>+PL!AC34</f>
        <v>116369.58450063672</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38326.320828448603</v>
      </c>
      <c r="D12" s="90">
        <f>+PL!L38</f>
        <v>188081.52436082973</v>
      </c>
      <c r="E12" s="90">
        <f>+PL!M38</f>
        <v>37626.65341626251</v>
      </c>
      <c r="F12" s="90">
        <f>+PL!N38</f>
        <v>-66559.98295911937</v>
      </c>
      <c r="G12" s="90">
        <f>+PL!O38</f>
        <v>48925.206147699799</v>
      </c>
      <c r="H12" s="90">
        <f>+PL!P38</f>
        <v>9784.896796626912</v>
      </c>
      <c r="I12" s="90">
        <f>+PL!Q38</f>
        <v>29490.480118135019</v>
      </c>
      <c r="J12" s="90">
        <f>+PL!R38</f>
        <v>40646.889696761682</v>
      </c>
      <c r="K12" s="90">
        <f>+PL!S38</f>
        <v>35017.523582025831</v>
      </c>
      <c r="L12" s="90">
        <f>+PL!T38</f>
        <v>71632.75866834895</v>
      </c>
      <c r="M12" s="90">
        <f>+PL!U38</f>
        <v>56732.43026997034</v>
      </c>
      <c r="N12" s="90">
        <f>+PL!V38</f>
        <v>45780.98743647369</v>
      </c>
      <c r="O12" s="90">
        <f>+PL!W38</f>
        <v>63365.397796625366</v>
      </c>
      <c r="P12" s="90">
        <f>+PL!X38</f>
        <v>90907.121801878064</v>
      </c>
      <c r="Q12" s="90">
        <f>+PL!Y38</f>
        <v>76839.41727238649</v>
      </c>
      <c r="R12" s="90">
        <f>+PL!Z38</f>
        <v>82418.284699908851</v>
      </c>
      <c r="S12" s="90">
        <f>+PL!AA38</f>
        <v>73017.917567026816</v>
      </c>
      <c r="T12" s="90">
        <f>+PL!AB38</f>
        <v>85285.503548748602</v>
      </c>
      <c r="U12" s="90">
        <f>+PL!AC38</f>
        <v>91139.5346552665</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44.330988667448203</v>
      </c>
      <c r="D13" s="102">
        <f>+PL!L5</f>
        <v>54.422334780511335</v>
      </c>
      <c r="E13" s="102">
        <f>+PL!M5</f>
        <v>43.407483229999812</v>
      </c>
      <c r="F13" s="102">
        <f>+PL!N5</f>
        <v>39.506979629464183</v>
      </c>
      <c r="G13" s="102">
        <f>+PL!O5</f>
        <v>49.648616716943572</v>
      </c>
      <c r="H13" s="102">
        <f>+PL!P5</f>
        <v>40.416491332096975</v>
      </c>
      <c r="I13" s="102">
        <f>+PL!Q5</f>
        <v>44.346558655475739</v>
      </c>
      <c r="J13" s="102">
        <f>+PL!R5</f>
        <v>38.738654818750213</v>
      </c>
      <c r="K13" s="102">
        <f>+PL!S5</f>
        <v>41.406447223094183</v>
      </c>
      <c r="L13" s="102">
        <f>+PL!T5</f>
        <v>57.010429946302693</v>
      </c>
      <c r="M13" s="102">
        <f>+PL!U5</f>
        <v>49.672331974328955</v>
      </c>
      <c r="N13" s="102">
        <f>+PL!V5</f>
        <v>50.785976675603671</v>
      </c>
      <c r="O13" s="102">
        <f>+PL!W5</f>
        <v>56.625834204602057</v>
      </c>
      <c r="P13" s="102">
        <f>+PL!X5</f>
        <v>60.417782884031745</v>
      </c>
      <c r="Q13" s="102">
        <f>+PL!Y5</f>
        <v>53.984947156673428</v>
      </c>
      <c r="R13" s="102">
        <f>+PL!Z5</f>
        <v>48.910387242720894</v>
      </c>
      <c r="S13" s="102">
        <f>+PL!AA5</f>
        <v>51.941376550620248</v>
      </c>
      <c r="T13" s="102">
        <f>+PL!AB5</f>
        <v>49.512327231976094</v>
      </c>
      <c r="U13" s="102">
        <f>+PL!AC5</f>
        <v>47.812806985628526</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723024.814380617</v>
      </c>
      <c r="D15" s="82">
        <f>+BS!L9</f>
        <v>1451698.7457790643</v>
      </c>
      <c r="E15" s="82">
        <f>+BS!M9</f>
        <v>730416.15619800403</v>
      </c>
      <c r="F15" s="82">
        <f>+BS!N9</f>
        <v>580910.38739962934</v>
      </c>
      <c r="G15" s="82">
        <f>+BS!O9</f>
        <v>884972.01158426353</v>
      </c>
      <c r="H15" s="82">
        <f>+BS!P9</f>
        <v>734966.63359350374</v>
      </c>
      <c r="I15" s="82">
        <f>+BS!Q9</f>
        <v>714047.6083432727</v>
      </c>
      <c r="J15" s="82">
        <f>+BS!R9</f>
        <v>792999.32452253893</v>
      </c>
      <c r="K15" s="82">
        <f>+BS!S9</f>
        <v>886407.5082656322</v>
      </c>
      <c r="L15" s="82">
        <f>+BS!T9</f>
        <v>1103741.0603727486</v>
      </c>
      <c r="M15" s="82">
        <f>+BS!U9</f>
        <v>1007245.3291933706</v>
      </c>
      <c r="N15" s="82">
        <f>+BS!V9</f>
        <v>1090288.4997005861</v>
      </c>
      <c r="O15" s="82">
        <f>+BS!W9</f>
        <v>1413116.5461301659</v>
      </c>
      <c r="P15" s="82">
        <f>+BS!X9</f>
        <v>1401520.4539959265</v>
      </c>
      <c r="Q15" s="82">
        <f>+BS!Y9</f>
        <v>1047878.1784269899</v>
      </c>
      <c r="R15" s="82">
        <f>+BS!Z9</f>
        <v>1049164.9821349161</v>
      </c>
      <c r="S15" s="82">
        <f>+BS!AA9</f>
        <v>1189437.9013605441</v>
      </c>
      <c r="T15" s="82">
        <f>+BS!AB9</f>
        <v>1125375.7250653717</v>
      </c>
      <c r="U15" s="82">
        <f>+BS!AC9</f>
        <v>1052124.488266327</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552425.1660805</v>
      </c>
      <c r="D16" s="87">
        <f>+BS!L15</f>
        <v>846803.66618427401</v>
      </c>
      <c r="E16" s="87">
        <f>+BS!M15</f>
        <v>508845.06590201269</v>
      </c>
      <c r="F16" s="87">
        <f>+BS!N15</f>
        <v>489488.71104435821</v>
      </c>
      <c r="G16" s="87">
        <f>+BS!O15</f>
        <v>604848.92805496161</v>
      </c>
      <c r="H16" s="87">
        <f>+BS!P15</f>
        <v>449149.10800948722</v>
      </c>
      <c r="I16" s="87">
        <f>+BS!Q15</f>
        <v>531896.49559552141</v>
      </c>
      <c r="J16" s="87">
        <f>+BS!R15</f>
        <v>496629.69632398983</v>
      </c>
      <c r="K16" s="87">
        <f>+BS!S15</f>
        <v>513463.3386591422</v>
      </c>
      <c r="L16" s="87">
        <f>+BS!T15</f>
        <v>599841.27137208637</v>
      </c>
      <c r="M16" s="87">
        <f>+BS!U15</f>
        <v>672972.41587468062</v>
      </c>
      <c r="N16" s="87">
        <f>+BS!V15</f>
        <v>762505.46305860591</v>
      </c>
      <c r="O16" s="87">
        <f>+BS!W15</f>
        <v>740322.5087091059</v>
      </c>
      <c r="P16" s="87">
        <f>+BS!X15</f>
        <v>793907.65587115404</v>
      </c>
      <c r="Q16" s="87">
        <f>+BS!Y15</f>
        <v>762507.84757310944</v>
      </c>
      <c r="R16" s="87">
        <f>+BS!Z15</f>
        <v>832265.55400724709</v>
      </c>
      <c r="S16" s="87">
        <f>+BS!AA15</f>
        <v>886993.23529411783</v>
      </c>
      <c r="T16" s="87">
        <f>+BS!AB15</f>
        <v>864572.91240194242</v>
      </c>
      <c r="U16" s="87">
        <f>+BS!AC15</f>
        <v>716107.40513007087</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726479.87495115306</v>
      </c>
      <c r="D17" s="87">
        <f>+BS!L30</f>
        <v>905897.73275446217</v>
      </c>
      <c r="E17" s="87">
        <f>+BS!M30</f>
        <v>666633.56479752599</v>
      </c>
      <c r="F17" s="87">
        <f>+BS!N30</f>
        <v>599670.58954681433</v>
      </c>
      <c r="G17" s="87">
        <f>+BS!O30</f>
        <v>705366.31272931187</v>
      </c>
      <c r="H17" s="87">
        <f>+BS!P30</f>
        <v>675707.14444716182</v>
      </c>
      <c r="I17" s="87">
        <f>+BS!Q30</f>
        <v>675921.01963618735</v>
      </c>
      <c r="J17" s="87">
        <f>+BS!R30</f>
        <v>744532.96325636515</v>
      </c>
      <c r="K17" s="87">
        <f>+BS!S30</f>
        <v>736115.7401487265</v>
      </c>
      <c r="L17" s="87">
        <f>+BS!T30</f>
        <v>914802.78330295486</v>
      </c>
      <c r="M17" s="87">
        <f>+BS!U30</f>
        <v>805040.53010362666</v>
      </c>
      <c r="N17" s="87">
        <f>+BS!V30</f>
        <v>771192.05050101352</v>
      </c>
      <c r="O17" s="87">
        <f>+BS!W30</f>
        <v>870540.1581922567</v>
      </c>
      <c r="P17" s="87">
        <f>+BS!X30</f>
        <v>876184.49224351766</v>
      </c>
      <c r="Q17" s="87">
        <f>+BS!Y30</f>
        <v>790733.40974898566</v>
      </c>
      <c r="R17" s="87">
        <f>+BS!Z30</f>
        <v>898655.04620807245</v>
      </c>
      <c r="S17" s="87">
        <f>+BS!AA30</f>
        <v>835701.58103241294</v>
      </c>
      <c r="T17" s="87">
        <f>+BS!AB30</f>
        <v>749811.34142697044</v>
      </c>
      <c r="U17" s="87">
        <f>+BS!AC30</f>
        <v>761089.50554848101</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379257.13169206737</v>
      </c>
      <c r="D18" s="94">
        <f>+BS!L33+BS!L34+BS!L38+BS!L39+BS!L40</f>
        <v>256393.8736131211</v>
      </c>
      <c r="E18" s="94">
        <f>+BS!M33+BS!M34+BS!M38+BS!M39+BS!M40</f>
        <v>291007.93187650066</v>
      </c>
      <c r="F18" s="94">
        <f>+BS!N33+BS!N34+BS!N38+BS!N39+BS!N40</f>
        <v>318092.17977200239</v>
      </c>
      <c r="G18" s="94">
        <f>+BS!O33+BS!O34+BS!O38+BS!O39+BS!O40</f>
        <v>333567.43411674321</v>
      </c>
      <c r="H18" s="94">
        <f>+BS!P33+BS!P34+BS!P38+BS!P39+BS!P40</f>
        <v>386044.43619669264</v>
      </c>
      <c r="I18" s="94">
        <f>+BS!Q33+BS!Q34+BS!Q38+BS!Q39+BS!Q40</f>
        <v>390689.73181954073</v>
      </c>
      <c r="J18" s="94">
        <f>+BS!R33+BS!R34+BS!R38+BS!R39+BS!R40</f>
        <v>369604.07822951552</v>
      </c>
      <c r="K18" s="94">
        <f>+BS!S33+BS!S34+BS!S38+BS!S39+BS!S40</f>
        <v>366954.64369811921</v>
      </c>
      <c r="L18" s="94">
        <f>+BS!T33+BS!T34+BS!T38+BS!T39+BS!T40</f>
        <v>342768.54391527612</v>
      </c>
      <c r="M18" s="94">
        <f>+BS!U33+BS!U34+BS!U38+BS!U39+BS!U40</f>
        <v>373750.31680954457</v>
      </c>
      <c r="N18" s="94">
        <f>+BS!V33+BS!V34+BS!V38+BS!V39+BS!V40</f>
        <v>337028.82412484672</v>
      </c>
      <c r="O18" s="94">
        <f>+BS!W33+BS!W34+BS!W38+BS!W39+BS!W40</f>
        <v>407612.6902739646</v>
      </c>
      <c r="P18" s="94">
        <f>+BS!X33+BS!X34+BS!X38+BS!X39+BS!X40</f>
        <v>385107.64887437789</v>
      </c>
      <c r="Q18" s="94">
        <f>+BS!Y33+BS!Y34+BS!Y38+BS!Y39+BS!Y40</f>
        <v>344510.06405176228</v>
      </c>
      <c r="R18" s="94">
        <f>+BS!Z33+BS!Z34+BS!Z38+BS!Z39+BS!Z40</f>
        <v>471874.52009618795</v>
      </c>
      <c r="S18" s="94">
        <f>+BS!AA33+BS!AA34+BS!AA38+BS!AA39+BS!AA40</f>
        <v>349607.97639055626</v>
      </c>
      <c r="T18" s="94">
        <f>+BS!AB33+BS!AB34+BS!AB38+BS!AB39+BS!AB40</f>
        <v>373703.94919686223</v>
      </c>
      <c r="U18" s="94">
        <f>+BS!AC33+BS!AC34+BS!AC38+BS!AC39+BS!AC40</f>
        <v>356928.57431326178</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553550.01953888196</v>
      </c>
      <c r="D19" s="90">
        <f>+BS!L43</f>
        <v>1393015.436565364</v>
      </c>
      <c r="E19" s="90">
        <f>+BS!M43</f>
        <v>577381.50141734572</v>
      </c>
      <c r="F19" s="90">
        <f>+BS!N43</f>
        <v>472632.12796949386</v>
      </c>
      <c r="G19" s="90">
        <f>+BS!O43</f>
        <v>799333.19982824905</v>
      </c>
      <c r="H19" s="90">
        <f>+BS!P43</f>
        <v>509334.51900716953</v>
      </c>
      <c r="I19" s="90">
        <f>+BS!Q43</f>
        <v>574129.00666448171</v>
      </c>
      <c r="J19" s="90">
        <f>+BS!R43</f>
        <v>545994.89917504345</v>
      </c>
      <c r="K19" s="90">
        <f>+BS!S43</f>
        <v>665027.34989371127</v>
      </c>
      <c r="L19" s="90">
        <f>+BS!T43</f>
        <v>790118.18028685404</v>
      </c>
      <c r="M19" s="90">
        <f>+BS!U43</f>
        <v>879802.16703996062</v>
      </c>
      <c r="N19" s="90">
        <f>+BS!V43</f>
        <v>1086236.0459765396</v>
      </c>
      <c r="O19" s="90">
        <f>+BS!W43</f>
        <v>1284116.5010116843</v>
      </c>
      <c r="P19" s="90">
        <f>+BS!X43</f>
        <v>1321960.3582554755</v>
      </c>
      <c r="Q19" s="90">
        <f>+BS!Y43</f>
        <v>1021430.7274923503</v>
      </c>
      <c r="R19" s="90">
        <f>+BS!Z43</f>
        <v>988445.62844990555</v>
      </c>
      <c r="S19" s="90">
        <f>+BS!AA43</f>
        <v>1243456.2378951579</v>
      </c>
      <c r="T19" s="90">
        <f>+BS!AB43</f>
        <v>1242668.9340679867</v>
      </c>
      <c r="U19" s="90">
        <f>+BS!AC43</f>
        <v>1009884.574859014</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1280029.8944900399</v>
      </c>
      <c r="D20" s="92">
        <f>+BS!L29</f>
        <v>2298913.1693198266</v>
      </c>
      <c r="E20" s="92">
        <f>+BS!M29</f>
        <v>1244015.0662148716</v>
      </c>
      <c r="F20" s="92">
        <f>+BS!N29</f>
        <v>1072302.7175163082</v>
      </c>
      <c r="G20" s="92">
        <f>+BS!O29</f>
        <v>1504699.5125575608</v>
      </c>
      <c r="H20" s="92">
        <f>+BS!P29</f>
        <v>1185041.6634543312</v>
      </c>
      <c r="I20" s="92">
        <f>+BS!Q29</f>
        <v>1250050.0263006692</v>
      </c>
      <c r="J20" s="92">
        <f>+BS!R29</f>
        <v>1290527.8624314081</v>
      </c>
      <c r="K20" s="92">
        <f>+BS!S29</f>
        <v>1401143.0900424381</v>
      </c>
      <c r="L20" s="92">
        <f>+BS!T29</f>
        <v>1704920.9635898073</v>
      </c>
      <c r="M20" s="92">
        <f>+BS!U29</f>
        <v>1684842.6971435859</v>
      </c>
      <c r="N20" s="92">
        <f>+BS!V29</f>
        <v>1857428.0964775525</v>
      </c>
      <c r="O20" s="92">
        <f>+BS!W29</f>
        <v>2154656.6592039401</v>
      </c>
      <c r="P20" s="92">
        <f>+BS!X29</f>
        <v>2198144.850498992</v>
      </c>
      <c r="Q20" s="92">
        <f>+BS!Y29</f>
        <v>1812164.1372413367</v>
      </c>
      <c r="R20" s="92">
        <f>+BS!Z29</f>
        <v>1887100.6746579786</v>
      </c>
      <c r="S20" s="92">
        <f>+BS!AA29</f>
        <v>2079157.8189275709</v>
      </c>
      <c r="T20" s="92">
        <f>+BS!AB29</f>
        <v>1992480.2754949569</v>
      </c>
      <c r="U20" s="92">
        <f>+BS!AC29</f>
        <v>1770974.0804074949</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314966.71490593342</v>
      </c>
      <c r="E22" s="96">
        <f t="shared" ref="E22:K22" si="0">+E11</f>
        <v>68028.075798494639</v>
      </c>
      <c r="F22" s="96">
        <f t="shared" si="0"/>
        <v>19453.835466321518</v>
      </c>
      <c r="G22" s="96">
        <f t="shared" si="0"/>
        <v>87797.712712291919</v>
      </c>
      <c r="H22" s="96">
        <f t="shared" si="0"/>
        <v>29917.541731271191</v>
      </c>
      <c r="I22" s="96">
        <f t="shared" si="0"/>
        <v>55424.127092153809</v>
      </c>
      <c r="J22" s="96">
        <f t="shared" si="0"/>
        <v>75947.549212629761</v>
      </c>
      <c r="K22" s="96">
        <f t="shared" si="0"/>
        <v>58798.701840306894</v>
      </c>
      <c r="L22" s="96">
        <f>+L11</f>
        <v>140109.35791278037</v>
      </c>
      <c r="M22" s="96">
        <f>+M11</f>
        <v>102145.02910872283</v>
      </c>
      <c r="N22" s="96">
        <f>+N11</f>
        <v>94067.627221694536</v>
      </c>
      <c r="O22" s="96">
        <f>+O11</f>
        <v>103689.56079046405</v>
      </c>
      <c r="P22" s="96">
        <f t="shared" ref="P22:Q22" si="1">+P11</f>
        <v>162205.33261365557</v>
      </c>
      <c r="Q22" s="96">
        <f t="shared" si="1"/>
        <v>118607.21027551361</v>
      </c>
      <c r="R22" s="96">
        <f t="shared" ref="R22:U22" si="2">+R11</f>
        <v>118199.33137788069</v>
      </c>
      <c r="S22" s="96">
        <f t="shared" ref="S22:T22" si="3">+S11</f>
        <v>118898.34433773509</v>
      </c>
      <c r="T22" s="96">
        <f t="shared" si="3"/>
        <v>131514.98001494209</v>
      </c>
      <c r="U22" s="96">
        <f t="shared" si="2"/>
        <v>116369.58450063672</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121339.12204534491</v>
      </c>
      <c r="E23" s="97">
        <f>+PL!M37-PL!M38</f>
        <v>27164.925806886204</v>
      </c>
      <c r="F23" s="97">
        <f>+PL!N37-PL!N38</f>
        <v>-10709.535867751125</v>
      </c>
      <c r="G23" s="97">
        <f>+PL!O37-PL!O38</f>
        <v>32896.806162630754</v>
      </c>
      <c r="H23" s="97">
        <f>+PL!P37-PL!P38</f>
        <v>15130.803906166839</v>
      </c>
      <c r="I23" s="97">
        <f>+PL!Q37-PL!Q38</f>
        <v>18942.286001786095</v>
      </c>
      <c r="J23" s="97">
        <f>+PL!R37-PL!R38</f>
        <v>26874.692509425928</v>
      </c>
      <c r="K23" s="97">
        <f>+PL!S37-PL!S38</f>
        <v>21960.389067201599</v>
      </c>
      <c r="L23" s="97">
        <f>+PL!T37-PL!T38</f>
        <v>61445.019955756579</v>
      </c>
      <c r="M23" s="97">
        <f>+PL!U37-PL!U38</f>
        <v>37372.495607810604</v>
      </c>
      <c r="N23" s="97">
        <f>+PL!V37-PL!V38</f>
        <v>32484.50374832972</v>
      </c>
      <c r="O23" s="97">
        <f>+PL!W37-PL!W38</f>
        <v>31447.93418580469</v>
      </c>
      <c r="P23" s="97">
        <f>+PL!X37-PL!X38</f>
        <v>47816.110835557338</v>
      </c>
      <c r="Q23" s="97">
        <f>+PL!Y37-PL!Y38</f>
        <v>34529.422771423298</v>
      </c>
      <c r="R23" s="97">
        <f>+PL!Z37-PL!Z38</f>
        <v>33192.448363766496</v>
      </c>
      <c r="S23" s="97">
        <f>+PL!AA37-PL!AA38</f>
        <v>35210.691076430579</v>
      </c>
      <c r="T23" s="97">
        <f>+PL!AB37-PL!AB38</f>
        <v>41121.11636159879</v>
      </c>
      <c r="U23" s="97">
        <f>+PL!AC37-PL!AC38</f>
        <v>38709.801164271441</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69681.862035697064</v>
      </c>
      <c r="E24" s="97">
        <f>+PL!M13+PL!M24</f>
        <v>23169.512874227559</v>
      </c>
      <c r="F24" s="97">
        <f>+PL!N13+PL!N24</f>
        <v>26307.370454108095</v>
      </c>
      <c r="G24" s="97">
        <f>+PL!O13+PL!O24</f>
        <v>40099.503311262924</v>
      </c>
      <c r="H24" s="97">
        <f>+PL!P13+PL!P24</f>
        <v>35882.655956081777</v>
      </c>
      <c r="I24" s="97">
        <f>+PL!Q13+PL!Q24</f>
        <v>38533.813391488431</v>
      </c>
      <c r="J24" s="97">
        <f>+PL!R13+PL!R24</f>
        <v>54535.973347402673</v>
      </c>
      <c r="K24" s="97">
        <f>+PL!S13+PL!S24</f>
        <v>45317.356993744055</v>
      </c>
      <c r="L24" s="97">
        <f>+PL!T13+PL!T24</f>
        <v>36989.444346277691</v>
      </c>
      <c r="M24" s="97">
        <f>+PL!U13+PL!U24</f>
        <v>63029.26262240448</v>
      </c>
      <c r="N24" s="97">
        <f>+PL!V13+PL!V24</f>
        <v>42215.333219294189</v>
      </c>
      <c r="O24" s="97">
        <f>+PL!W13+PL!W24</f>
        <v>60536.77592429112</v>
      </c>
      <c r="P24" s="97">
        <f>+PL!X13+PL!X24</f>
        <v>63305.963571044624</v>
      </c>
      <c r="Q24" s="97">
        <f>+PL!Y13+PL!Y24</f>
        <v>50200.894491112027</v>
      </c>
      <c r="R24" s="97">
        <f>+PL!Z13+PL!Z24</f>
        <v>58155.989277551533</v>
      </c>
      <c r="S24" s="97">
        <f>+PL!AA13+PL!AA24</f>
        <v>67038.451580632245</v>
      </c>
      <c r="T24" s="97">
        <f>+PL!AB13+PL!AB24</f>
        <v>61073.238700037356</v>
      </c>
      <c r="U24" s="97">
        <f>+PL!AC13+PL!AC24</f>
        <v>49972.164089503363</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-256376.27023942629</v>
      </c>
      <c r="E25" s="97">
        <f>-(BS!M11-BS!L11)</f>
        <v>157663.58452652412</v>
      </c>
      <c r="F25" s="97">
        <f>-(BS!N11-BS!M11)</f>
        <v>171686.19975818606</v>
      </c>
      <c r="G25" s="97">
        <f>-(BS!O11-BS!N11)</f>
        <v>-110327.09520615818</v>
      </c>
      <c r="H25" s="97">
        <f>-(BS!P11-BS!O11)</f>
        <v>37922.164933939988</v>
      </c>
      <c r="I25" s="97">
        <f>-(BS!Q11-BS!P11)</f>
        <v>34399.24493512488</v>
      </c>
      <c r="J25" s="97">
        <f>-(BS!R11-BS!Q11)</f>
        <v>34467.555385242566</v>
      </c>
      <c r="K25" s="97">
        <f>-(BS!S11-BS!R11)</f>
        <v>-11567.8941133591</v>
      </c>
      <c r="L25" s="97">
        <f>-(BS!T11-BS!S11)</f>
        <v>-229827.95459781867</v>
      </c>
      <c r="M25" s="97">
        <f>-(BS!U11-BS!T11)</f>
        <v>139864.48407934461</v>
      </c>
      <c r="N25" s="97">
        <f>-(BS!V11-BS!U11)</f>
        <v>-33170.68493599334</v>
      </c>
      <c r="O25" s="97">
        <f>-(BS!W11-BS!V11)</f>
        <v>35726.342204813263</v>
      </c>
      <c r="P25" s="97">
        <f>-(BS!X11-BS!W11)</f>
        <v>-57222.644909986935</v>
      </c>
      <c r="Q25" s="97">
        <f>-(BS!Y11-BS!X11)</f>
        <v>97633.404529811291</v>
      </c>
      <c r="R25" s="97">
        <f>-(BS!Z11-BS!Y11)</f>
        <v>1212.3269190064166</v>
      </c>
      <c r="S25" s="97">
        <f>-(BS!AA11-BS!Z11)</f>
        <v>-75672.60533972492</v>
      </c>
      <c r="T25" s="97">
        <f>-(BS!AB11-BS!AA11)</f>
        <v>80916.090230264643</v>
      </c>
      <c r="U25" s="97">
        <f>-(BS!AC11-BS!AB11)</f>
        <v>-16369.683938004309</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-102212.16031045033</v>
      </c>
      <c r="E26" s="97">
        <f>-(BS!M13-BS!L13)</f>
        <v>161635.45004809205</v>
      </c>
      <c r="F26" s="97">
        <f>-(BS!N13-BS!M13)</f>
        <v>-45908.633067552961</v>
      </c>
      <c r="G26" s="97">
        <f>-(BS!O13-BS!N13)</f>
        <v>-69448.563965556357</v>
      </c>
      <c r="H26" s="97">
        <f>-(BS!P13-BS!O13)</f>
        <v>58820.965870379645</v>
      </c>
      <c r="I26" s="97">
        <f>-(BS!Q13-BS!P13)</f>
        <v>-10090.353729822382</v>
      </c>
      <c r="J26" s="97">
        <f>-(BS!R13-BS!Q13)</f>
        <v>-23773.419130028022</v>
      </c>
      <c r="K26" s="97">
        <f>-(BS!S13-BS!R13)</f>
        <v>-10425.515466685989</v>
      </c>
      <c r="L26" s="97">
        <f>-(BS!T13-BS!S13)</f>
        <v>-160433.38653694373</v>
      </c>
      <c r="M26" s="97">
        <f>-(BS!U13-BS!T13)</f>
        <v>83983.804863854893</v>
      </c>
      <c r="N26" s="97">
        <f>-(BS!V13-BS!U13)</f>
        <v>24093.279055051447</v>
      </c>
      <c r="O26" s="97">
        <f>-(BS!W13-BS!V13)</f>
        <v>103813.3086232988</v>
      </c>
      <c r="P26" s="97">
        <f>-(BS!X13-BS!W13)</f>
        <v>-87931.301289283991</v>
      </c>
      <c r="Q26" s="97">
        <f>-(BS!Y13-BS!X13)</f>
        <v>63861.569135498547</v>
      </c>
      <c r="R26" s="97">
        <f>-(BS!Z13-BS!Y13)</f>
        <v>-72054.063207703468</v>
      </c>
      <c r="S26" s="97">
        <f>-(BS!AA13-BS!Z13)</f>
        <v>-59387.046482510748</v>
      </c>
      <c r="T26" s="97">
        <f>-(BS!AB13-BS!AA13)</f>
        <v>33007.128648620448</v>
      </c>
      <c r="U26" s="97">
        <f>-(BS!AC13-BS!AB13)</f>
        <v>76847.790151098801</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-293509.00654821185</v>
      </c>
      <c r="E27" s="97">
        <f>-((BS!M12+BS!M14)-(BS!L12+BS!L14))</f>
        <v>293873.00824312534</v>
      </c>
      <c r="F27" s="97">
        <f>-((BS!N12+BS!N14)-(BS!M12+BS!M14))</f>
        <v>-5967.4565599344496</v>
      </c>
      <c r="G27" s="97">
        <f>-((BS!O12+BS!O14)-(BS!N12+BS!N14))</f>
        <v>-5588.9718253923711</v>
      </c>
      <c r="H27" s="97">
        <f>-((BS!P12+BS!P14)-(BS!O12+BS!O14))</f>
        <v>-8779.5156048880308</v>
      </c>
      <c r="I27" s="97">
        <f>-((BS!Q12+BS!Q14)-(BS!P12+BS!P14))</f>
        <v>6357.3162229652953</v>
      </c>
      <c r="J27" s="97">
        <f>-((BS!R12+BS!R14)-(BS!Q12+BS!Q14))</f>
        <v>-26252.869921235004</v>
      </c>
      <c r="K27" s="97">
        <f>-((BS!S12+BS!S14)-(BS!R12+BS!R14))</f>
        <v>-51089.890655975658</v>
      </c>
      <c r="L27" s="97">
        <f>-((BS!T12+BS!T14)-(BS!S12+BS!S14))</f>
        <v>-21196.208034154028</v>
      </c>
      <c r="M27" s="97">
        <f>-((BS!U12+BS!U14)-(BS!T12+BS!T14))</f>
        <v>-2105.7988706528267</v>
      </c>
      <c r="N27" s="97">
        <f>-((BS!V12+BS!V14)-(BS!U12+BS!U14))</f>
        <v>58455.968242928793</v>
      </c>
      <c r="O27" s="97">
        <f>-((BS!W12+BS!W14)-(BS!V12+BS!V14))</f>
        <v>-271362.69177435548</v>
      </c>
      <c r="P27" s="97">
        <f>-((BS!X12+BS!X14)-(BS!W12+BS!W14))</f>
        <v>298130.03002882854</v>
      </c>
      <c r="Q27" s="97">
        <f>-((BS!Y12+BS!Y14)-(BS!X12+BS!X14))</f>
        <v>-5508.9192693841178</v>
      </c>
      <c r="R27" s="97">
        <f>-((BS!Z12+BS!Z14)-(BS!Y12+BS!Y14))</f>
        <v>-18561.005123649986</v>
      </c>
      <c r="S27" s="97">
        <f>-((BS!AA12+BS!AA14)-(BS!Z12+BS!Z14))</f>
        <v>-63296.393261253834</v>
      </c>
      <c r="T27" s="97">
        <f>-((BS!AB12+BS!AB14)-(BS!AA12+BS!AA14))</f>
        <v>67551.551972226938</v>
      </c>
      <c r="U27" s="97">
        <f>-((BS!AC12+BS!AC14)-(BS!AB12+BS!AB14))</f>
        <v>-11180.178320310195</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122678.65437894361</v>
      </c>
      <c r="E28" s="97">
        <f>BS!M32-BS!L32</f>
        <v>-64535.301907501998</v>
      </c>
      <c r="F28" s="97">
        <f>BS!N32-BS!M32</f>
        <v>-103995.52965676863</v>
      </c>
      <c r="G28" s="97">
        <f>BS!O32-BS!N32</f>
        <v>79666.152263471595</v>
      </c>
      <c r="H28" s="97">
        <f>BS!P32-BS!O32</f>
        <v>-100933.52709324745</v>
      </c>
      <c r="I28" s="97">
        <f>BS!Q32-BS!P32</f>
        <v>-7532.3334590110753</v>
      </c>
      <c r="J28" s="97">
        <f>BS!R32-BS!Q32</f>
        <v>30300.086731970892</v>
      </c>
      <c r="K28" s="97">
        <f>BS!S32-BS!R32</f>
        <v>-8437.3812873993884</v>
      </c>
      <c r="L28" s="97">
        <f>BS!T32-BS!S32</f>
        <v>283655.83042234113</v>
      </c>
      <c r="M28" s="97">
        <f>BS!U32-BS!T32</f>
        <v>-236754.3150642555</v>
      </c>
      <c r="N28" s="97">
        <f>BS!V32-BS!U32</f>
        <v>13061.223296524666</v>
      </c>
      <c r="O28" s="97">
        <f>BS!W32-BS!V32</f>
        <v>-21052.447822914022</v>
      </c>
      <c r="P28" s="97">
        <f>BS!X32-BS!W32</f>
        <v>28479.601413317927</v>
      </c>
      <c r="Q28" s="97">
        <f>BS!Y32-BS!X32</f>
        <v>-42554.027416885743</v>
      </c>
      <c r="R28" s="97">
        <f>BS!Z32-BS!Y32</f>
        <v>62842.912462547014</v>
      </c>
      <c r="S28" s="97">
        <f>BS!AA32-BS!Z32</f>
        <v>-28735.684358809085</v>
      </c>
      <c r="T28" s="97">
        <f>BS!AB32-BS!AA32</f>
        <v>-45105.766067951219</v>
      </c>
      <c r="U28" s="97">
        <f>BS!AC32-BS!AB32</f>
        <v>67973.252648794238</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179602.22030697812</v>
      </c>
      <c r="E29" s="98">
        <f>(BS!M36+BS!M42)-(BS!L36+BS!L42)</f>
        <v>-209342.68311647951</v>
      </c>
      <c r="F29" s="98">
        <f>(BS!N36+BS!N42)-(BS!M36+BS!M42)</f>
        <v>9948.3065105549467</v>
      </c>
      <c r="G29" s="98">
        <f>(BS!O36+BS!O42)-(BS!N36+BS!N42)</f>
        <v>10554.316574285171</v>
      </c>
      <c r="H29" s="98">
        <f>(BS!P36+BS!P42)-(BS!O36+BS!O42)</f>
        <v>18797.356731147316</v>
      </c>
      <c r="I29" s="98">
        <f>(BS!Q36+BS!Q42)-(BS!P36+BS!P42)</f>
        <v>972.15482630926999</v>
      </c>
      <c r="J29" s="98">
        <f>(BS!R36+BS!R42)-(BS!Q36+BS!Q42)</f>
        <v>59602.395924109704</v>
      </c>
      <c r="K29" s="98">
        <f>(BS!S36+BS!S42)-(BS!R36+BS!R42)</f>
        <v>2460.512961764005</v>
      </c>
      <c r="L29" s="98">
        <f>(BS!T36+BS!T42)-(BS!S36+BS!S42)</f>
        <v>-78912.023351014257</v>
      </c>
      <c r="M29" s="98">
        <f>(BS!U36+BS!U42)-(BS!T36+BS!T42)</f>
        <v>49102.564539196857</v>
      </c>
      <c r="N29" s="98">
        <f>(BS!V36+BS!V42)-(BS!U36+BS!U42)</f>
        <v>32046.658336493128</v>
      </c>
      <c r="O29" s="98">
        <f>(BS!W36+BS!W42)-(BS!V36+BS!V42)</f>
        <v>52951.762128761737</v>
      </c>
      <c r="P29" s="98">
        <f>(BS!X36+BS!X42)-(BS!W36+BS!W42)</f>
        <v>490.17298819421558</v>
      </c>
      <c r="Q29" s="98">
        <f>(BS!Y36+BS!Y42)-(BS!X36+BS!X42)</f>
        <v>-5717.3984365212382</v>
      </c>
      <c r="R29" s="98">
        <f>(BS!Z36+BS!Z42)-(BS!Y36+BS!Y42)</f>
        <v>-77888.131332114339</v>
      </c>
      <c r="S29" s="98">
        <f>(BS!AA36+BS!AA42)-(BS!Z36+BS!Z42)</f>
        <v>88048.762888782134</v>
      </c>
      <c r="T29" s="98">
        <f>(BS!AB36+BS!AB42)-(BS!AA36+BS!AA42)</f>
        <v>-64880.44634379723</v>
      </c>
      <c r="U29" s="98">
        <f>(BS!AC36+BS!AC42)-(BS!AB36+BS!AB42)</f>
        <v>-39919.713643683266</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-294378.50010377401</v>
      </c>
      <c r="E30" s="96">
        <f>-(BS!M15-BS!L15)</f>
        <v>337958.60028226132</v>
      </c>
      <c r="F30" s="96">
        <f>-(BS!N15-BS!M15)</f>
        <v>19356.354857654485</v>
      </c>
      <c r="G30" s="96">
        <f>-(BS!O15-BS!N15)</f>
        <v>-115360.2170106034</v>
      </c>
      <c r="H30" s="96">
        <f>-(BS!P15-BS!O15)</f>
        <v>155699.82004547439</v>
      </c>
      <c r="I30" s="96">
        <f>-(BS!Q15-BS!P15)</f>
        <v>-82747.387586034194</v>
      </c>
      <c r="J30" s="96">
        <f>-(BS!R15-BS!Q15)</f>
        <v>35266.799271531578</v>
      </c>
      <c r="K30" s="96">
        <f>-(BS!S15-BS!R15)</f>
        <v>-16833.64233515237</v>
      </c>
      <c r="L30" s="96">
        <f>-(BS!T15-BS!S15)</f>
        <v>-86377.932712944166</v>
      </c>
      <c r="M30" s="96">
        <f>-(BS!U15-BS!T15)</f>
        <v>-73131.144502594252</v>
      </c>
      <c r="N30" s="96">
        <f>-(BS!V15-BS!U15)</f>
        <v>-89533.047183925286</v>
      </c>
      <c r="O30" s="96">
        <f>-(BS!W15-BS!V15)</f>
        <v>22182.954349500011</v>
      </c>
      <c r="P30" s="96">
        <f>-(BS!X15-BS!W15)</f>
        <v>-53585.147162048146</v>
      </c>
      <c r="Q30" s="96">
        <f>-(BS!Y15-BS!X15)</f>
        <v>31399.808298044605</v>
      </c>
      <c r="R30" s="96">
        <f>-(BS!Z15-BS!Y15)</f>
        <v>-69757.706434137654</v>
      </c>
      <c r="S30" s="96">
        <f>-(BS!AA15-BS!Z15)</f>
        <v>-54727.681286870735</v>
      </c>
      <c r="T30" s="96">
        <f>-(BS!AB15-BS!AA15)</f>
        <v>22420.322892175405</v>
      </c>
      <c r="U30" s="96">
        <f>-(BS!AC15-BS!AB15)</f>
        <v>148465.50727187155</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-69681.862035697064</v>
      </c>
      <c r="E31" s="98">
        <f>-(PL!M13+PL!M24)</f>
        <v>-23169.512874227559</v>
      </c>
      <c r="F31" s="98">
        <f>-(PL!N13+PL!N24)</f>
        <v>-26307.370454108095</v>
      </c>
      <c r="G31" s="98">
        <f>-(PL!O13+PL!O24)</f>
        <v>-40099.503311262924</v>
      </c>
      <c r="H31" s="98">
        <f>-(PL!P13+PL!P24)</f>
        <v>-35882.655956081777</v>
      </c>
      <c r="I31" s="98">
        <f>-(PL!Q13+PL!Q24)</f>
        <v>-38533.813391488431</v>
      </c>
      <c r="J31" s="98">
        <f>-(PL!R13+PL!R24)</f>
        <v>-54535.973347402673</v>
      </c>
      <c r="K31" s="98">
        <f>-(PL!S13+PL!S24)</f>
        <v>-45317.356993744055</v>
      </c>
      <c r="L31" s="98">
        <f>-(PL!T13+PL!T24)</f>
        <v>-36989.444346277691</v>
      </c>
      <c r="M31" s="98">
        <f>-(PL!U13+PL!U24)</f>
        <v>-63029.26262240448</v>
      </c>
      <c r="N31" s="98">
        <f>-(PL!V13+PL!V24)</f>
        <v>-42215.333219294189</v>
      </c>
      <c r="O31" s="98">
        <f>-(PL!W13+PL!W24)</f>
        <v>-60536.77592429112</v>
      </c>
      <c r="P31" s="98">
        <f>-(PL!X13+PL!X24)</f>
        <v>-63305.963571044624</v>
      </c>
      <c r="Q31" s="98">
        <f>-(PL!Y13+PL!Y24)</f>
        <v>-50200.894491112027</v>
      </c>
      <c r="R31" s="98">
        <f>-(PL!Z13+PL!Z24)</f>
        <v>-58155.989277551533</v>
      </c>
      <c r="S31" s="98">
        <f>-(PL!AA13+PL!AA24)</f>
        <v>-67038.451580632245</v>
      </c>
      <c r="T31" s="98">
        <f>-(PL!AB13+PL!AB24)</f>
        <v>-61073.238700037356</v>
      </c>
      <c r="U31" s="98">
        <f>-(PL!AC13+PL!AC24)</f>
        <v>-49972.164089503363</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-122863.25807894627</v>
      </c>
      <c r="E32" s="96">
        <f>(BS!M33+BS!M34+BS!M38+BS!M39+BS!M40)-(BS!L33+BS!L34+BS!L38+BS!L39+BS!L40)</f>
        <v>34614.058263379557</v>
      </c>
      <c r="F32" s="96">
        <f>(BS!N33+BS!N34+BS!N38+BS!N39+BS!N40)-(BS!M33+BS!M34+BS!M38+BS!M39+BS!M40)</f>
        <v>27084.247895501729</v>
      </c>
      <c r="G32" s="96">
        <f>(BS!O33+BS!O34+BS!O38+BS!O39+BS!O40)-(BS!N33+BS!N34+BS!N38+BS!N39+BS!N40)</f>
        <v>15475.254344740824</v>
      </c>
      <c r="H32" s="96">
        <f>(BS!P33+BS!P34+BS!P38+BS!P39+BS!P40)-(BS!O33+BS!O34+BS!O38+BS!O39+BS!O40)</f>
        <v>52477.002079949423</v>
      </c>
      <c r="I32" s="96">
        <f>(BS!Q33+BS!Q34+BS!Q38+BS!Q39+BS!Q40)-(BS!P33+BS!P34+BS!P38+BS!P39+BS!P40)</f>
        <v>4645.2956228480907</v>
      </c>
      <c r="J32" s="96">
        <f>(BS!R33+BS!R34+BS!R38+BS!R39+BS!R40)-(BS!Q33+BS!Q34+BS!Q38+BS!Q39+BS!Q40)</f>
        <v>-21085.653590025206</v>
      </c>
      <c r="K32" s="96">
        <f>(BS!S33+BS!S34+BS!S38+BS!S39+BS!S40)-(BS!R33+BS!R34+BS!R38+BS!R39+BS!R40)</f>
        <v>-2649.4345313963131</v>
      </c>
      <c r="L32" s="96">
        <f>(BS!T33+BS!T34+BS!T38+BS!T39+BS!T40)-(BS!S33+BS!S34+BS!S38+BS!S39+BS!S40)</f>
        <v>-24186.099782843085</v>
      </c>
      <c r="M32" s="96">
        <f>(BS!U33+BS!U34+BS!U38+BS!U39+BS!U40)-(BS!T33+BS!T34+BS!T38+BS!T39+BS!T40)</f>
        <v>30981.772894268448</v>
      </c>
      <c r="N32" s="96">
        <f>(BS!V33+BS!V34+BS!V38+BS!V39+BS!V40)-(BS!U33+BS!U34+BS!U38+BS!U39+BS!U40)</f>
        <v>-36721.492684697849</v>
      </c>
      <c r="O32" s="96">
        <f>(BS!W33+BS!W34+BS!W38+BS!W39+BS!W40)-(BS!V33+BS!V34+BS!V38+BS!V39+BS!V40)</f>
        <v>70583.866149117879</v>
      </c>
      <c r="P32" s="96">
        <f>(BS!X33+BS!X34+BS!X38+BS!X39+BS!X40)-(BS!W33+BS!W34+BS!W38+BS!W39+BS!W40)</f>
        <v>-22505.041399586713</v>
      </c>
      <c r="Q32" s="96">
        <f>(BS!Y33+BS!Y34+BS!Y38+BS!Y39+BS!Y40)-(BS!X33+BS!X34+BS!X38+BS!X39+BS!X40)</f>
        <v>-40597.584822615609</v>
      </c>
      <c r="R32" s="96">
        <f>(BS!Z33+BS!Z34+BS!Z38+BS!Z39+BS!Z40)-(BS!Y33+BS!Y34+BS!Y38+BS!Y39+BS!Y40)</f>
        <v>127364.45604442566</v>
      </c>
      <c r="S32" s="96">
        <f>(BS!AA33+BS!AA34+BS!AA38+BS!AA39+BS!AA40)-(BS!Z33+BS!Z34+BS!Z38+BS!Z39+BS!Z40)</f>
        <v>-122266.54370563169</v>
      </c>
      <c r="T32" s="96">
        <f>(BS!AB33+BS!AB34+BS!AB38+BS!AB39+BS!AB40)-(BS!AA33+BS!AA34+BS!AA38+BS!AA39+BS!AA40)</f>
        <v>24095.972806305974</v>
      </c>
      <c r="U32" s="96">
        <f>(BS!AC33+BS!AC34+BS!AC38+BS!AC39+BS!AC40)-(BS!AB33+BS!AB34+BS!AB38+BS!AB39+BS!AB40)</f>
        <v>-16775.374883600452</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545431.90430867695</v>
      </c>
      <c r="E33" s="98">
        <f>(BS!M45+BS!M46)-(BS!L45+BS!L46)</f>
        <v>-550496.61905042361</v>
      </c>
      <c r="F33" s="98">
        <f>(BS!N45+BS!N46)-(BS!M45+BS!M46)</f>
        <v>33678.194999737192</v>
      </c>
      <c r="G33" s="98">
        <f>(BS!O45+BS!O46)-(BS!N45+BS!N46)</f>
        <v>30802.678045361114</v>
      </c>
      <c r="H33" s="98">
        <f>(BS!P45+BS!P46)-(BS!O45+BS!O46)</f>
        <v>-77477.890646300773</v>
      </c>
      <c r="I33" s="98">
        <f>(BS!Q45+BS!Q46)-(BS!P45+BS!P46)</f>
        <v>47651.554134474231</v>
      </c>
      <c r="J33" s="98">
        <f>(BS!R45+BS!R46)-(BS!Q45+BS!Q46)</f>
        <v>14679.450674464199</v>
      </c>
      <c r="K33" s="98">
        <f>(BS!S45+BS!S46)-(BS!R45+BS!R46)</f>
        <v>-54332.745648963624</v>
      </c>
      <c r="L33" s="98">
        <f>(BS!T45+BS!T46)-(BS!S45+BS!S46)</f>
        <v>161233.65258429624</v>
      </c>
      <c r="M33" s="98">
        <f>(BS!U45+BS!U46)-(BS!T45+BS!T46)</f>
        <v>-151589.66566576355</v>
      </c>
      <c r="N33" s="98">
        <f>(BS!V45+BS!V46)-(BS!U45+BS!U46)</f>
        <v>51551.328798278832</v>
      </c>
      <c r="O33" s="98">
        <f>(BS!W45+BS!W46)-(BS!V45+BS!V46)</f>
        <v>-5026.473349903652</v>
      </c>
      <c r="P33" s="98">
        <f>(BS!X45+BS!X46)-(BS!W45+BS!W46)</f>
        <v>-45414.313576411849</v>
      </c>
      <c r="Q33" s="98">
        <f>(BS!Y45+BS!Y46)-(BS!X45+BS!X46)</f>
        <v>15229.679602903765</v>
      </c>
      <c r="R33" s="98">
        <f>(BS!Z45+BS!Z46)-(BS!Y45+BS!Y46)</f>
        <v>105913.51588145207</v>
      </c>
      <c r="S33" s="98">
        <f>(BS!AA45+BS!AA46)-(BS!Z45+BS!Z46)</f>
        <v>-77499.416773859644</v>
      </c>
      <c r="T33" s="98">
        <f>(BS!AB45+BS!AB46)-(BS!AA45+BS!AA46)</f>
        <v>114532.54050226739</v>
      </c>
      <c r="U33" s="98">
        <f>(BS!AC45+BS!AC46)-(BS!AB45+BS!AB46)</f>
        <v>-128132.3961519677</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156171.13657480862</v>
      </c>
      <c r="E34" s="100">
        <f t="shared" ref="E34:K34" si="4">SUM(E22:E29)</f>
        <v>457656.57227336837</v>
      </c>
      <c r="F34" s="100">
        <f t="shared" si="4"/>
        <v>60814.557037163468</v>
      </c>
      <c r="G34" s="100">
        <f t="shared" si="4"/>
        <v>65649.860026835464</v>
      </c>
      <c r="H34" s="100">
        <f t="shared" si="4"/>
        <v>86758.446430851283</v>
      </c>
      <c r="I34" s="100">
        <f t="shared" si="4"/>
        <v>137006.25528099434</v>
      </c>
      <c r="J34" s="100">
        <f t="shared" si="4"/>
        <v>231701.9640595185</v>
      </c>
      <c r="K34" s="100">
        <f t="shared" si="4"/>
        <v>47016.279339596411</v>
      </c>
      <c r="L34" s="100">
        <f>SUM(L22:L29)</f>
        <v>31830.080117225079</v>
      </c>
      <c r="M34" s="100">
        <f>SUM(M22:M29)</f>
        <v>236637.52688642597</v>
      </c>
      <c r="N34" s="100">
        <f>SUM(N22:N29)</f>
        <v>263253.90818432311</v>
      </c>
      <c r="O34" s="100">
        <f>SUM(O22:O29)</f>
        <v>95750.544260164112</v>
      </c>
      <c r="P34" s="100">
        <f t="shared" ref="P34:Q34" si="5">SUM(P22:P29)</f>
        <v>455273.26525132736</v>
      </c>
      <c r="Q34" s="100">
        <f t="shared" si="5"/>
        <v>311052.15608056769</v>
      </c>
      <c r="R34" s="100">
        <f t="shared" ref="R34:U34" si="6">SUM(R22:R29)</f>
        <v>105099.80873728436</v>
      </c>
      <c r="S34" s="100">
        <f t="shared" ref="S34:T34" si="7">SUM(S22:S29)</f>
        <v>82104.520441281464</v>
      </c>
      <c r="T34" s="100">
        <f t="shared" si="7"/>
        <v>305197.8935159418</v>
      </c>
      <c r="U34" s="100">
        <f t="shared" si="6"/>
        <v>282403.01665230677</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-364060.36213947111</v>
      </c>
      <c r="E35" s="100">
        <f t="shared" ref="E35:K35" si="8">SUM(E30:E31)</f>
        <v>314789.08740803378</v>
      </c>
      <c r="F35" s="100">
        <f t="shared" si="8"/>
        <v>-6951.0155964536098</v>
      </c>
      <c r="G35" s="100">
        <f t="shared" si="8"/>
        <v>-155459.72032186633</v>
      </c>
      <c r="H35" s="100">
        <f t="shared" si="8"/>
        <v>119817.16408939261</v>
      </c>
      <c r="I35" s="100">
        <f t="shared" si="8"/>
        <v>-121281.20097752262</v>
      </c>
      <c r="J35" s="100">
        <f t="shared" si="8"/>
        <v>-19269.174075871095</v>
      </c>
      <c r="K35" s="100">
        <f t="shared" si="8"/>
        <v>-62150.999328896425</v>
      </c>
      <c r="L35" s="100">
        <f>SUM(L30:L31)</f>
        <v>-123367.37705922185</v>
      </c>
      <c r="M35" s="100">
        <f>SUM(M30:M31)</f>
        <v>-136160.40712499875</v>
      </c>
      <c r="N35" s="100">
        <f>SUM(N30:N31)</f>
        <v>-131748.38040321949</v>
      </c>
      <c r="O35" s="100">
        <f>SUM(O30:O31)</f>
        <v>-38353.821574791109</v>
      </c>
      <c r="P35" s="100">
        <f t="shared" ref="P35:Q35" si="9">SUM(P30:P31)</f>
        <v>-116891.11073309276</v>
      </c>
      <c r="Q35" s="100">
        <f t="shared" si="9"/>
        <v>-18801.086193067422</v>
      </c>
      <c r="R35" s="100">
        <f t="shared" ref="R35:U35" si="10">SUM(R30:R31)</f>
        <v>-127913.69571168919</v>
      </c>
      <c r="S35" s="100">
        <f t="shared" ref="S35:T35" si="11">SUM(S30:S31)</f>
        <v>-121766.13286750298</v>
      </c>
      <c r="T35" s="100">
        <f t="shared" si="11"/>
        <v>-38652.915807861951</v>
      </c>
      <c r="U35" s="100">
        <f t="shared" si="10"/>
        <v>98493.343182368189</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-207889.22556466248</v>
      </c>
      <c r="E36" s="100">
        <f t="shared" si="12"/>
        <v>772445.65968140215</v>
      </c>
      <c r="F36" s="100">
        <f t="shared" si="12"/>
        <v>53863.541440709858</v>
      </c>
      <c r="G36" s="100">
        <f t="shared" si="12"/>
        <v>-89809.86029503087</v>
      </c>
      <c r="H36" s="100">
        <f t="shared" si="12"/>
        <v>206575.61052024388</v>
      </c>
      <c r="I36" s="100">
        <f t="shared" si="12"/>
        <v>15725.054303471727</v>
      </c>
      <c r="J36" s="100">
        <f t="shared" si="12"/>
        <v>212432.78998364741</v>
      </c>
      <c r="K36" s="100">
        <f t="shared" si="12"/>
        <v>-15134.719989300014</v>
      </c>
      <c r="L36" s="100">
        <f>+L34+L35</f>
        <v>-91537.29694199677</v>
      </c>
      <c r="M36" s="100">
        <f>+M34+M35</f>
        <v>100477.11976142722</v>
      </c>
      <c r="N36" s="100">
        <f>+N34+N35</f>
        <v>131505.52778110362</v>
      </c>
      <c r="O36" s="100">
        <f>+O34+O35</f>
        <v>57396.722685373003</v>
      </c>
      <c r="P36" s="100">
        <f t="shared" ref="P36:Q36" si="13">+P34+P35</f>
        <v>338382.1545182346</v>
      </c>
      <c r="Q36" s="100">
        <f t="shared" si="13"/>
        <v>292251.06988750026</v>
      </c>
      <c r="R36" s="100">
        <f t="shared" ref="R36:U36" si="14">+R34+R35</f>
        <v>-22813.886974404828</v>
      </c>
      <c r="S36" s="100">
        <f t="shared" ref="S36:T36" si="15">+S34+S35</f>
        <v>-39661.612426221516</v>
      </c>
      <c r="T36" s="100">
        <f t="shared" si="15"/>
        <v>266544.97770807985</v>
      </c>
      <c r="U36" s="100">
        <f t="shared" si="14"/>
        <v>380896.35983467498</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422568.64622973069</v>
      </c>
      <c r="E37" s="100">
        <f t="shared" ref="E37:K37" si="16">SUM(E32:E33)</f>
        <v>-515882.56078704406</v>
      </c>
      <c r="F37" s="100">
        <f t="shared" si="16"/>
        <v>60762.442895238921</v>
      </c>
      <c r="G37" s="100">
        <f t="shared" si="16"/>
        <v>46277.932390101938</v>
      </c>
      <c r="H37" s="100">
        <f t="shared" si="16"/>
        <v>-25000.88856635135</v>
      </c>
      <c r="I37" s="100">
        <f t="shared" si="16"/>
        <v>52296.849757322321</v>
      </c>
      <c r="J37" s="100">
        <f t="shared" si="16"/>
        <v>-6406.2029155610071</v>
      </c>
      <c r="K37" s="100">
        <f t="shared" si="16"/>
        <v>-56982.180180359937</v>
      </c>
      <c r="L37" s="100">
        <f>SUM(L32:L33)</f>
        <v>137047.55280145316</v>
      </c>
      <c r="M37" s="100">
        <f>SUM(M32:M33)</f>
        <v>-120607.8927714951</v>
      </c>
      <c r="N37" s="100">
        <f>SUM(N32:N33)</f>
        <v>14829.836113580983</v>
      </c>
      <c r="O37" s="100">
        <f>SUM(O32:O33)</f>
        <v>65557.392799214227</v>
      </c>
      <c r="P37" s="100">
        <f t="shared" ref="P37:Q37" si="17">SUM(P32:P33)</f>
        <v>-67919.354975998562</v>
      </c>
      <c r="Q37" s="100">
        <f t="shared" si="17"/>
        <v>-25367.905219711844</v>
      </c>
      <c r="R37" s="100">
        <f t="shared" ref="R37:U37" si="18">SUM(R32:R33)</f>
        <v>233277.97192587773</v>
      </c>
      <c r="S37" s="100">
        <f t="shared" ref="S37:T37" si="19">SUM(S32:S33)</f>
        <v>-199765.96047949133</v>
      </c>
      <c r="T37" s="100">
        <f t="shared" si="19"/>
        <v>138628.51330857337</v>
      </c>
      <c r="U37" s="100">
        <f t="shared" si="18"/>
        <v>-144907.77103556815</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215248.92536146901</v>
      </c>
      <c r="E38" s="100">
        <f>+BS!L10</f>
        <v>291825.37385431741</v>
      </c>
      <c r="F38" s="100">
        <f>+BS!M10</f>
        <v>183715.06828733181</v>
      </c>
      <c r="G38" s="100">
        <f>+BS!N10</f>
        <v>154019.4096196577</v>
      </c>
      <c r="H38" s="100">
        <f>+BS!O10</f>
        <v>272716.40280718345</v>
      </c>
      <c r="I38" s="100">
        <f>+BS!P10</f>
        <v>210674.64001585689</v>
      </c>
      <c r="J38" s="100">
        <f>+BS!Q10</f>
        <v>220421.82219389101</v>
      </c>
      <c r="K38" s="100">
        <f>+BS!R10</f>
        <v>283814.80470713781</v>
      </c>
      <c r="L38" s="100">
        <f>+BS!S10</f>
        <v>304139.68821421085</v>
      </c>
      <c r="M38" s="100">
        <f>+BS!T10</f>
        <v>110015.69115241116</v>
      </c>
      <c r="N38" s="100">
        <f>+BS!U10</f>
        <v>235262.45004558071</v>
      </c>
      <c r="O38" s="100">
        <f>+BS!V10</f>
        <v>367684.18291478034</v>
      </c>
      <c r="P38" s="100">
        <f>+BS!W10</f>
        <v>558689.18839811825</v>
      </c>
      <c r="Q38" s="100">
        <f>+BS!X10</f>
        <v>700069.18009343592</v>
      </c>
      <c r="R38" s="100">
        <f>+BS!Y10</f>
        <v>502412.95892042661</v>
      </c>
      <c r="S38" s="100">
        <f>+BS!Z10</f>
        <v>414297.02121600474</v>
      </c>
      <c r="T38" s="100">
        <f>+BS!AA10</f>
        <v>356213.89535814332</v>
      </c>
      <c r="U38" s="100">
        <f>+BS!AB10</f>
        <v>473626.48991408292</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-138102.9721722198</v>
      </c>
      <c r="E39" s="100">
        <f t="shared" ref="E39:K39" si="20">E41-(E34+E35+E37)</f>
        <v>-364673.40446134366</v>
      </c>
      <c r="F39" s="100">
        <f t="shared" si="20"/>
        <v>-144321.64300362288</v>
      </c>
      <c r="G39" s="100">
        <f t="shared" si="20"/>
        <v>162228.92109245469</v>
      </c>
      <c r="H39" s="100">
        <f t="shared" si="20"/>
        <v>-243616.48474521909</v>
      </c>
      <c r="I39" s="100">
        <f t="shared" si="20"/>
        <v>-58274.721882759914</v>
      </c>
      <c r="J39" s="100">
        <f t="shared" si="20"/>
        <v>-142633.60455483961</v>
      </c>
      <c r="K39" s="100">
        <f t="shared" si="20"/>
        <v>92441.783676733001</v>
      </c>
      <c r="L39" s="100">
        <f>L41-(L34+L35+L37)</f>
        <v>-239634.25292125606</v>
      </c>
      <c r="M39" s="100">
        <f>M41-(M34+M35+M37)</f>
        <v>145377.53190323742</v>
      </c>
      <c r="N39" s="100">
        <f>N41-(N34+N35+N37)</f>
        <v>-13913.631025484967</v>
      </c>
      <c r="O39" s="100">
        <f>O41-(O34+O35+O37)</f>
        <v>68050.889998750674</v>
      </c>
      <c r="P39" s="100">
        <f t="shared" ref="P39:Q39" si="21">P41-(P34+P35+P37)</f>
        <v>-129082.80784691835</v>
      </c>
      <c r="Q39" s="100">
        <f t="shared" si="21"/>
        <v>-464539.38584079774</v>
      </c>
      <c r="R39" s="100">
        <f t="shared" ref="R39:U39" si="22">R41-(R34+R35+R37)</f>
        <v>-298580.02265589475</v>
      </c>
      <c r="S39" s="100">
        <f t="shared" ref="S39:T39" si="23">S41-(S34+S35+S37)</f>
        <v>181344.44704785143</v>
      </c>
      <c r="T39" s="100">
        <f t="shared" si="23"/>
        <v>-287760.89646071364</v>
      </c>
      <c r="U39" s="100">
        <f t="shared" si="22"/>
        <v>-259941.89770536736</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291825.37385431741</v>
      </c>
      <c r="E40" s="100">
        <f>+BS!M10</f>
        <v>183715.06828733181</v>
      </c>
      <c r="F40" s="100">
        <f>+BS!N10</f>
        <v>154019.4096196577</v>
      </c>
      <c r="G40" s="100">
        <f>+BS!O10</f>
        <v>272716.40280718345</v>
      </c>
      <c r="H40" s="100">
        <f>+BS!P10</f>
        <v>210674.64001585689</v>
      </c>
      <c r="I40" s="100">
        <f>+BS!Q10</f>
        <v>220421.82219389101</v>
      </c>
      <c r="J40" s="100">
        <f>+BS!R10</f>
        <v>283814.80470713781</v>
      </c>
      <c r="K40" s="100">
        <f>+BS!S10</f>
        <v>304139.68821421085</v>
      </c>
      <c r="L40" s="100">
        <f>+BS!T10</f>
        <v>110015.69115241116</v>
      </c>
      <c r="M40" s="100">
        <f>+BS!U10</f>
        <v>235262.45004558071</v>
      </c>
      <c r="N40" s="100">
        <f>+BS!V10</f>
        <v>367684.18291478034</v>
      </c>
      <c r="O40" s="100">
        <f>+BS!W10</f>
        <v>558689.18839811825</v>
      </c>
      <c r="P40" s="100">
        <f>+BS!X10</f>
        <v>700069.18009343592</v>
      </c>
      <c r="Q40" s="100">
        <f>+BS!Y10</f>
        <v>502412.95892042661</v>
      </c>
      <c r="R40" s="100">
        <f>+BS!Z10</f>
        <v>414297.02121600474</v>
      </c>
      <c r="S40" s="100">
        <f>+BS!AA10</f>
        <v>356213.89535814332</v>
      </c>
      <c r="T40" s="100">
        <f>+BS!AB10</f>
        <v>473626.48991408292</v>
      </c>
      <c r="U40" s="100">
        <f>+BS!AC10</f>
        <v>449673.18100782239</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76576.448492848402</v>
      </c>
      <c r="E41" s="100">
        <f t="shared" si="24"/>
        <v>-108110.3055669856</v>
      </c>
      <c r="F41" s="100">
        <f t="shared" si="24"/>
        <v>-29695.658667674114</v>
      </c>
      <c r="G41" s="100">
        <f t="shared" si="24"/>
        <v>118696.99318752575</v>
      </c>
      <c r="H41" s="100">
        <f t="shared" si="24"/>
        <v>-62041.762791326561</v>
      </c>
      <c r="I41" s="100">
        <f t="shared" si="24"/>
        <v>9747.182178034127</v>
      </c>
      <c r="J41" s="100">
        <f t="shared" si="24"/>
        <v>63392.982513246796</v>
      </c>
      <c r="K41" s="100">
        <f t="shared" si="24"/>
        <v>20324.883507073042</v>
      </c>
      <c r="L41" s="100">
        <f>+L40-L38</f>
        <v>-194123.99706179969</v>
      </c>
      <c r="M41" s="100">
        <f>+M40-M38</f>
        <v>125246.75889316955</v>
      </c>
      <c r="N41" s="100">
        <f>+N40-N38</f>
        <v>132421.73286919962</v>
      </c>
      <c r="O41" s="100">
        <f>+O40-O38</f>
        <v>191005.00548333791</v>
      </c>
      <c r="P41" s="100">
        <f t="shared" ref="P41:Q41" si="25">+P40-P38</f>
        <v>141379.99169531767</v>
      </c>
      <c r="Q41" s="100">
        <f t="shared" si="25"/>
        <v>-197656.22117300931</v>
      </c>
      <c r="R41" s="100">
        <f t="shared" ref="R41:U41" si="26">+R40-R38</f>
        <v>-88115.937704421871</v>
      </c>
      <c r="S41" s="100">
        <f t="shared" ref="S41:T41" si="27">+S40-S38</f>
        <v>-58083.125857861422</v>
      </c>
      <c r="T41" s="100">
        <f t="shared" si="27"/>
        <v>117412.59455593961</v>
      </c>
      <c r="U41" s="100">
        <f t="shared" si="26"/>
        <v>-23953.308906260529</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2.9941738855808282</v>
      </c>
      <c r="D43" s="101">
        <f>+D12/D20*100</f>
        <v>8.1813235432670517</v>
      </c>
      <c r="E43" s="101">
        <f t="shared" si="28"/>
        <v>3.0246139647446579</v>
      </c>
      <c r="F43" s="101">
        <f t="shared" si="28"/>
        <v>-6.2072008092348314</v>
      </c>
      <c r="G43" s="101">
        <f t="shared" si="28"/>
        <v>3.2514934536358613</v>
      </c>
      <c r="H43" s="101">
        <f t="shared" si="28"/>
        <v>0.82570065664227166</v>
      </c>
      <c r="I43" s="101">
        <f t="shared" si="28"/>
        <v>2.3591439940533867</v>
      </c>
      <c r="J43" s="101">
        <f t="shared" si="28"/>
        <v>3.1496328657469861</v>
      </c>
      <c r="K43" s="101">
        <f t="shared" si="28"/>
        <v>2.4992110963459995</v>
      </c>
      <c r="L43" s="101">
        <f>+L12/L20*100</f>
        <v>4.201529583959255</v>
      </c>
      <c r="M43" s="101">
        <f>+M12/M20*100</f>
        <v>3.3672241548811774</v>
      </c>
      <c r="N43" s="101">
        <f>+N12/N20*100</f>
        <v>2.4647515305326362</v>
      </c>
      <c r="O43" s="101">
        <f>+O12/O20*100</f>
        <v>2.9408582349280818</v>
      </c>
      <c r="P43" s="101">
        <f t="shared" ref="P43:Q43" si="29">+P12/P20*100</f>
        <v>4.1356292685280325</v>
      </c>
      <c r="Q43" s="101">
        <f t="shared" si="29"/>
        <v>4.2402018500023608</v>
      </c>
      <c r="R43" s="101">
        <f t="shared" ref="R43:U43" si="30">+R12/R20*100</f>
        <v>4.367455632161569</v>
      </c>
      <c r="S43" s="101">
        <f t="shared" ref="S43:T43" si="31">+S12/S20*100</f>
        <v>3.5118987554628935</v>
      </c>
      <c r="T43" s="101">
        <f t="shared" si="31"/>
        <v>4.2803687744192409</v>
      </c>
      <c r="U43" s="101">
        <f t="shared" si="30"/>
        <v>5.1462941024125897</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43.24508528446632</v>
      </c>
      <c r="D44" s="102">
        <f>+D19/D20*100</f>
        <v>60.594521583323299</v>
      </c>
      <c r="E44" s="102">
        <f t="shared" si="32"/>
        <v>46.412741862856016</v>
      </c>
      <c r="F44" s="102">
        <f t="shared" si="32"/>
        <v>44.076371368732062</v>
      </c>
      <c r="G44" s="102">
        <f t="shared" si="32"/>
        <v>53.122446917631429</v>
      </c>
      <c r="H44" s="102">
        <f t="shared" si="32"/>
        <v>42.980304804008952</v>
      </c>
      <c r="I44" s="102">
        <f t="shared" si="32"/>
        <v>45.928482427501578</v>
      </c>
      <c r="J44" s="102">
        <f t="shared" si="32"/>
        <v>42.307873783241405</v>
      </c>
      <c r="K44" s="102">
        <f t="shared" si="32"/>
        <v>47.463200198458587</v>
      </c>
      <c r="L44" s="102">
        <f>+L19/L20*100</f>
        <v>46.343390524286569</v>
      </c>
      <c r="M44" s="102">
        <f>+M19/M20*100</f>
        <v>52.218653321852635</v>
      </c>
      <c r="N44" s="102">
        <f>+N19/N20*100</f>
        <v>58.480651177641263</v>
      </c>
      <c r="O44" s="102">
        <f>+O19/O20*100</f>
        <v>59.597267876827964</v>
      </c>
      <c r="P44" s="102">
        <f t="shared" ref="P44:Q44" si="33">+P19/P20*100</f>
        <v>60.139820083075165</v>
      </c>
      <c r="Q44" s="102">
        <f t="shared" si="33"/>
        <v>56.36524344021494</v>
      </c>
      <c r="R44" s="102">
        <f t="shared" ref="R44:U44" si="34">+R19/R20*100</f>
        <v>52.379061791658422</v>
      </c>
      <c r="S44" s="102">
        <f t="shared" ref="S44:T44" si="35">+S19/S20*100</f>
        <v>59.805764938831452</v>
      </c>
      <c r="T44" s="102">
        <f t="shared" si="35"/>
        <v>62.36794157268595</v>
      </c>
      <c r="U44" s="102">
        <f t="shared" si="34"/>
        <v>57.024243665194874</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6.9237321787785646</v>
      </c>
      <c r="D45" s="102">
        <f>+D12/D19*100</f>
        <v>13.501754497750998</v>
      </c>
      <c r="E45" s="102">
        <f t="shared" si="36"/>
        <v>6.5167750133832278</v>
      </c>
      <c r="F45" s="102">
        <f t="shared" si="36"/>
        <v>-14.082830814966412</v>
      </c>
      <c r="G45" s="102">
        <f t="shared" si="36"/>
        <v>6.1207524169160301</v>
      </c>
      <c r="H45" s="102">
        <f t="shared" si="36"/>
        <v>1.9211140088640208</v>
      </c>
      <c r="I45" s="102">
        <f t="shared" si="36"/>
        <v>5.1365598629941926</v>
      </c>
      <c r="J45" s="102">
        <f t="shared" si="36"/>
        <v>7.4445548407459521</v>
      </c>
      <c r="K45" s="102">
        <f t="shared" si="36"/>
        <v>5.2655764590166925</v>
      </c>
      <c r="L45" s="102">
        <f>+L12/L19*100</f>
        <v>9.0660815629305649</v>
      </c>
      <c r="M45" s="102">
        <f>+M12/M19*100</f>
        <v>6.4483167233882881</v>
      </c>
      <c r="N45" s="102">
        <f>+N12/N19*100</f>
        <v>4.2146444694086744</v>
      </c>
      <c r="O45" s="102">
        <f>+O12/O19*100</f>
        <v>4.9345521022978271</v>
      </c>
      <c r="P45" s="102">
        <f t="shared" ref="P45:Q45" si="37">+P12/P19*100</f>
        <v>6.8766904570303158</v>
      </c>
      <c r="Q45" s="102">
        <f t="shared" si="37"/>
        <v>7.5227242733366824</v>
      </c>
      <c r="R45" s="102">
        <f t="shared" ref="R45:U45" si="38">+R12/R19*100</f>
        <v>8.3381707933858102</v>
      </c>
      <c r="S45" s="102">
        <f t="shared" ref="S45:T45" si="39">+S12/S19*100</f>
        <v>5.872174294660085</v>
      </c>
      <c r="T45" s="102">
        <f t="shared" si="39"/>
        <v>6.8630913037762173</v>
      </c>
      <c r="U45" s="102">
        <f t="shared" si="38"/>
        <v>9.0247476715831727</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29.628771431401784</v>
      </c>
      <c r="D46" s="101">
        <f>+D18/D20*100</f>
        <v>11.152829825624936</v>
      </c>
      <c r="E46" s="101">
        <f t="shared" si="40"/>
        <v>23.392637258159745</v>
      </c>
      <c r="F46" s="101">
        <f t="shared" si="40"/>
        <v>29.66440115984922</v>
      </c>
      <c r="G46" s="101">
        <f t="shared" si="40"/>
        <v>22.168375235914947</v>
      </c>
      <c r="H46" s="101">
        <f t="shared" si="40"/>
        <v>32.576444196180773</v>
      </c>
      <c r="I46" s="101">
        <f t="shared" si="40"/>
        <v>31.253927730854652</v>
      </c>
      <c r="J46" s="101">
        <f t="shared" si="40"/>
        <v>28.63975966649539</v>
      </c>
      <c r="K46" s="101">
        <f t="shared" si="40"/>
        <v>26.189662305439825</v>
      </c>
      <c r="L46" s="101">
        <f>+L18/L20*100</f>
        <v>20.104658880700114</v>
      </c>
      <c r="M46" s="101">
        <f>+M18/M20*100</f>
        <v>22.183098602806407</v>
      </c>
      <c r="N46" s="101">
        <f>+N18/N20*100</f>
        <v>18.144919028843805</v>
      </c>
      <c r="O46" s="101">
        <f>+O18/O20*100</f>
        <v>18.917756039357162</v>
      </c>
      <c r="P46" s="101">
        <f t="shared" ref="P46:Q46" si="41">+P18/P20*100</f>
        <v>17.519666585528071</v>
      </c>
      <c r="Q46" s="101">
        <f t="shared" si="41"/>
        <v>19.010974611616092</v>
      </c>
      <c r="R46" s="101">
        <f t="shared" ref="R46:U46" si="42">+R18/R20*100</f>
        <v>25.005264765840394</v>
      </c>
      <c r="S46" s="101">
        <f t="shared" ref="S46:T46" si="43">+S18/S20*100</f>
        <v>16.814884046218481</v>
      </c>
      <c r="T46" s="101">
        <f t="shared" si="43"/>
        <v>18.755716369841078</v>
      </c>
      <c r="U46" s="101">
        <f t="shared" si="42"/>
        <v>20.154364666428869</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27052.488738838056</v>
      </c>
      <c r="D47" s="100">
        <f>+D5/D13</f>
        <v>48399.609989584955</v>
      </c>
      <c r="E47" s="100">
        <f t="shared" si="44"/>
        <v>31071.2197238439</v>
      </c>
      <c r="F47" s="100">
        <f t="shared" si="44"/>
        <v>26748.306135938674</v>
      </c>
      <c r="G47" s="100">
        <f t="shared" si="44"/>
        <v>28918.845930712705</v>
      </c>
      <c r="H47" s="100">
        <f t="shared" si="44"/>
        <v>28197.572489842576</v>
      </c>
      <c r="I47" s="100">
        <f t="shared" si="44"/>
        <v>25103.872976391423</v>
      </c>
      <c r="J47" s="100">
        <f t="shared" si="44"/>
        <v>30426.780433195876</v>
      </c>
      <c r="K47" s="100">
        <f t="shared" si="44"/>
        <v>27140.123753159882</v>
      </c>
      <c r="L47" s="100">
        <f>+L5/L13</f>
        <v>37629.329198678199</v>
      </c>
      <c r="M47" s="100">
        <f>+M5/M13</f>
        <v>32921.50798227678</v>
      </c>
      <c r="N47" s="100">
        <f>+N5/N13</f>
        <v>30178.218636759808</v>
      </c>
      <c r="O47" s="100">
        <f>+O5/O13</f>
        <v>29813.529246651258</v>
      </c>
      <c r="P47" s="100">
        <f t="shared" ref="P47:Q47" si="45">+P5/P13</f>
        <v>29788.23427050437</v>
      </c>
      <c r="Q47" s="100">
        <f t="shared" si="45"/>
        <v>27796.623511508536</v>
      </c>
      <c r="R47" s="100">
        <f t="shared" ref="R47:U47" si="46">+R5/R13</f>
        <v>33128.551254157108</v>
      </c>
      <c r="S47" s="100">
        <f t="shared" ref="S47:T47" si="47">+S5/S13</f>
        <v>32013.008335805051</v>
      </c>
      <c r="T47" s="100">
        <f t="shared" si="47"/>
        <v>29495.974476496565</v>
      </c>
      <c r="U47" s="100">
        <f t="shared" si="46"/>
        <v>31498.713743260778</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562369.33567800059</v>
      </c>
      <c r="D48" s="100">
        <f>+PL!L47</f>
        <v>1189455.3786782443</v>
      </c>
      <c r="E48" s="100">
        <f>+PL!M47</f>
        <v>455017.00393772993</v>
      </c>
      <c r="F48" s="100">
        <f>+PL!N47</f>
        <v>463019.51684172999</v>
      </c>
      <c r="G48" s="100">
        <f>+PL!O47</f>
        <v>618420.63745686691</v>
      </c>
      <c r="H48" s="100">
        <f>+PL!P47</f>
        <v>591324.48220652342</v>
      </c>
      <c r="I48" s="100">
        <f>+PL!Q47</f>
        <v>560447.82669475616</v>
      </c>
      <c r="J48" s="100">
        <f>+PL!R47</f>
        <v>527774.22405469127</v>
      </c>
      <c r="K48" s="100">
        <f>+PL!S47</f>
        <v>570479.99702969973</v>
      </c>
      <c r="L48" s="100">
        <f>+PL!T47</f>
        <v>1613999.9240946427</v>
      </c>
      <c r="M48" s="100">
        <f>+PL!U47</f>
        <v>905353.32856549928</v>
      </c>
      <c r="N48" s="100">
        <f>+PL!V47</f>
        <v>719794.83562371263</v>
      </c>
      <c r="O48" s="100">
        <f>+PL!W47</f>
        <v>849825.85878663068</v>
      </c>
      <c r="P48" s="100">
        <f>+PL!X47</f>
        <v>911764.95167912007</v>
      </c>
      <c r="Q48" s="100">
        <f>+PL!Y47</f>
        <v>699780.50740053377</v>
      </c>
      <c r="R48" s="100">
        <f>+PL!Z47</f>
        <v>833345.75478684937</v>
      </c>
      <c r="S48" s="100">
        <f>+PL!AA47</f>
        <v>824011.65966386534</v>
      </c>
      <c r="T48" s="100">
        <f>+PL!AB47</f>
        <v>744553.96208442259</v>
      </c>
      <c r="U48" s="100">
        <f>+PL!AC47</f>
        <v>696185.7605966893</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42.257420078017496</v>
      </c>
      <c r="D49" s="103">
        <f t="shared" si="48"/>
        <v>26.158586810212419</v>
      </c>
      <c r="E49" s="103">
        <f t="shared" si="48"/>
        <v>46.221643893811212</v>
      </c>
      <c r="F49" s="103">
        <f t="shared" si="48"/>
        <v>39.529747239547881</v>
      </c>
      <c r="G49" s="103">
        <f t="shared" si="48"/>
        <v>34.30403966504911</v>
      </c>
      <c r="H49" s="103">
        <f t="shared" si="48"/>
        <v>32.610399660666687</v>
      </c>
      <c r="I49" s="103">
        <f t="shared" si="48"/>
        <v>43.412690143229469</v>
      </c>
      <c r="J49" s="103">
        <f t="shared" si="48"/>
        <v>40.462322059731399</v>
      </c>
      <c r="K49" s="103">
        <f t="shared" si="48"/>
        <v>33.74644517450028</v>
      </c>
      <c r="L49" s="103">
        <f>+L7/L48*100</f>
        <v>15.639555429557284</v>
      </c>
      <c r="M49" s="103">
        <f>+M7/M48*100</f>
        <v>22.629358508075732</v>
      </c>
      <c r="N49" s="103">
        <f>+N7/N48*100</f>
        <v>33.655223495027684</v>
      </c>
      <c r="O49" s="103">
        <f>+O7/O48*100</f>
        <v>33.063786704856277</v>
      </c>
      <c r="P49" s="103">
        <f t="shared" ref="P49:Q49" si="49">+P7/P48*100</f>
        <v>30.356358811904165</v>
      </c>
      <c r="Q49" s="103">
        <f t="shared" si="49"/>
        <v>42.186457785167491</v>
      </c>
      <c r="R49" s="103">
        <f t="shared" ref="R49:U49" si="50">+R7/R48*100</f>
        <v>32.208903489430298</v>
      </c>
      <c r="S49" s="103">
        <f t="shared" ref="S49:T49" si="51">+S7/S48*100</f>
        <v>33.558491255463863</v>
      </c>
      <c r="T49" s="103">
        <f t="shared" si="51"/>
        <v>33.224477375631487</v>
      </c>
      <c r="U49" s="103">
        <f t="shared" si="50"/>
        <v>35.538040337316296</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１６　化学工業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1199263.5717076999</v>
      </c>
      <c r="D5" s="82">
        <f>PL!L6</f>
        <v>2634019.778099373</v>
      </c>
      <c r="E5" s="82">
        <f>PL!M6</f>
        <v>1348723.4490983936</v>
      </c>
      <c r="F5" s="82">
        <f>PL!N6</f>
        <v>1056744.785635201</v>
      </c>
      <c r="G5" s="82">
        <f>PL!O6</f>
        <v>1435780.6975102983</v>
      </c>
      <c r="H5" s="82">
        <f>PL!P6</f>
        <v>1139646.9441218986</v>
      </c>
      <c r="I5" s="82">
        <f>PL!Q6</f>
        <v>1113270.3754271546</v>
      </c>
      <c r="J5" s="82">
        <f>PL!R6</f>
        <v>1178692.5444474781</v>
      </c>
      <c r="K5" s="82">
        <f>PL!S6</f>
        <v>1123776.1018134595</v>
      </c>
      <c r="L5" s="82">
        <f>PL!T6</f>
        <v>2145264.2362076058</v>
      </c>
      <c r="M5" s="82">
        <f>PL!U6</f>
        <v>1635288.0735911727</v>
      </c>
      <c r="N5" s="240">
        <f>PL!V6</f>
        <v>1532630.3077977516</v>
      </c>
      <c r="O5" s="240">
        <f>PL!W6</f>
        <v>1688215.9641749286</v>
      </c>
      <c r="P5" s="240">
        <f>PL!X6</f>
        <v>1799739.0706540067</v>
      </c>
      <c r="Q5" s="240">
        <f>PL!Y6</f>
        <v>1500599.2514027345</v>
      </c>
      <c r="R5" s="240">
        <f>PL!Z6</f>
        <v>1620330.270631151</v>
      </c>
      <c r="S5" s="240">
        <f>PL!AA6</f>
        <v>1662799.7204881951</v>
      </c>
      <c r="T5" s="240">
        <f>PL!AB6</f>
        <v>1460414.3403063128</v>
      </c>
      <c r="U5" s="114">
        <f>PL!AC6</f>
        <v>1506041.9205020922</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567379.99804611201</v>
      </c>
      <c r="D6" s="85">
        <f>PL!L9+PL!L10</f>
        <v>1333767.2455378678</v>
      </c>
      <c r="E6" s="85">
        <f>PL!M9+PL!M10</f>
        <v>875089.86100421229</v>
      </c>
      <c r="F6" s="85">
        <f>PL!N9+PL!N10</f>
        <v>554762.07707619003</v>
      </c>
      <c r="G6" s="85">
        <f>PL!O9+PL!O10</f>
        <v>786094.1066681142</v>
      </c>
      <c r="H6" s="85">
        <f>PL!P9+PL!P10</f>
        <v>498744.80748396309</v>
      </c>
      <c r="I6" s="85">
        <f>PL!Q9+PL!Q10</f>
        <v>520509.59706604527</v>
      </c>
      <c r="J6" s="85">
        <f>PL!R9+PL!R10</f>
        <v>626922.97775915917</v>
      </c>
      <c r="K6" s="85">
        <f>PL!S9+PL!S10</f>
        <v>501294.07660936681</v>
      </c>
      <c r="L6" s="85">
        <f>PL!T9+PL!T10</f>
        <v>503989.18421650422</v>
      </c>
      <c r="M6" s="85">
        <f>PL!U9+PL!U10</f>
        <v>693291.30696197413</v>
      </c>
      <c r="N6" s="241">
        <f>PL!V9+PL!V10</f>
        <v>792449.19487965119</v>
      </c>
      <c r="O6" s="241">
        <f>PL!W9+PL!W10</f>
        <v>783293.42684329662</v>
      </c>
      <c r="P6" s="241">
        <f>PL!X9+PL!X10</f>
        <v>832510.88584393577</v>
      </c>
      <c r="Q6" s="241">
        <f>PL!Y9+PL!Y10</f>
        <v>741859.79193071788</v>
      </c>
      <c r="R6" s="241">
        <f>PL!Z9+PL!Z10</f>
        <v>743214.50686679035</v>
      </c>
      <c r="S6" s="241">
        <f>PL!AA9+PL!AA10</f>
        <v>767981.82172869146</v>
      </c>
      <c r="T6" s="241">
        <f>PL!AB9+PL!AB10</f>
        <v>662969.34646992909</v>
      </c>
      <c r="U6" s="118">
        <f>PL!AC9+PL!AC10</f>
        <v>757183.41167909768</v>
      </c>
      <c r="V6" s="119">
        <f t="shared" si="0"/>
        <v>0.47310700619229784</v>
      </c>
      <c r="W6" s="120">
        <f t="shared" si="1"/>
        <v>0.50636189470842652</v>
      </c>
      <c r="X6" s="120">
        <f t="shared" si="2"/>
        <v>0.64882823946539969</v>
      </c>
      <c r="Y6" s="120">
        <f t="shared" si="3"/>
        <v>0.52497261838176645</v>
      </c>
      <c r="Z6" s="120">
        <f t="shared" si="4"/>
        <v>0.54750290767331888</v>
      </c>
      <c r="AA6" s="120">
        <f t="shared" si="5"/>
        <v>0.43763097866089351</v>
      </c>
      <c r="AB6" s="120">
        <f t="shared" si="6"/>
        <v>0.4675500296739048</v>
      </c>
      <c r="AC6" s="120">
        <f t="shared" si="7"/>
        <v>0.53187998915614965</v>
      </c>
      <c r="AD6" s="120">
        <f t="shared" si="8"/>
        <v>0.44608002946531672</v>
      </c>
      <c r="AE6" s="120">
        <f t="shared" si="9"/>
        <v>0.23493105218005936</v>
      </c>
      <c r="AF6" s="120">
        <f t="shared" si="10"/>
        <v>0.42395668271430148</v>
      </c>
      <c r="AG6" s="120">
        <f t="shared" si="11"/>
        <v>0.51705175791435809</v>
      </c>
      <c r="AH6" s="120">
        <f t="shared" si="12"/>
        <v>0.46397702868904617</v>
      </c>
      <c r="AI6" s="120">
        <f t="shared" si="13"/>
        <v>0.46257310263393342</v>
      </c>
      <c r="AJ6" s="120">
        <f t="shared" si="14"/>
        <v>0.49437569106957774</v>
      </c>
      <c r="AK6" s="120">
        <f t="shared" si="15"/>
        <v>0.45868087533617047</v>
      </c>
      <c r="AL6" s="120">
        <f t="shared" si="16"/>
        <v>0.46186068728903401</v>
      </c>
      <c r="AM6" s="120">
        <f t="shared" si="17"/>
        <v>0.45395976208428318</v>
      </c>
      <c r="AN6" s="120">
        <f t="shared" si="18"/>
        <v>0.50276383503764877</v>
      </c>
    </row>
    <row r="7" spans="1:40" x14ac:dyDescent="0.2">
      <c r="A7" s="117" t="s">
        <v>368</v>
      </c>
      <c r="B7" s="84" t="s">
        <v>254</v>
      </c>
      <c r="C7" s="85">
        <f>PL!K12</f>
        <v>69514.2379835873</v>
      </c>
      <c r="D7" s="85">
        <f>PL!L12</f>
        <v>110797.15388326098</v>
      </c>
      <c r="E7" s="85">
        <f>PL!M12</f>
        <v>18616.584156451347</v>
      </c>
      <c r="F7" s="85">
        <f>PL!N12</f>
        <v>38963.191717281043</v>
      </c>
      <c r="G7" s="85">
        <f>PL!O12</f>
        <v>31265.953385317291</v>
      </c>
      <c r="H7" s="85">
        <f>PL!P12</f>
        <v>49577.65443141204</v>
      </c>
      <c r="I7" s="85">
        <f>PL!Q12</f>
        <v>32312.951666353129</v>
      </c>
      <c r="J7" s="85">
        <f>PL!R12</f>
        <v>23995.342633627741</v>
      </c>
      <c r="K7" s="85">
        <f>PL!S12</f>
        <v>52002.02817439301</v>
      </c>
      <c r="L7" s="85">
        <f>PL!T12</f>
        <v>27275.127896458976</v>
      </c>
      <c r="M7" s="85">
        <f>PL!U12</f>
        <v>36643.43806369901</v>
      </c>
      <c r="N7" s="241">
        <f>PL!V12</f>
        <v>20386.277294387906</v>
      </c>
      <c r="O7" s="241">
        <f>PL!W12</f>
        <v>55096.678545001254</v>
      </c>
      <c r="P7" s="241">
        <f>PL!X12</f>
        <v>55463.233130950874</v>
      </c>
      <c r="Q7" s="241">
        <f>PL!Y12</f>
        <v>58958.952071482854</v>
      </c>
      <c r="R7" s="241">
        <f>PL!Z12</f>
        <v>43770.008977511337</v>
      </c>
      <c r="S7" s="241">
        <f>PL!AA12</f>
        <v>70806.239095638244</v>
      </c>
      <c r="T7" s="241">
        <f>PL!AB12</f>
        <v>52891.031751961142</v>
      </c>
      <c r="U7" s="118">
        <f>PL!AC12</f>
        <v>52672.748226305259</v>
      </c>
      <c r="V7" s="119">
        <f t="shared" si="0"/>
        <v>5.7964103657882314E-2</v>
      </c>
      <c r="W7" s="120">
        <f t="shared" si="1"/>
        <v>4.206390354563274E-2</v>
      </c>
      <c r="X7" s="120">
        <f t="shared" si="2"/>
        <v>1.3803114470128271E-2</v>
      </c>
      <c r="Y7" s="120">
        <f t="shared" si="3"/>
        <v>3.6870957157229378E-2</v>
      </c>
      <c r="Z7" s="120">
        <f t="shared" si="4"/>
        <v>2.1776273660409084E-2</v>
      </c>
      <c r="AA7" s="120">
        <f t="shared" si="5"/>
        <v>4.350264324151E-2</v>
      </c>
      <c r="AB7" s="120">
        <f t="shared" si="6"/>
        <v>2.9025250630562105E-2</v>
      </c>
      <c r="AC7" s="120">
        <f t="shared" si="7"/>
        <v>2.0357592611121297E-2</v>
      </c>
      <c r="AD7" s="120">
        <f t="shared" si="8"/>
        <v>4.6274367367731273E-2</v>
      </c>
      <c r="AE7" s="120">
        <f t="shared" si="9"/>
        <v>1.2714111127250179E-2</v>
      </c>
      <c r="AF7" s="120">
        <f t="shared" si="10"/>
        <v>2.2407940628606324E-2</v>
      </c>
      <c r="AG7" s="120">
        <f t="shared" si="11"/>
        <v>1.3301496904156298E-2</v>
      </c>
      <c r="AH7" s="120">
        <f t="shared" si="12"/>
        <v>3.2636036925482052E-2</v>
      </c>
      <c r="AI7" s="120">
        <f t="shared" si="13"/>
        <v>3.0817374604639829E-2</v>
      </c>
      <c r="AJ7" s="120">
        <f t="shared" si="14"/>
        <v>3.9290271547429492E-2</v>
      </c>
      <c r="AK7" s="120">
        <f t="shared" si="15"/>
        <v>2.7013016895908539E-2</v>
      </c>
      <c r="AL7" s="120">
        <f t="shared" si="16"/>
        <v>4.2582542096440607E-2</v>
      </c>
      <c r="AM7" s="120">
        <f t="shared" si="17"/>
        <v>3.6216456037310329E-2</v>
      </c>
      <c r="AN7" s="120">
        <f t="shared" ref="AN7:AN13" si="19">+U7/U$5</f>
        <v>3.4974290894070822E-2</v>
      </c>
    </row>
    <row r="8" spans="1:40" x14ac:dyDescent="0.2">
      <c r="A8" s="117" t="s">
        <v>346</v>
      </c>
      <c r="B8" s="84" t="s">
        <v>254</v>
      </c>
      <c r="C8" s="85">
        <f>PL!K11+PL!K17+PL!K25</f>
        <v>237642.772567409</v>
      </c>
      <c r="D8" s="85">
        <f>PL!L11+PL!L17+PL!L25</f>
        <v>312177.76169802214</v>
      </c>
      <c r="E8" s="85">
        <f>PL!M11+PL!M17+PL!M25</f>
        <v>211027.07314062116</v>
      </c>
      <c r="F8" s="85">
        <f>PL!N11+PL!N17+PL!N25</f>
        <v>183614.31403931725</v>
      </c>
      <c r="G8" s="85">
        <f>PL!O11+PL!O17+PL!O25</f>
        <v>212488.57446295675</v>
      </c>
      <c r="H8" s="85">
        <f>PL!P11+PL!P17+PL!P25</f>
        <v>193598.80759165852</v>
      </c>
      <c r="I8" s="85">
        <f>PL!Q11+PL!Q17+PL!Q25</f>
        <v>243591.11745823751</v>
      </c>
      <c r="J8" s="85">
        <f>PL!R11+PL!R17+PL!R25</f>
        <v>213893.40920405326</v>
      </c>
      <c r="K8" s="85">
        <f>PL!S11+PL!S17+PL!S25</f>
        <v>195481.58042780642</v>
      </c>
      <c r="L8" s="85">
        <f>PL!T11+PL!T17+PL!T25</f>
        <v>252717.83099169502</v>
      </c>
      <c r="M8" s="85">
        <f>PL!U11+PL!U17+PL!U25</f>
        <v>205189.6326728866</v>
      </c>
      <c r="N8" s="241">
        <f>PL!V11+PL!V17+PL!V25</f>
        <v>242848.06898323243</v>
      </c>
      <c r="O8" s="241">
        <f>PL!W11+PL!W17+PL!W25</f>
        <v>281674.03089271591</v>
      </c>
      <c r="P8" s="241">
        <f>PL!X11+PL!X17+PL!X25</f>
        <v>277108.75195442728</v>
      </c>
      <c r="Q8" s="241">
        <f>PL!Y11+PL!Y17+PL!Y25</f>
        <v>295668.06335062982</v>
      </c>
      <c r="R8" s="241">
        <f>PL!Z11+PL!Z17+PL!Z25</f>
        <v>268999.68416628148</v>
      </c>
      <c r="S8" s="241">
        <f>PL!AA11+PL!AA17+PL!AA25</f>
        <v>277133.9293717487</v>
      </c>
      <c r="T8" s="241">
        <f>PL!AB11+PL!AB17+PL!AB25</f>
        <v>247627.60029884198</v>
      </c>
      <c r="U8" s="118">
        <f>PL!AC11+PL!AC17+PL!AC25</f>
        <v>247709.64817173002</v>
      </c>
      <c r="V8" s="119">
        <f t="shared" si="0"/>
        <v>0.19815725097779455</v>
      </c>
      <c r="W8" s="120">
        <f t="shared" si="1"/>
        <v>0.11851762249229576</v>
      </c>
      <c r="X8" s="120">
        <f t="shared" si="2"/>
        <v>0.15646430206406686</v>
      </c>
      <c r="Y8" s="120">
        <f t="shared" si="3"/>
        <v>0.17375464401174984</v>
      </c>
      <c r="Z8" s="120">
        <f t="shared" si="4"/>
        <v>0.14799514635586097</v>
      </c>
      <c r="AA8" s="120">
        <f t="shared" si="5"/>
        <v>0.16987612575123165</v>
      </c>
      <c r="AB8" s="120">
        <f t="shared" si="6"/>
        <v>0.21880679018766955</v>
      </c>
      <c r="AC8" s="120">
        <f t="shared" si="7"/>
        <v>0.18146666848081028</v>
      </c>
      <c r="AD8" s="120">
        <f t="shared" si="8"/>
        <v>0.17395064738639127</v>
      </c>
      <c r="AE8" s="120">
        <f t="shared" si="9"/>
        <v>0.11780265886427545</v>
      </c>
      <c r="AF8" s="120">
        <f t="shared" si="10"/>
        <v>0.12547613841656663</v>
      </c>
      <c r="AG8" s="120">
        <f t="shared" si="11"/>
        <v>0.15845182477970354</v>
      </c>
      <c r="AH8" s="120">
        <f t="shared" si="12"/>
        <v>0.16684715514485537</v>
      </c>
      <c r="AI8" s="120">
        <f t="shared" si="13"/>
        <v>0.15397162648345952</v>
      </c>
      <c r="AJ8" s="120">
        <f t="shared" si="14"/>
        <v>0.19703332723526576</v>
      </c>
      <c r="AK8" s="120">
        <f t="shared" si="15"/>
        <v>0.16601534208300678</v>
      </c>
      <c r="AL8" s="120">
        <f t="shared" si="16"/>
        <v>0.16666705313757371</v>
      </c>
      <c r="AM8" s="120">
        <f t="shared" si="17"/>
        <v>0.16955982522528754</v>
      </c>
      <c r="AN8" s="120">
        <f t="shared" si="19"/>
        <v>0.16447725976256178</v>
      </c>
    </row>
    <row r="9" spans="1:40" x14ac:dyDescent="0.2">
      <c r="A9" s="117" t="s">
        <v>369</v>
      </c>
      <c r="B9" s="84" t="s">
        <v>254</v>
      </c>
      <c r="C9" s="85">
        <f>PL!K13+PL!K18+PL!K19+PL!K24+PL!K26+PL!K14*0.5</f>
        <v>101825.00586166467</v>
      </c>
      <c r="D9" s="85">
        <f>PL!L13+PL!L18+PL!L19+PL!L24+PL!L26+PL!L14*0.5</f>
        <v>235731.30728412926</v>
      </c>
      <c r="E9" s="85">
        <f>PL!M13+PL!M18+PL!M19+PL!M24+PL!M26+PL!M14*0.5</f>
        <v>58415.082837603783</v>
      </c>
      <c r="F9" s="85">
        <f>PL!N13+PL!N18+PL!N19+PL!N24+PL!N26+PL!N14*0.5</f>
        <v>103914.76549007659</v>
      </c>
      <c r="G9" s="85">
        <f>PL!O13+PL!O18+PL!O19+PL!O24+PL!O26+PL!O14*0.5</f>
        <v>133267.74461158167</v>
      </c>
      <c r="H9" s="85">
        <f>PL!P13+PL!P18+PL!P19+PL!P24+PL!P26+PL!P14*0.5</f>
        <v>155650.25635916175</v>
      </c>
      <c r="I9" s="85">
        <f>PL!Q13+PL!Q18+PL!Q19+PL!Q24+PL!Q26+PL!Q14*0.5</f>
        <v>104763.04562858486</v>
      </c>
      <c r="J9" s="85">
        <f>PL!R13+PL!R18+PL!R19+PL!R24+PL!R26+PL!R14*0.5</f>
        <v>105631.32320665359</v>
      </c>
      <c r="K9" s="85">
        <f>PL!S13+PL!S18+PL!S19+PL!S24+PL!S26+PL!S14*0.5</f>
        <v>115920.244997298</v>
      </c>
      <c r="L9" s="85">
        <f>PL!T13+PL!T18+PL!T19+PL!T24+PL!T26+PL!T14*0.5</f>
        <v>573356.39815733244</v>
      </c>
      <c r="M9" s="85">
        <f>PL!U13+PL!U18+PL!U19+PL!U24+PL!U26+PL!U14*0.5</f>
        <v>264594.69773127075</v>
      </c>
      <c r="N9" s="241">
        <f>PL!V13+PL!V18+PL!V19+PL!V24+PL!V26+PL!V14*0.5</f>
        <v>160279.53371602227</v>
      </c>
      <c r="O9" s="241">
        <f>PL!W13+PL!W18+PL!W19+PL!W24+PL!W26+PL!W14*0.5</f>
        <v>186918.60140037385</v>
      </c>
      <c r="P9" s="241">
        <f>PL!X13+PL!X18+PL!X19+PL!X24+PL!X26+PL!X14*0.5</f>
        <v>189334.70262702374</v>
      </c>
      <c r="Q9" s="241">
        <f>PL!Y13+PL!Y18+PL!Y19+PL!Y24+PL!Y26+PL!Y14*0.5</f>
        <v>121706.79188946716</v>
      </c>
      <c r="R9" s="241">
        <f>PL!Z13+PL!Z18+PL!Z19+PL!Z24+PL!Z26+PL!Z14*0.5</f>
        <v>207605.79821084859</v>
      </c>
      <c r="S9" s="241">
        <f>PL!AA13+PL!AA18+PL!AA19+PL!AA24+PL!AA26+PL!AA14*0.5</f>
        <v>187314.06732693088</v>
      </c>
      <c r="T9" s="241">
        <f>PL!AB13+PL!AB18+PL!AB19+PL!AB24+PL!AB26+PL!AB14*0.5</f>
        <v>166221.89419125882</v>
      </c>
      <c r="U9" s="118">
        <f>PL!AC13+PL!AC18+PL!AC19+PL!AC24+PL!AC26+PL!AC14*0.5</f>
        <v>144444.40349281422</v>
      </c>
      <c r="V9" s="119">
        <f t="shared" si="0"/>
        <v>8.4906277705634151E-2</v>
      </c>
      <c r="W9" s="120">
        <f t="shared" si="1"/>
        <v>8.9494888855476115E-2</v>
      </c>
      <c r="X9" s="120">
        <f t="shared" si="2"/>
        <v>4.331138668691021E-2</v>
      </c>
      <c r="Y9" s="120">
        <f t="shared" si="3"/>
        <v>9.8334779506495731E-2</v>
      </c>
      <c r="Z9" s="120">
        <f t="shared" si="4"/>
        <v>9.281901117815089E-2</v>
      </c>
      <c r="AA9" s="120">
        <f t="shared" si="5"/>
        <v>0.13657761042749142</v>
      </c>
      <c r="AB9" s="120">
        <f t="shared" si="6"/>
        <v>9.410386545890792E-2</v>
      </c>
      <c r="AC9" s="120">
        <f t="shared" si="7"/>
        <v>8.9617367738733883E-2</v>
      </c>
      <c r="AD9" s="120">
        <f t="shared" si="8"/>
        <v>0.10315243829285498</v>
      </c>
      <c r="AE9" s="120">
        <f t="shared" si="9"/>
        <v>0.26726609639981264</v>
      </c>
      <c r="AF9" s="120">
        <f t="shared" si="10"/>
        <v>0.16180311102630857</v>
      </c>
      <c r="AG9" s="120">
        <f t="shared" si="11"/>
        <v>0.1045780792018456</v>
      </c>
      <c r="AH9" s="120">
        <f t="shared" si="12"/>
        <v>0.11071960304067224</v>
      </c>
      <c r="AI9" s="120">
        <f t="shared" si="13"/>
        <v>0.10520119594793342</v>
      </c>
      <c r="AJ9" s="120">
        <f t="shared" si="14"/>
        <v>8.1105459552707176E-2</v>
      </c>
      <c r="AK9" s="120">
        <f t="shared" si="15"/>
        <v>0.12812560622593441</v>
      </c>
      <c r="AL9" s="120">
        <f t="shared" si="16"/>
        <v>0.11264980684019829</v>
      </c>
      <c r="AM9" s="120">
        <f t="shared" si="17"/>
        <v>0.11381831142276706</v>
      </c>
      <c r="AN9" s="120">
        <f t="shared" si="19"/>
        <v>9.5909948804518391E-2</v>
      </c>
    </row>
    <row r="10" spans="1:40" x14ac:dyDescent="0.2">
      <c r="A10" s="117" t="s">
        <v>370</v>
      </c>
      <c r="B10" s="84" t="s">
        <v>254</v>
      </c>
      <c r="C10" s="85">
        <f>PL!K14*0.5+PL!K20+PL!K21+PL!K22+PL!K23+PL!K27</f>
        <v>160090.79914028908</v>
      </c>
      <c r="D10" s="85">
        <f>PL!L14*0.5+PL!L20+PL!L21+PL!L22+PL!L23+PL!L27</f>
        <v>324418.95803183789</v>
      </c>
      <c r="E10" s="85">
        <f>PL!M14*0.5+PL!M20+PL!M21+PL!M22+PL!M23+PL!M27</f>
        <v>121497.36963650279</v>
      </c>
      <c r="F10" s="85">
        <f>PL!N14*0.5+PL!N20+PL!N21+PL!N22+PL!N23+PL!N27</f>
        <v>157912.24305033693</v>
      </c>
      <c r="G10" s="85">
        <f>PL!O14*0.5+PL!O20+PL!O21+PL!O22+PL!O23+PL!O27</f>
        <v>187802.30843957062</v>
      </c>
      <c r="H10" s="85">
        <f>PL!P14*0.5+PL!P20+PL!P21+PL!P22+PL!P23+PL!P27</f>
        <v>208162.61795169517</v>
      </c>
      <c r="I10" s="85">
        <f>PL!Q14*0.5+PL!Q20+PL!Q21+PL!Q22+PL!Q23+PL!Q27</f>
        <v>159337.62132832478</v>
      </c>
      <c r="J10" s="85">
        <f>PL!R14*0.5+PL!R20+PL!R21+PL!R22+PL!R23+PL!R27</f>
        <v>133632.21902666651</v>
      </c>
      <c r="K10" s="85">
        <f>PL!S14*0.5+PL!S20+PL!S21+PL!S22+PL!S23+PL!S27</f>
        <v>194086.20760048504</v>
      </c>
      <c r="L10" s="85">
        <f>PL!T14*0.5+PL!T20+PL!T21+PL!T22+PL!T23+PL!T27</f>
        <v>647772.04279129871</v>
      </c>
      <c r="M10" s="85">
        <f>PL!U14*0.5+PL!U20+PL!U21+PL!U22+PL!U23+PL!U27</f>
        <v>345336.17872398492</v>
      </c>
      <c r="N10" s="241">
        <f>PL!V14*0.5+PL!V20+PL!V21+PL!V22+PL!V23+PL!V27</f>
        <v>238453.18595796725</v>
      </c>
      <c r="O10" s="241">
        <f>PL!W14*0.5+PL!W20+PL!W21+PL!W22+PL!W23+PL!W27</f>
        <v>286165.15351793088</v>
      </c>
      <c r="P10" s="241">
        <f>PL!X14*0.5+PL!X20+PL!X21+PL!X22+PL!X23+PL!X27</f>
        <v>294766.82031270419</v>
      </c>
      <c r="Q10" s="241">
        <f>PL!Y14*0.5+PL!Y20+PL!Y21+PL!Y22+PL!Y23+PL!Y27</f>
        <v>174531.92701788578</v>
      </c>
      <c r="R10" s="241">
        <f>PL!Z14*0.5+PL!Z20+PL!Z21+PL!Z22+PL!Z23+PL!Z27</f>
        <v>250781.14424855204</v>
      </c>
      <c r="S10" s="241">
        <f>PL!AA14*0.5+PL!AA20+PL!AA21+PL!AA22+PL!AA23+PL!AA27</f>
        <v>252682.52030812335</v>
      </c>
      <c r="T10" s="241">
        <f>PL!AB14*0.5+PL!AB20+PL!AB21+PL!AB22+PL!AB23+PL!AB27</f>
        <v>214816.39288382512</v>
      </c>
      <c r="U10" s="118">
        <f>PL!AC14*0.5+PL!AC20+PL!AC21+PL!AC22+PL!AC23+PL!AC27</f>
        <v>206548.42877933415</v>
      </c>
      <c r="V10" s="119">
        <f t="shared" si="0"/>
        <v>0.1334909213596196</v>
      </c>
      <c r="W10" s="120">
        <f t="shared" si="1"/>
        <v>0.12316496661461235</v>
      </c>
      <c r="X10" s="120">
        <f t="shared" si="2"/>
        <v>9.0083233681243116E-2</v>
      </c>
      <c r="Y10" s="120">
        <f t="shared" si="3"/>
        <v>0.14943271563475671</v>
      </c>
      <c r="Z10" s="120">
        <f t="shared" si="4"/>
        <v>0.13080152753496924</v>
      </c>
      <c r="AA10" s="120">
        <f t="shared" si="5"/>
        <v>0.18265535570060698</v>
      </c>
      <c r="AB10" s="120">
        <f t="shared" si="6"/>
        <v>0.14312571756630815</v>
      </c>
      <c r="AC10" s="120">
        <f t="shared" si="7"/>
        <v>0.11337326231185056</v>
      </c>
      <c r="AD10" s="120">
        <f t="shared" si="8"/>
        <v>0.17270896514642403</v>
      </c>
      <c r="AE10" s="120">
        <f t="shared" si="9"/>
        <v>0.30195443146734641</v>
      </c>
      <c r="AF10" s="120">
        <f t="shared" si="10"/>
        <v>0.21117758045260476</v>
      </c>
      <c r="AG10" s="120">
        <f t="shared" si="11"/>
        <v>0.15558428196595073</v>
      </c>
      <c r="AH10" s="120">
        <f t="shared" si="12"/>
        <v>0.16950743245564948</v>
      </c>
      <c r="AI10" s="120">
        <f t="shared" si="13"/>
        <v>0.16378308673689512</v>
      </c>
      <c r="AJ10" s="120">
        <f t="shared" si="14"/>
        <v>0.1163081527961155</v>
      </c>
      <c r="AK10" s="120">
        <f t="shared" si="15"/>
        <v>0.15477162205385928</v>
      </c>
      <c r="AL10" s="120">
        <f t="shared" si="16"/>
        <v>0.15196208971813888</v>
      </c>
      <c r="AM10" s="120">
        <f t="shared" si="17"/>
        <v>0.14709277152042258</v>
      </c>
      <c r="AN10" s="120">
        <f t="shared" si="19"/>
        <v>0.13714653355098771</v>
      </c>
    </row>
    <row r="11" spans="1:40" x14ac:dyDescent="0.2">
      <c r="A11" s="121" t="s">
        <v>69</v>
      </c>
      <c r="B11" s="122" t="s">
        <v>254</v>
      </c>
      <c r="C11" s="123">
        <f>PL!K42</f>
        <v>62810.758108639857</v>
      </c>
      <c r="D11" s="123">
        <f>PL!L42</f>
        <v>317126.86927158711</v>
      </c>
      <c r="E11" s="123">
        <f>PL!M42</f>
        <v>64077.478323002346</v>
      </c>
      <c r="F11" s="123">
        <f>PL!N42</f>
        <v>17578.194261997705</v>
      </c>
      <c r="G11" s="123">
        <f>PL!O42</f>
        <v>84862.009942757897</v>
      </c>
      <c r="H11" s="123">
        <f>PL!P42</f>
        <v>33912.800304008881</v>
      </c>
      <c r="I11" s="123">
        <f>PL!Q28</f>
        <v>52756.042279608366</v>
      </c>
      <c r="J11" s="123">
        <f>PL!R28</f>
        <v>74617.272617318114</v>
      </c>
      <c r="K11" s="123">
        <f>PL!S28</f>
        <v>64991.964004110232</v>
      </c>
      <c r="L11" s="123">
        <f>PL!T28</f>
        <v>140153.65215431669</v>
      </c>
      <c r="M11" s="123">
        <f>PL!U28</f>
        <v>90232.819437355851</v>
      </c>
      <c r="N11" s="242">
        <f>PL!V28</f>
        <v>78214.046966491354</v>
      </c>
      <c r="O11" s="242">
        <f>PL!W28</f>
        <v>95068.072975609321</v>
      </c>
      <c r="P11" s="242">
        <f>PL!X28</f>
        <v>150554.6767849637</v>
      </c>
      <c r="Q11" s="242">
        <f>PL!Y28</f>
        <v>107873.72514254945</v>
      </c>
      <c r="R11" s="242">
        <f>PL!Z28</f>
        <v>105959.12816116503</v>
      </c>
      <c r="S11" s="242">
        <f>PL!AA28</f>
        <v>106881.14265706282</v>
      </c>
      <c r="T11" s="242">
        <f>PL!AB28</f>
        <v>115888.07452372058</v>
      </c>
      <c r="U11" s="124">
        <f>PL!AC28</f>
        <v>97483.280152810621</v>
      </c>
      <c r="V11" s="125">
        <f t="shared" si="0"/>
        <v>5.2374440106773217E-2</v>
      </c>
      <c r="W11" s="126">
        <f t="shared" si="1"/>
        <v>0.12039654064420732</v>
      </c>
      <c r="X11" s="126">
        <f t="shared" si="2"/>
        <v>4.7509723632251977E-2</v>
      </c>
      <c r="Y11" s="126">
        <f t="shared" si="3"/>
        <v>1.6634285308000447E-2</v>
      </c>
      <c r="Z11" s="126">
        <f t="shared" si="4"/>
        <v>5.910513359729104E-2</v>
      </c>
      <c r="AA11" s="126">
        <f t="shared" si="5"/>
        <v>2.9757286218267179E-2</v>
      </c>
      <c r="AB11" s="126">
        <f t="shared" si="6"/>
        <v>4.7388346482646872E-2</v>
      </c>
      <c r="AC11" s="126">
        <f t="shared" si="7"/>
        <v>6.3305119701334484E-2</v>
      </c>
      <c r="AD11" s="126">
        <f t="shared" si="8"/>
        <v>5.7833552341281708E-2</v>
      </c>
      <c r="AE11" s="126">
        <f t="shared" si="9"/>
        <v>6.533164996125608E-2</v>
      </c>
      <c r="AF11" s="126">
        <f t="shared" si="10"/>
        <v>5.5178546761611338E-2</v>
      </c>
      <c r="AG11" s="126">
        <f t="shared" si="11"/>
        <v>5.1032559233986259E-2</v>
      </c>
      <c r="AH11" s="126">
        <f t="shared" si="12"/>
        <v>5.6312743744294208E-2</v>
      </c>
      <c r="AI11" s="126">
        <f t="shared" si="13"/>
        <v>8.3653613593138068E-2</v>
      </c>
      <c r="AJ11" s="126">
        <f t="shared" si="14"/>
        <v>7.1887097798903288E-2</v>
      </c>
      <c r="AK11" s="126">
        <f t="shared" si="15"/>
        <v>6.5393537405119162E-2</v>
      </c>
      <c r="AL11" s="126">
        <f t="shared" si="16"/>
        <v>6.4277820918614725E-2</v>
      </c>
      <c r="AM11" s="126">
        <f t="shared" si="17"/>
        <v>7.9352873582036854E-2</v>
      </c>
      <c r="AN11" s="126">
        <f t="shared" si="19"/>
        <v>6.4728131950212334E-2</v>
      </c>
    </row>
    <row r="12" spans="1:40" x14ac:dyDescent="0.2">
      <c r="A12" s="112" t="s">
        <v>311</v>
      </c>
      <c r="B12" s="79" t="s">
        <v>254</v>
      </c>
      <c r="C12" s="92">
        <f>+PL!K34</f>
        <v>58883.059788980099</v>
      </c>
      <c r="D12" s="92">
        <f>+PL!L34</f>
        <v>314966.71490593342</v>
      </c>
      <c r="E12" s="92">
        <f>+PL!M34</f>
        <v>68028.075798494639</v>
      </c>
      <c r="F12" s="92">
        <f>+PL!N34</f>
        <v>19453.835466321518</v>
      </c>
      <c r="G12" s="92">
        <f>+PL!O34</f>
        <v>87797.712712291919</v>
      </c>
      <c r="H12" s="92">
        <f>+PL!P34</f>
        <v>29917.541731271191</v>
      </c>
      <c r="I12" s="92">
        <f>+PL!Q34</f>
        <v>55424.127092153809</v>
      </c>
      <c r="J12" s="92">
        <f>+PL!R34</f>
        <v>75947.549212629761</v>
      </c>
      <c r="K12" s="92">
        <f>+PL!S34</f>
        <v>58798.701840306894</v>
      </c>
      <c r="L12" s="92">
        <f>+PL!T34</f>
        <v>140109.35791278037</v>
      </c>
      <c r="M12" s="92">
        <f>+PL!U34</f>
        <v>102145.02910872283</v>
      </c>
      <c r="N12" s="243">
        <f>+PL!V34</f>
        <v>94067.627221694536</v>
      </c>
      <c r="O12" s="243">
        <f>+PL!W34</f>
        <v>103689.56079046405</v>
      </c>
      <c r="P12" s="243">
        <f>+PL!X34</f>
        <v>162205.33261365557</v>
      </c>
      <c r="Q12" s="243">
        <f>+PL!Y34</f>
        <v>118607.21027551361</v>
      </c>
      <c r="R12" s="243">
        <f>+PL!Z34</f>
        <v>118199.33137788069</v>
      </c>
      <c r="S12" s="243">
        <f>+PL!AA34</f>
        <v>118898.34433773509</v>
      </c>
      <c r="T12" s="243">
        <f>+PL!AB34</f>
        <v>131514.98001494209</v>
      </c>
      <c r="U12" s="127">
        <f>+PL!AC34</f>
        <v>116369.58450063672</v>
      </c>
      <c r="V12" s="128">
        <f t="shared" si="0"/>
        <v>4.9099348281823607E-2</v>
      </c>
      <c r="W12" s="129">
        <f t="shared" si="1"/>
        <v>0.11957644263901604</v>
      </c>
      <c r="X12" s="129">
        <f t="shared" si="2"/>
        <v>5.0438861906027248E-2</v>
      </c>
      <c r="Y12" s="129">
        <f t="shared" si="3"/>
        <v>1.8409208856070173E-2</v>
      </c>
      <c r="Z12" s="129">
        <f t="shared" si="4"/>
        <v>6.1149807115067567E-2</v>
      </c>
      <c r="AA12" s="129">
        <f t="shared" si="5"/>
        <v>2.6251587726866366E-2</v>
      </c>
      <c r="AB12" s="129">
        <f t="shared" si="6"/>
        <v>4.9784965373652318E-2</v>
      </c>
      <c r="AC12" s="129">
        <f t="shared" si="7"/>
        <v>6.4433723255822237E-2</v>
      </c>
      <c r="AD12" s="129">
        <f t="shared" si="8"/>
        <v>5.2322434820799513E-2</v>
      </c>
      <c r="AE12" s="129">
        <f t="shared" si="9"/>
        <v>6.5311002508700478E-2</v>
      </c>
      <c r="AF12" s="129">
        <f t="shared" si="10"/>
        <v>6.2463018448124151E-2</v>
      </c>
      <c r="AG12" s="129">
        <f t="shared" si="11"/>
        <v>6.1376593391827827E-2</v>
      </c>
      <c r="AH12" s="129">
        <f t="shared" si="12"/>
        <v>6.1419606845821775E-2</v>
      </c>
      <c r="AI12" s="129">
        <f t="shared" si="13"/>
        <v>9.0127138571655177E-2</v>
      </c>
      <c r="AJ12" s="129">
        <f t="shared" si="14"/>
        <v>7.9039897004241216E-2</v>
      </c>
      <c r="AK12" s="129">
        <f t="shared" si="15"/>
        <v>7.2947678334639568E-2</v>
      </c>
      <c r="AL12" s="129">
        <f t="shared" si="16"/>
        <v>7.1504909985687717E-2</v>
      </c>
      <c r="AM12" s="129">
        <f t="shared" si="17"/>
        <v>9.0053196812185266E-2</v>
      </c>
      <c r="AN12" s="129">
        <f t="shared" si="19"/>
        <v>7.7268489619359865E-2</v>
      </c>
    </row>
    <row r="13" spans="1:40" x14ac:dyDescent="0.2">
      <c r="A13" s="112" t="s">
        <v>312</v>
      </c>
      <c r="B13" s="79" t="s">
        <v>254</v>
      </c>
      <c r="C13" s="92">
        <f>PL!K38</f>
        <v>38326.320828448603</v>
      </c>
      <c r="D13" s="92">
        <f>PL!L38</f>
        <v>188081.52436082973</v>
      </c>
      <c r="E13" s="92">
        <f>PL!M38</f>
        <v>37626.65341626251</v>
      </c>
      <c r="F13" s="92">
        <f>PL!N38</f>
        <v>-66559.98295911937</v>
      </c>
      <c r="G13" s="92">
        <f>PL!O38</f>
        <v>48925.206147699799</v>
      </c>
      <c r="H13" s="92">
        <f>PL!P38</f>
        <v>9784.896796626912</v>
      </c>
      <c r="I13" s="92">
        <f>PL!Q38</f>
        <v>29490.480118135019</v>
      </c>
      <c r="J13" s="92">
        <f>PL!R38</f>
        <v>40646.889696761682</v>
      </c>
      <c r="K13" s="92">
        <f>PL!S38</f>
        <v>35017.523582025831</v>
      </c>
      <c r="L13" s="92">
        <f>PL!T38</f>
        <v>71632.75866834895</v>
      </c>
      <c r="M13" s="92">
        <f>PL!U38</f>
        <v>56732.43026997034</v>
      </c>
      <c r="N13" s="243">
        <f>PL!V38</f>
        <v>45780.98743647369</v>
      </c>
      <c r="O13" s="243">
        <f>PL!W38</f>
        <v>63365.397796625366</v>
      </c>
      <c r="P13" s="243">
        <f>PL!X38</f>
        <v>90907.121801878064</v>
      </c>
      <c r="Q13" s="243">
        <f>PL!Y38</f>
        <v>76839.41727238649</v>
      </c>
      <c r="R13" s="243">
        <f>PL!Z38</f>
        <v>82418.284699908851</v>
      </c>
      <c r="S13" s="243">
        <f>PL!AA38</f>
        <v>73017.917567026816</v>
      </c>
      <c r="T13" s="243">
        <f>PL!AB38</f>
        <v>85285.503548748602</v>
      </c>
      <c r="U13" s="127">
        <f>PL!AC38</f>
        <v>91139.5346552665</v>
      </c>
      <c r="V13" s="128">
        <f t="shared" si="0"/>
        <v>3.1958213133976517E-2</v>
      </c>
      <c r="W13" s="129">
        <f t="shared" si="1"/>
        <v>7.1404750231808631E-2</v>
      </c>
      <c r="X13" s="129">
        <f t="shared" si="2"/>
        <v>2.7897975260543963E-2</v>
      </c>
      <c r="Y13" s="129">
        <f t="shared" si="3"/>
        <v>-6.2985863629419936E-2</v>
      </c>
      <c r="Z13" s="129">
        <f t="shared" si="4"/>
        <v>3.4075681775453649E-2</v>
      </c>
      <c r="AA13" s="129">
        <f t="shared" si="5"/>
        <v>8.5859018418780603E-3</v>
      </c>
      <c r="AB13" s="129">
        <f t="shared" si="6"/>
        <v>2.648995317675611E-2</v>
      </c>
      <c r="AC13" s="129">
        <f t="shared" si="7"/>
        <v>3.4484726223338626E-2</v>
      </c>
      <c r="AD13" s="129">
        <f t="shared" si="8"/>
        <v>3.1160587527637725E-2</v>
      </c>
      <c r="AE13" s="129">
        <f t="shared" si="9"/>
        <v>3.3391112134037719E-2</v>
      </c>
      <c r="AF13" s="129">
        <f t="shared" si="10"/>
        <v>3.4692621554673939E-2</v>
      </c>
      <c r="AG13" s="129">
        <f t="shared" si="11"/>
        <v>2.9870861357463786E-2</v>
      </c>
      <c r="AH13" s="129">
        <f t="shared" si="12"/>
        <v>3.7533940645795009E-2</v>
      </c>
      <c r="AI13" s="129">
        <f t="shared" si="13"/>
        <v>5.0511278709331656E-2</v>
      </c>
      <c r="AJ13" s="129">
        <f t="shared" si="14"/>
        <v>5.1205821408053027E-2</v>
      </c>
      <c r="AK13" s="129">
        <f t="shared" si="15"/>
        <v>5.0865114473116202E-2</v>
      </c>
      <c r="AL13" s="129">
        <f t="shared" si="16"/>
        <v>4.3912635218382692E-2</v>
      </c>
      <c r="AM13" s="129">
        <f t="shared" si="17"/>
        <v>5.8398155369290952E-2</v>
      </c>
      <c r="AN13" s="129">
        <f t="shared" si="19"/>
        <v>6.0515934792095244E-2</v>
      </c>
    </row>
    <row r="14" spans="1:40" x14ac:dyDescent="0.2">
      <c r="A14" s="112" t="s">
        <v>317</v>
      </c>
      <c r="B14" s="79" t="s">
        <v>318</v>
      </c>
      <c r="C14" s="102">
        <f>PL!K5</f>
        <v>44.330988667448203</v>
      </c>
      <c r="D14" s="102">
        <f>PL!L5</f>
        <v>54.422334780511335</v>
      </c>
      <c r="E14" s="102">
        <f>PL!M5</f>
        <v>43.407483229999812</v>
      </c>
      <c r="F14" s="102">
        <f>PL!N5</f>
        <v>39.506979629464183</v>
      </c>
      <c r="G14" s="102">
        <f>PL!O5</f>
        <v>49.648616716943572</v>
      </c>
      <c r="H14" s="102">
        <f>PL!P5</f>
        <v>40.416491332096975</v>
      </c>
      <c r="I14" s="102">
        <f>PL!Q5</f>
        <v>44.346558655475739</v>
      </c>
      <c r="J14" s="102">
        <f>PL!R5</f>
        <v>38.738654818750213</v>
      </c>
      <c r="K14" s="102">
        <f>PL!S5</f>
        <v>41.406447223094183</v>
      </c>
      <c r="L14" s="102">
        <f>PL!T5</f>
        <v>57.010429946302693</v>
      </c>
      <c r="M14" s="102">
        <f>PL!U5</f>
        <v>49.672331974328955</v>
      </c>
      <c r="N14" s="247">
        <f>PL!V5</f>
        <v>50.785976675603671</v>
      </c>
      <c r="O14" s="247">
        <f>PL!W5</f>
        <v>56.625834204602057</v>
      </c>
      <c r="P14" s="247">
        <f>PL!X5</f>
        <v>60.417782884031745</v>
      </c>
      <c r="Q14" s="247">
        <f>PL!Y5</f>
        <v>53.984947156673428</v>
      </c>
      <c r="R14" s="247">
        <f>PL!Z5</f>
        <v>48.910387242720894</v>
      </c>
      <c r="S14" s="247">
        <f>PL!AA5</f>
        <v>51.941376550620248</v>
      </c>
      <c r="T14" s="247">
        <f>PL!AB5</f>
        <v>49.512327231976094</v>
      </c>
      <c r="U14" s="144">
        <f>PL!AC5</f>
        <v>47.812806985628526</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215248.92536146901</v>
      </c>
      <c r="D16" s="82">
        <f>BS!L10</f>
        <v>291825.37385431741</v>
      </c>
      <c r="E16" s="82">
        <f>BS!M10</f>
        <v>183715.06828733181</v>
      </c>
      <c r="F16" s="82">
        <f>BS!N10</f>
        <v>154019.4096196577</v>
      </c>
      <c r="G16" s="82">
        <f>BS!O10</f>
        <v>272716.40280718345</v>
      </c>
      <c r="H16" s="82">
        <f>BS!P10</f>
        <v>210674.64001585689</v>
      </c>
      <c r="I16" s="82">
        <f>BS!Q10</f>
        <v>220421.82219389101</v>
      </c>
      <c r="J16" s="82">
        <f>BS!R10</f>
        <v>283814.80470713781</v>
      </c>
      <c r="K16" s="82">
        <f>BS!S10</f>
        <v>304139.68821421085</v>
      </c>
      <c r="L16" s="82">
        <f>BS!T10</f>
        <v>110015.69115241116</v>
      </c>
      <c r="M16" s="82">
        <f>BS!U10</f>
        <v>235262.45004558071</v>
      </c>
      <c r="N16" s="240">
        <f>BS!V10</f>
        <v>367684.18291478034</v>
      </c>
      <c r="O16" s="240">
        <f>BS!W10</f>
        <v>558689.18839811825</v>
      </c>
      <c r="P16" s="240">
        <f>BS!X10</f>
        <v>700069.18009343592</v>
      </c>
      <c r="Q16" s="240">
        <f>BS!Y10</f>
        <v>502412.95892042661</v>
      </c>
      <c r="R16" s="240">
        <f>BS!Z10</f>
        <v>414297.02121600474</v>
      </c>
      <c r="S16" s="240">
        <f>BS!AA10</f>
        <v>356213.89535814332</v>
      </c>
      <c r="T16" s="240">
        <f>BS!AB10</f>
        <v>473626.48991408292</v>
      </c>
      <c r="U16" s="114">
        <f>BS!AC10</f>
        <v>449673.18100782239</v>
      </c>
      <c r="V16" s="115">
        <f t="shared" ref="V16:V25" si="20">+C16/C$25</f>
        <v>0.16815929556647077</v>
      </c>
      <c r="W16" s="116">
        <f t="shared" ref="W16:W25" si="21">+D16/D$25</f>
        <v>0.12694058120544804</v>
      </c>
      <c r="X16" s="116">
        <f t="shared" ref="X16:X25" si="22">+E16/E$25</f>
        <v>0.14767913450302197</v>
      </c>
      <c r="Y16" s="116">
        <f t="shared" ref="Y16:Y25" si="23">+F16/F$25</f>
        <v>0.14363426213858801</v>
      </c>
      <c r="Z16" s="116">
        <f t="shared" ref="Z16:Z25" si="24">+G16/G$25</f>
        <v>0.18124309905812569</v>
      </c>
      <c r="AA16" s="116">
        <f t="shared" ref="AA16:AA25" si="25">+H16/H$25</f>
        <v>0.17777825583089787</v>
      </c>
      <c r="AB16" s="116">
        <f t="shared" ref="AB16:AB25" si="26">+I16/I$25</f>
        <v>0.17633040082899362</v>
      </c>
      <c r="AC16" s="116">
        <f t="shared" ref="AC16:AC25" si="27">+J16/J$25</f>
        <v>0.2199214855945992</v>
      </c>
      <c r="AD16" s="116">
        <f t="shared" ref="AD16:AD25" si="28">+K16/K$25</f>
        <v>0.21706540208180949</v>
      </c>
      <c r="AE16" s="116">
        <f t="shared" ref="AE16:AE25" si="29">+L16/L$25</f>
        <v>6.4528323307590119E-2</v>
      </c>
      <c r="AF16" s="116">
        <f t="shared" ref="AF16:AF25" si="30">+M16/M$25</f>
        <v>0.13963466764252541</v>
      </c>
      <c r="AG16" s="116">
        <f t="shared" ref="AG16:AG25" si="31">+N16/N$25</f>
        <v>0.19795338705819124</v>
      </c>
      <c r="AH16" s="116">
        <f t="shared" ref="AH16:AH25" si="32">+O16/O$25</f>
        <v>0.2592938350579399</v>
      </c>
      <c r="AI16" s="116">
        <f t="shared" ref="AI16:AI25" si="33">+P16/P$25</f>
        <v>0.31848182340418379</v>
      </c>
      <c r="AJ16" s="116">
        <f t="shared" ref="AJ16:AJ25" si="34">+Q16/Q$25</f>
        <v>0.27724473109000569</v>
      </c>
      <c r="AK16" s="116">
        <f t="shared" ref="AK16:AK25" si="35">+R16/R$25</f>
        <v>0.21954155746941942</v>
      </c>
      <c r="AL16" s="116">
        <f t="shared" ref="AL16:AL25" si="36">+S16/S$25</f>
        <v>0.1713260494779941</v>
      </c>
      <c r="AM16" s="116">
        <f t="shared" ref="AM16:AM25" si="37">+T16/T$25</f>
        <v>0.23770699049777455</v>
      </c>
      <c r="AN16" s="116">
        <f t="shared" ref="AN16" si="38">+U16/U$25</f>
        <v>0.2539129092755294</v>
      </c>
    </row>
    <row r="17" spans="1:40" x14ac:dyDescent="0.2">
      <c r="A17" s="131" t="s">
        <v>373</v>
      </c>
      <c r="B17" s="84" t="s">
        <v>254</v>
      </c>
      <c r="C17" s="85">
        <f>BS!K11+BS!K12+BS!K14</f>
        <v>360958.18679171544</v>
      </c>
      <c r="D17" s="85">
        <f>BS!L11+BS!L12+BS!L14</f>
        <v>910843.46357935353</v>
      </c>
      <c r="E17" s="85">
        <f>BS!M11+BS!M12+BS!M14</f>
        <v>459306.87080970412</v>
      </c>
      <c r="F17" s="85">
        <f>BS!N11+BS!N12+BS!N14</f>
        <v>293588.12761145254</v>
      </c>
      <c r="G17" s="85">
        <f>BS!O11+BS!O12+BS!O14</f>
        <v>409504.19464300305</v>
      </c>
      <c r="H17" s="85">
        <f>BS!P11+BS!P12+BS!P14</f>
        <v>380361.54531395115</v>
      </c>
      <c r="I17" s="85">
        <f>BS!Q11+BS!Q12+BS!Q14</f>
        <v>339604.9841558609</v>
      </c>
      <c r="J17" s="85">
        <f>BS!R11+BS!R12+BS!R14</f>
        <v>331390.29869185336</v>
      </c>
      <c r="K17" s="85">
        <f>BS!S11+BS!S12+BS!S14</f>
        <v>394048.08346118813</v>
      </c>
      <c r="L17" s="85">
        <f>BS!T11+BS!T12+BS!T14</f>
        <v>645072.24609316082</v>
      </c>
      <c r="M17" s="85">
        <f>BS!U11+BS!U12+BS!U14</f>
        <v>507313.56088446907</v>
      </c>
      <c r="N17" s="241">
        <f>BS!V11+BS!V12+BS!V14</f>
        <v>482028.27757753362</v>
      </c>
      <c r="O17" s="241">
        <f>BS!W11+BS!W12+BS!W14</f>
        <v>717664.62714707572</v>
      </c>
      <c r="P17" s="241">
        <f>BS!X11+BS!X12+BS!X14</f>
        <v>476757.24202823418</v>
      </c>
      <c r="Q17" s="241">
        <f>BS!Y11+BS!Y12+BS!Y14</f>
        <v>384632.75676780695</v>
      </c>
      <c r="R17" s="241">
        <f>BS!Z11+BS!Z12+BS!Z14</f>
        <v>401981.43497245054</v>
      </c>
      <c r="S17" s="241">
        <f>BS!AA11+BS!AA12+BS!AA14</f>
        <v>540950.43357342924</v>
      </c>
      <c r="T17" s="241">
        <f>BS!AB11+BS!AB12+BS!AB14</f>
        <v>392482.79137093772</v>
      </c>
      <c r="U17" s="118">
        <f>BS!AC11+BS!AC12+BS!AC14</f>
        <v>420032.65362925222</v>
      </c>
      <c r="V17" s="119">
        <f t="shared" si="20"/>
        <v>0.28199199748809001</v>
      </c>
      <c r="W17" s="120">
        <f t="shared" si="21"/>
        <v>0.39620611849765619</v>
      </c>
      <c r="X17" s="120">
        <f t="shared" si="22"/>
        <v>0.36921327022768602</v>
      </c>
      <c r="Y17" s="120">
        <f t="shared" si="23"/>
        <v>0.27379220700985257</v>
      </c>
      <c r="Z17" s="120">
        <f t="shared" si="24"/>
        <v>0.27215014773744595</v>
      </c>
      <c r="AA17" s="120">
        <f t="shared" si="25"/>
        <v>0.32096892205900862</v>
      </c>
      <c r="AB17" s="120">
        <f t="shared" si="26"/>
        <v>0.27167311468395361</v>
      </c>
      <c r="AC17" s="120">
        <f t="shared" si="27"/>
        <v>0.25678662843241545</v>
      </c>
      <c r="AD17" s="120">
        <f t="shared" si="28"/>
        <v>0.28123329177554102</v>
      </c>
      <c r="AE17" s="120">
        <f t="shared" si="29"/>
        <v>0.37835903239463065</v>
      </c>
      <c r="AF17" s="120">
        <f t="shared" si="30"/>
        <v>0.30110440680577955</v>
      </c>
      <c r="AG17" s="120">
        <f t="shared" si="31"/>
        <v>0.25951382909069665</v>
      </c>
      <c r="AH17" s="120">
        <f t="shared" si="32"/>
        <v>0.33307609547974304</v>
      </c>
      <c r="AI17" s="120">
        <f t="shared" si="33"/>
        <v>0.21689073034473022</v>
      </c>
      <c r="AJ17" s="120">
        <f t="shared" si="34"/>
        <v>0.2122505069288782</v>
      </c>
      <c r="AK17" s="120">
        <f t="shared" si="35"/>
        <v>0.21301536286361955</v>
      </c>
      <c r="AL17" s="120">
        <f t="shared" si="36"/>
        <v>0.26017766840443662</v>
      </c>
      <c r="AM17" s="120">
        <f t="shared" si="37"/>
        <v>0.19698202095046594</v>
      </c>
      <c r="AN17" s="120">
        <f t="shared" ref="AN17:AN25" si="39">+U17/U$25</f>
        <v>0.23717605936536587</v>
      </c>
    </row>
    <row r="18" spans="1:40" x14ac:dyDescent="0.2">
      <c r="A18" s="131" t="s">
        <v>374</v>
      </c>
      <c r="B18" s="84" t="s">
        <v>254</v>
      </c>
      <c r="C18" s="85">
        <f>BS!K13</f>
        <v>146817.506838609</v>
      </c>
      <c r="D18" s="85">
        <f>BS!L13</f>
        <v>249029.66714905933</v>
      </c>
      <c r="E18" s="85">
        <f>BS!M13</f>
        <v>87394.217100967275</v>
      </c>
      <c r="F18" s="85">
        <f>BS!N13</f>
        <v>133302.85016852024</v>
      </c>
      <c r="G18" s="85">
        <f>BS!O13</f>
        <v>202751.41413407659</v>
      </c>
      <c r="H18" s="85">
        <f>BS!P13</f>
        <v>143930.44826369695</v>
      </c>
      <c r="I18" s="85">
        <f>BS!Q13</f>
        <v>154020.80199351933</v>
      </c>
      <c r="J18" s="85">
        <f>BS!R13</f>
        <v>177794.22112354735</v>
      </c>
      <c r="K18" s="85">
        <f>BS!S13</f>
        <v>188219.73659023334</v>
      </c>
      <c r="L18" s="85">
        <f>BS!T13</f>
        <v>348653.12312717707</v>
      </c>
      <c r="M18" s="85">
        <f>BS!U13</f>
        <v>264669.31826332217</v>
      </c>
      <c r="N18" s="241">
        <f>BS!V13</f>
        <v>240576.03920827073</v>
      </c>
      <c r="O18" s="241">
        <f>BS!W13</f>
        <v>136762.73058497193</v>
      </c>
      <c r="P18" s="241">
        <f>BS!X13</f>
        <v>224694.03187425592</v>
      </c>
      <c r="Q18" s="241">
        <f>BS!Y13</f>
        <v>160832.46273875737</v>
      </c>
      <c r="R18" s="241">
        <f>BS!Z13</f>
        <v>232886.52594646084</v>
      </c>
      <c r="S18" s="241">
        <f>BS!AA13</f>
        <v>292273.57242897159</v>
      </c>
      <c r="T18" s="241">
        <f>BS!AB13</f>
        <v>259266.44378035114</v>
      </c>
      <c r="U18" s="118">
        <f>BS!AC13</f>
        <v>182418.65362925234</v>
      </c>
      <c r="V18" s="119">
        <f t="shared" si="20"/>
        <v>0.11469849842616422</v>
      </c>
      <c r="W18" s="120">
        <f t="shared" si="21"/>
        <v>0.10832495566708988</v>
      </c>
      <c r="X18" s="120">
        <f t="shared" si="22"/>
        <v>7.0251735267868667E-2</v>
      </c>
      <c r="Y18" s="120">
        <f t="shared" si="23"/>
        <v>0.12431456900275262</v>
      </c>
      <c r="Z18" s="120">
        <f t="shared" si="24"/>
        <v>0.13474545079732025</v>
      </c>
      <c r="AA18" s="120">
        <f t="shared" si="25"/>
        <v>0.12145602361704956</v>
      </c>
      <c r="AB18" s="120">
        <f t="shared" si="26"/>
        <v>0.12321171053395376</v>
      </c>
      <c r="AC18" s="120">
        <f t="shared" si="27"/>
        <v>0.13776860329739463</v>
      </c>
      <c r="AD18" s="120">
        <f t="shared" si="28"/>
        <v>0.13433298706453492</v>
      </c>
      <c r="AE18" s="120">
        <f t="shared" si="29"/>
        <v>0.20449811491147851</v>
      </c>
      <c r="AF18" s="120">
        <f t="shared" si="30"/>
        <v>0.15708844434678193</v>
      </c>
      <c r="AG18" s="120">
        <f t="shared" si="31"/>
        <v>0.1295210509976143</v>
      </c>
      <c r="AH18" s="120">
        <f t="shared" si="32"/>
        <v>6.3473096746420987E-2</v>
      </c>
      <c r="AI18" s="120">
        <f t="shared" si="33"/>
        <v>0.10221984771533552</v>
      </c>
      <c r="AJ18" s="120">
        <f t="shared" si="34"/>
        <v>8.875159784565273E-2</v>
      </c>
      <c r="AK18" s="120">
        <f t="shared" si="35"/>
        <v>0.12340969884326368</v>
      </c>
      <c r="AL18" s="120">
        <f t="shared" si="36"/>
        <v>0.14057305788346852</v>
      </c>
      <c r="AM18" s="120">
        <f t="shared" si="37"/>
        <v>0.13012246443240003</v>
      </c>
      <c r="AN18" s="120">
        <f t="shared" si="39"/>
        <v>0.10300469986962116</v>
      </c>
    </row>
    <row r="19" spans="1:40" x14ac:dyDescent="0.2">
      <c r="A19" s="131" t="s">
        <v>375</v>
      </c>
      <c r="B19" s="84" t="s">
        <v>254</v>
      </c>
      <c r="C19" s="85">
        <f>BS!K16+BS!K25</f>
        <v>456255.37319265347</v>
      </c>
      <c r="D19" s="85">
        <f>BS!L16+BS!L25</f>
        <v>665952.96671490592</v>
      </c>
      <c r="E19" s="85">
        <f>BS!M16+BS!M25</f>
        <v>379707.36129972531</v>
      </c>
      <c r="F19" s="85">
        <f>BS!N16+BS!N25</f>
        <v>400246.44597165828</v>
      </c>
      <c r="G19" s="85">
        <f>BS!O16+BS!O25</f>
        <v>443942.8558373258</v>
      </c>
      <c r="H19" s="85">
        <f>BS!P16+BS!P25</f>
        <v>322545.30011000071</v>
      </c>
      <c r="I19" s="85">
        <f>BS!Q16+BS!Q25</f>
        <v>390554.6470832515</v>
      </c>
      <c r="J19" s="85">
        <f>BS!R16+BS!R25</f>
        <v>404628.91043956915</v>
      </c>
      <c r="K19" s="85">
        <f>BS!S16+BS!S25</f>
        <v>424841.09392468474</v>
      </c>
      <c r="L19" s="85">
        <f>BS!T16+BS!T25</f>
        <v>564150.04854109883</v>
      </c>
      <c r="M19" s="85">
        <f>BS!U16+BS!U25</f>
        <v>567488.68470877735</v>
      </c>
      <c r="N19" s="241">
        <f>BS!V16+BS!V25</f>
        <v>612924.93213017948</v>
      </c>
      <c r="O19" s="241">
        <f>BS!W16+BS!W25</f>
        <v>537917.86240282678</v>
      </c>
      <c r="P19" s="241">
        <f>BS!X16+BS!X25</f>
        <v>589639.57809150184</v>
      </c>
      <c r="Q19" s="241">
        <f>BS!Y16+BS!Y25</f>
        <v>483243.21223326237</v>
      </c>
      <c r="R19" s="241">
        <f>BS!Z16+BS!Z25</f>
        <v>677827.68060964567</v>
      </c>
      <c r="S19" s="241">
        <f>BS!AA16+BS!AA25</f>
        <v>674675.73489395762</v>
      </c>
      <c r="T19" s="241">
        <f>BS!AB16+BS!AB25</f>
        <v>621126.43220022414</v>
      </c>
      <c r="U19" s="118">
        <f>BS!AC16+BS!AC25</f>
        <v>489479.96088775696</v>
      </c>
      <c r="V19" s="119">
        <f t="shared" si="20"/>
        <v>0.35644118559779753</v>
      </c>
      <c r="W19" s="120">
        <f t="shared" si="21"/>
        <v>0.28968165287945158</v>
      </c>
      <c r="X19" s="120">
        <f t="shared" si="22"/>
        <v>0.30522730118940589</v>
      </c>
      <c r="Y19" s="120">
        <f t="shared" si="23"/>
        <v>0.37325881901961244</v>
      </c>
      <c r="Z19" s="120">
        <f t="shared" si="24"/>
        <v>0.29503754878125088</v>
      </c>
      <c r="AA19" s="120">
        <f t="shared" si="25"/>
        <v>0.27218055706986616</v>
      </c>
      <c r="AB19" s="120">
        <f t="shared" si="26"/>
        <v>0.31243121384432743</v>
      </c>
      <c r="AC19" s="120">
        <f t="shared" si="27"/>
        <v>0.3135375238448796</v>
      </c>
      <c r="AD19" s="120">
        <f t="shared" si="28"/>
        <v>0.30321035513354816</v>
      </c>
      <c r="AE19" s="120">
        <f t="shared" si="29"/>
        <v>0.33089513272993554</v>
      </c>
      <c r="AF19" s="120">
        <f t="shared" si="30"/>
        <v>0.33681998068476937</v>
      </c>
      <c r="AG19" s="120">
        <f t="shared" si="31"/>
        <v>0.32998581925864973</v>
      </c>
      <c r="AH19" s="120">
        <f t="shared" si="32"/>
        <v>0.24965363279807468</v>
      </c>
      <c r="AI19" s="120">
        <f t="shared" si="33"/>
        <v>0.26824418689134621</v>
      </c>
      <c r="AJ19" s="120">
        <f t="shared" si="34"/>
        <v>0.26666635891432278</v>
      </c>
      <c r="AK19" s="120">
        <f t="shared" si="35"/>
        <v>0.35918999431892862</v>
      </c>
      <c r="AL19" s="120">
        <f t="shared" si="36"/>
        <v>0.32449472029110094</v>
      </c>
      <c r="AM19" s="120">
        <f t="shared" si="37"/>
        <v>0.31173529787938736</v>
      </c>
      <c r="AN19" s="120">
        <f t="shared" si="39"/>
        <v>0.27639024551682279</v>
      </c>
    </row>
    <row r="20" spans="1:40" x14ac:dyDescent="0.2">
      <c r="A20" s="136" t="s">
        <v>376</v>
      </c>
      <c r="B20" s="89" t="s">
        <v>254</v>
      </c>
      <c r="C20" s="90">
        <f>BS!K27+BS!K28</f>
        <v>100749.70691676435</v>
      </c>
      <c r="D20" s="90">
        <f>BS!L27+BS!L28</f>
        <v>181261.21562952243</v>
      </c>
      <c r="E20" s="90">
        <f>BS!M27+BS!M28</f>
        <v>133891.54871714363</v>
      </c>
      <c r="F20" s="90">
        <f>BS!N27+BS!N28</f>
        <v>91198.473645394013</v>
      </c>
      <c r="G20" s="90">
        <f>BS!O27+BS!O28</f>
        <v>175784.64513597186</v>
      </c>
      <c r="H20" s="90">
        <f>BS!P27+BS!P28</f>
        <v>127529.72975082484</v>
      </c>
      <c r="I20" s="90">
        <f>BS!Q27+BS!Q28</f>
        <v>145447.77087414553</v>
      </c>
      <c r="J20" s="90">
        <f>BS!R27+BS!R28</f>
        <v>92899.627469300685</v>
      </c>
      <c r="K20" s="90">
        <f>BS!S27+BS!S28</f>
        <v>89894.487852120452</v>
      </c>
      <c r="L20" s="90">
        <f>BS!T27+BS!T28</f>
        <v>37029.854675960334</v>
      </c>
      <c r="M20" s="90">
        <f>BS!U27+BS!U28</f>
        <v>110108.68324143726</v>
      </c>
      <c r="N20" s="244">
        <f>BS!V27+BS!V28</f>
        <v>154214.66464678865</v>
      </c>
      <c r="O20" s="244">
        <f>BS!W27+BS!W28</f>
        <v>203622.25067094903</v>
      </c>
      <c r="P20" s="244">
        <f>BS!X27+BS!X28</f>
        <v>206984.81841156501</v>
      </c>
      <c r="Q20" s="244">
        <f>BS!Y27+BS!Y28</f>
        <v>281042.74658108345</v>
      </c>
      <c r="R20" s="244">
        <f>BS!Z27+BS!Z28</f>
        <v>160108.01191341446</v>
      </c>
      <c r="S20" s="244">
        <f>BS!AA27+BS!AA28</f>
        <v>215044.18267306921</v>
      </c>
      <c r="T20" s="244">
        <f>BS!AB27+BS!AB28</f>
        <v>245978.11841613747</v>
      </c>
      <c r="U20" s="137">
        <f>BS!AC27+BS!AC28</f>
        <v>229369.63125341095</v>
      </c>
      <c r="V20" s="138">
        <f t="shared" si="20"/>
        <v>7.8708870277520146E-2</v>
      </c>
      <c r="W20" s="139">
        <f t="shared" si="21"/>
        <v>7.8846481915257241E-2</v>
      </c>
      <c r="X20" s="139">
        <f t="shared" si="22"/>
        <v>0.10762855881201788</v>
      </c>
      <c r="Y20" s="139">
        <f t="shared" si="23"/>
        <v>8.5049186349755765E-2</v>
      </c>
      <c r="Z20" s="139">
        <f t="shared" si="24"/>
        <v>0.11682375362585717</v>
      </c>
      <c r="AA20" s="139">
        <f t="shared" si="25"/>
        <v>0.10761624142317723</v>
      </c>
      <c r="AB20" s="139">
        <f t="shared" si="26"/>
        <v>0.11635356010877088</v>
      </c>
      <c r="AC20" s="139">
        <f t="shared" si="27"/>
        <v>7.1985758830711274E-2</v>
      </c>
      <c r="AD20" s="139">
        <f t="shared" si="28"/>
        <v>6.4157963944565938E-2</v>
      </c>
      <c r="AE20" s="139">
        <f t="shared" si="29"/>
        <v>2.1719396656365752E-2</v>
      </c>
      <c r="AF20" s="139">
        <f t="shared" si="30"/>
        <v>6.5352500520144144E-2</v>
      </c>
      <c r="AG20" s="139">
        <f t="shared" si="31"/>
        <v>8.3025913594848205E-2</v>
      </c>
      <c r="AH20" s="139">
        <f t="shared" si="32"/>
        <v>9.4503339917822143E-2</v>
      </c>
      <c r="AI20" s="139">
        <f t="shared" si="33"/>
        <v>9.4163411644404699E-2</v>
      </c>
      <c r="AJ20" s="139">
        <f t="shared" si="34"/>
        <v>0.15508680522114057</v>
      </c>
      <c r="AK20" s="139">
        <f t="shared" si="35"/>
        <v>8.484338650476754E-2</v>
      </c>
      <c r="AL20" s="139">
        <f t="shared" si="36"/>
        <v>0.10342850394299984</v>
      </c>
      <c r="AM20" s="139">
        <f t="shared" si="37"/>
        <v>0.12345322633371286</v>
      </c>
      <c r="AN20" s="139">
        <f t="shared" si="39"/>
        <v>0.12951608597266076</v>
      </c>
    </row>
    <row r="21" spans="1:40" x14ac:dyDescent="0.2">
      <c r="A21" s="131" t="s">
        <v>377</v>
      </c>
      <c r="B21" s="154" t="s">
        <v>254</v>
      </c>
      <c r="C21" s="85">
        <f>BS!K32+BS!K36+BS!K42</f>
        <v>347222.74325908546</v>
      </c>
      <c r="D21" s="85">
        <f>BS!L32+BS!L36+BS!L42</f>
        <v>649503.61794500716</v>
      </c>
      <c r="E21" s="85">
        <f>BS!M32+BS!M36+BS!M42</f>
        <v>375625.63292102568</v>
      </c>
      <c r="F21" s="85">
        <f>BS!N32+BS!N36+BS!N42</f>
        <v>281578.40977481205</v>
      </c>
      <c r="G21" s="85">
        <f>BS!O32+BS!O36+BS!O42</f>
        <v>371798.87861256878</v>
      </c>
      <c r="H21" s="85">
        <f>BS!P32+BS!P36+BS!P42</f>
        <v>289662.70825046866</v>
      </c>
      <c r="I21" s="85">
        <f>BS!Q32+BS!Q36+BS!Q42</f>
        <v>283102.52961776685</v>
      </c>
      <c r="J21" s="85">
        <f>BS!R32+BS!R36+BS!R42</f>
        <v>373005.01227384747</v>
      </c>
      <c r="K21" s="85">
        <f>BS!S32+BS!S36+BS!S42+BS!S35+BS!S41</f>
        <v>369161.09645060712</v>
      </c>
      <c r="L21" s="85">
        <f>BS!T32+BS!T36+BS!T42+BS!T35+BS!T41</f>
        <v>572034.23938767845</v>
      </c>
      <c r="M21" s="85">
        <f>BS!U32+BS!U36+BS!U42+BS!U35+BS!U41</f>
        <v>431290.21329408215</v>
      </c>
      <c r="N21" s="241">
        <f>BS!V32+BS!V36+BS!V42+BS!V35+BS!V41</f>
        <v>434163.22637616674</v>
      </c>
      <c r="O21" s="241">
        <f>BS!W32+BS!W36+BS!W42+BS!W35+BS!W41</f>
        <v>462927.46791829314</v>
      </c>
      <c r="P21" s="241">
        <f>BS!X32+BS!X36+BS!X42+BS!X35+BS!X41</f>
        <v>491076.84336913924</v>
      </c>
      <c r="Q21" s="241">
        <f>BS!Y32+BS!Y36+BS!Y42+BS!Y35+BS!Y41</f>
        <v>446223.34569722414</v>
      </c>
      <c r="R21" s="241">
        <f>BS!Z32+BS!Z36+BS!Z42+BS!Z35+BS!Z41</f>
        <v>426780.52611188369</v>
      </c>
      <c r="S21" s="241">
        <f>BS!AA32+BS!AA36+BS!AA42+BS!AA35+BS!AA41</f>
        <v>486093.60464185668</v>
      </c>
      <c r="T21" s="241">
        <f>BS!AB32+BS!AB36+BS!AB42+BS!AB35+BS!AB41</f>
        <v>376107.39223010826</v>
      </c>
      <c r="U21" s="118">
        <f>BS!AC32+BS!AC36+BS!AC42+BS!AC35+BS!AC41</f>
        <v>404160.93123521924</v>
      </c>
      <c r="V21" s="119">
        <f t="shared" si="20"/>
        <v>0.27126143284131499</v>
      </c>
      <c r="W21" s="120">
        <f t="shared" si="21"/>
        <v>0.28252638099296901</v>
      </c>
      <c r="X21" s="120">
        <f t="shared" si="22"/>
        <v>0.30194620878984274</v>
      </c>
      <c r="Y21" s="120">
        <f t="shared" si="23"/>
        <v>0.26259227471418739</v>
      </c>
      <c r="Z21" s="120">
        <f t="shared" si="24"/>
        <v>0.24709177846453645</v>
      </c>
      <c r="AA21" s="120">
        <f t="shared" si="25"/>
        <v>0.24443250999810234</v>
      </c>
      <c r="AB21" s="120">
        <f t="shared" si="26"/>
        <v>0.22647296001070072</v>
      </c>
      <c r="AC21" s="120">
        <f t="shared" si="27"/>
        <v>0.2890329012897796</v>
      </c>
      <c r="AD21" s="120">
        <f t="shared" si="28"/>
        <v>0.26347137496101553</v>
      </c>
      <c r="AE21" s="120">
        <f t="shared" si="29"/>
        <v>0.33551950595013397</v>
      </c>
      <c r="AF21" s="120">
        <f t="shared" si="30"/>
        <v>0.25598248075341046</v>
      </c>
      <c r="AG21" s="120">
        <f t="shared" si="31"/>
        <v>0.23374429793514956</v>
      </c>
      <c r="AH21" s="120">
        <f t="shared" si="32"/>
        <v>0.21484976083814969</v>
      </c>
      <c r="AI21" s="120">
        <f t="shared" si="33"/>
        <v>0.22340513331396786</v>
      </c>
      <c r="AJ21" s="120">
        <f t="shared" si="34"/>
        <v>0.24623781948168966</v>
      </c>
      <c r="AK21" s="120">
        <f t="shared" si="35"/>
        <v>0.22615673442501108</v>
      </c>
      <c r="AL21" s="120">
        <f t="shared" si="36"/>
        <v>0.23379351014950064</v>
      </c>
      <c r="AM21" s="120">
        <f t="shared" si="37"/>
        <v>0.18876342057472992</v>
      </c>
      <c r="AN21" s="120">
        <f t="shared" si="39"/>
        <v>0.22821391668376265</v>
      </c>
    </row>
    <row r="22" spans="1:40" x14ac:dyDescent="0.2">
      <c r="A22" s="132" t="s">
        <v>378</v>
      </c>
      <c r="B22" s="84" t="s">
        <v>254</v>
      </c>
      <c r="C22" s="87">
        <f>BS!K33+BS!K34+BS!K38+BS!K39+BS!K40</f>
        <v>379257.13169206737</v>
      </c>
      <c r="D22" s="87">
        <f>BS!L33+BS!L34+BS!L38+BS!L39+BS!L40</f>
        <v>256393.8736131211</v>
      </c>
      <c r="E22" s="87">
        <f>BS!M33+BS!M34+BS!M38+BS!M39+BS!M40</f>
        <v>291007.93187650066</v>
      </c>
      <c r="F22" s="87">
        <f>BS!N33+BS!N34+BS!N38+BS!N39+BS!N40</f>
        <v>318092.17977200239</v>
      </c>
      <c r="G22" s="87">
        <f>BS!O33+BS!O34+BS!O38+BS!O39+BS!O40</f>
        <v>333567.43411674321</v>
      </c>
      <c r="H22" s="87">
        <f>BS!P33+BS!P34+BS!P38+BS!P39+BS!P40</f>
        <v>386044.43619669264</v>
      </c>
      <c r="I22" s="87">
        <f>BS!Q33+BS!Q34+BS!Q38+BS!Q39+BS!Q40</f>
        <v>390689.73181954073</v>
      </c>
      <c r="J22" s="87">
        <f>BS!R33+BS!R34+BS!R38+BS!R39+BS!R40</f>
        <v>369604.07822951552</v>
      </c>
      <c r="K22" s="87">
        <f>BS!S33+BS!S34+BS!S38+BS!S39+BS!S40</f>
        <v>366954.64369811921</v>
      </c>
      <c r="L22" s="87">
        <f>BS!T33+BS!T34+BS!T38+BS!T39+BS!T40</f>
        <v>342768.54391527612</v>
      </c>
      <c r="M22" s="87">
        <f>BS!U33+BS!U34+BS!U38+BS!U39+BS!U40</f>
        <v>373750.31680954457</v>
      </c>
      <c r="N22" s="245">
        <f>BS!V33+BS!V34+BS!V38+BS!V39+BS!V40</f>
        <v>337028.82412484672</v>
      </c>
      <c r="O22" s="245">
        <f>BS!W33+BS!W34+BS!W38+BS!W39+BS!W40</f>
        <v>407612.6902739646</v>
      </c>
      <c r="P22" s="245">
        <f>BS!X33+BS!X34+BS!X38+BS!X39+BS!X40</f>
        <v>385107.64887437789</v>
      </c>
      <c r="Q22" s="245">
        <f>BS!Y33+BS!Y34+BS!Y38+BS!Y39+BS!Y40</f>
        <v>344510.06405176228</v>
      </c>
      <c r="R22" s="245">
        <f>BS!Z33+BS!Z34+BS!Z38+BS!Z39+BS!Z40</f>
        <v>471874.52009618795</v>
      </c>
      <c r="S22" s="245">
        <f>BS!AA33+BS!AA34+BS!AA38+BS!AA39+BS!AA40</f>
        <v>349607.97639055626</v>
      </c>
      <c r="T22" s="245">
        <f>BS!AB33+BS!AB34+BS!AB38+BS!AB39+BS!AB40</f>
        <v>373703.94919686223</v>
      </c>
      <c r="U22" s="133">
        <f>BS!AC33+BS!AC34+BS!AC38+BS!AC39+BS!AC40</f>
        <v>356928.57431326178</v>
      </c>
      <c r="V22" s="134">
        <f t="shared" si="20"/>
        <v>0.29628771431401785</v>
      </c>
      <c r="W22" s="135">
        <f t="shared" si="21"/>
        <v>0.11152829825624935</v>
      </c>
      <c r="X22" s="135">
        <f t="shared" si="22"/>
        <v>0.23392637258159743</v>
      </c>
      <c r="Y22" s="135">
        <f t="shared" si="23"/>
        <v>0.29664401159849219</v>
      </c>
      <c r="Z22" s="135">
        <f t="shared" si="24"/>
        <v>0.22168375235914947</v>
      </c>
      <c r="AA22" s="135">
        <f t="shared" si="25"/>
        <v>0.32576444196180776</v>
      </c>
      <c r="AB22" s="135">
        <f t="shared" si="26"/>
        <v>0.31253927730854653</v>
      </c>
      <c r="AC22" s="135">
        <f t="shared" si="27"/>
        <v>0.2863975966649539</v>
      </c>
      <c r="AD22" s="135">
        <f t="shared" si="28"/>
        <v>0.26189662305439826</v>
      </c>
      <c r="AE22" s="135">
        <f t="shared" si="29"/>
        <v>0.20104658880700113</v>
      </c>
      <c r="AF22" s="135">
        <f t="shared" si="30"/>
        <v>0.22183098602806406</v>
      </c>
      <c r="AG22" s="135">
        <f t="shared" si="31"/>
        <v>0.18144919028843806</v>
      </c>
      <c r="AH22" s="135">
        <f t="shared" si="32"/>
        <v>0.18917756039357161</v>
      </c>
      <c r="AI22" s="135">
        <f t="shared" si="33"/>
        <v>0.17519666585528071</v>
      </c>
      <c r="AJ22" s="135">
        <f t="shared" si="34"/>
        <v>0.19010974611616091</v>
      </c>
      <c r="AK22" s="135">
        <f t="shared" si="35"/>
        <v>0.25005264765840396</v>
      </c>
      <c r="AL22" s="135">
        <f t="shared" si="36"/>
        <v>0.16814884046218481</v>
      </c>
      <c r="AM22" s="135">
        <f t="shared" si="37"/>
        <v>0.18755716369841077</v>
      </c>
      <c r="AN22" s="135">
        <f t="shared" si="39"/>
        <v>0.2015436466642887</v>
      </c>
    </row>
    <row r="23" spans="1:40" x14ac:dyDescent="0.2">
      <c r="A23" s="132" t="s">
        <v>379</v>
      </c>
      <c r="B23" s="84" t="s">
        <v>254</v>
      </c>
      <c r="C23" s="87">
        <f>BS!K45</f>
        <v>43380.422039859302</v>
      </c>
      <c r="D23" s="87">
        <f>BS!L45</f>
        <v>149892.18523878438</v>
      </c>
      <c r="E23" s="87">
        <f>BS!M45</f>
        <v>49946.295118733506</v>
      </c>
      <c r="F23" s="87">
        <f>BS!N45</f>
        <v>54958.856412417335</v>
      </c>
      <c r="G23" s="87">
        <f>BS!O45</f>
        <v>45759.338383844173</v>
      </c>
      <c r="H23" s="87">
        <f>BS!P45</f>
        <v>35088.400535935965</v>
      </c>
      <c r="I23" s="87">
        <f>BS!Q45</f>
        <v>42662.930759750161</v>
      </c>
      <c r="J23" s="87">
        <f>BS!R45</f>
        <v>40868.108791762017</v>
      </c>
      <c r="K23" s="87">
        <f>BS!S45</f>
        <v>40137.104583828426</v>
      </c>
      <c r="L23" s="87">
        <f>BS!T45</f>
        <v>59621.537334166278</v>
      </c>
      <c r="M23" s="87">
        <f>BS!U45</f>
        <v>52506.565779571407</v>
      </c>
      <c r="N23" s="245">
        <f>BS!V45</f>
        <v>50292.690157122539</v>
      </c>
      <c r="O23" s="245">
        <f>BS!W45</f>
        <v>48051.892363843632</v>
      </c>
      <c r="P23" s="245">
        <f>BS!X45</f>
        <v>45553.948298540097</v>
      </c>
      <c r="Q23" s="245">
        <f>BS!Y45</f>
        <v>46201.412905517289</v>
      </c>
      <c r="R23" s="245">
        <f>BS!Z45</f>
        <v>60849.884717935878</v>
      </c>
      <c r="S23" s="245">
        <f>BS!AA45</f>
        <v>52739.957983193279</v>
      </c>
      <c r="T23" s="245">
        <f>BS!AB45</f>
        <v>44964.337317893165</v>
      </c>
      <c r="U23" s="133">
        <f>BS!AC45</f>
        <v>38959.649445151903</v>
      </c>
      <c r="V23" s="134">
        <f t="shared" si="20"/>
        <v>3.3890163211494316E-2</v>
      </c>
      <c r="W23" s="135">
        <f t="shared" si="21"/>
        <v>6.5201325234537935E-2</v>
      </c>
      <c r="X23" s="135">
        <f t="shared" si="22"/>
        <v>4.0149268666579453E-2</v>
      </c>
      <c r="Y23" s="135">
        <f t="shared" si="23"/>
        <v>5.1253116787500344E-2</v>
      </c>
      <c r="Z23" s="135">
        <f t="shared" si="24"/>
        <v>3.0410947835070621E-2</v>
      </c>
      <c r="AA23" s="135">
        <f t="shared" si="25"/>
        <v>2.9609423548582425E-2</v>
      </c>
      <c r="AB23" s="135">
        <f t="shared" si="26"/>
        <v>3.4128978730558923E-2</v>
      </c>
      <c r="AC23" s="135">
        <f t="shared" si="27"/>
        <v>3.1667746184700578E-2</v>
      </c>
      <c r="AD23" s="135">
        <f t="shared" si="28"/>
        <v>2.8645971185293249E-2</v>
      </c>
      <c r="AE23" s="135">
        <f t="shared" si="29"/>
        <v>3.4970264667653433E-2</v>
      </c>
      <c r="AF23" s="135">
        <f t="shared" si="30"/>
        <v>3.1164075951178656E-2</v>
      </c>
      <c r="AG23" s="135">
        <f t="shared" si="31"/>
        <v>2.7076520621443254E-2</v>
      </c>
      <c r="AH23" s="135">
        <f t="shared" si="32"/>
        <v>2.2301415011334983E-2</v>
      </c>
      <c r="AI23" s="135">
        <f t="shared" si="33"/>
        <v>2.0723815488410183E-2</v>
      </c>
      <c r="AJ23" s="135">
        <f t="shared" si="34"/>
        <v>2.5495159051017225E-2</v>
      </c>
      <c r="AK23" s="135">
        <f t="shared" si="35"/>
        <v>3.2245171407701612E-2</v>
      </c>
      <c r="AL23" s="135">
        <f t="shared" si="36"/>
        <v>2.5366019598452867E-2</v>
      </c>
      <c r="AM23" s="135">
        <f t="shared" si="37"/>
        <v>2.2567017536333434E-2</v>
      </c>
      <c r="AN23" s="135">
        <f t="shared" si="39"/>
        <v>2.1998994720570628E-2</v>
      </c>
    </row>
    <row r="24" spans="1:40" x14ac:dyDescent="0.2">
      <c r="A24" s="136" t="s">
        <v>380</v>
      </c>
      <c r="B24" s="89" t="s">
        <v>254</v>
      </c>
      <c r="C24" s="90">
        <f>BS!K43-BS!K45</f>
        <v>510169.59749902267</v>
      </c>
      <c r="D24" s="90">
        <f>BS!L43-BS!L45</f>
        <v>1243123.2513265796</v>
      </c>
      <c r="E24" s="90">
        <f>BS!M43-BS!M45</f>
        <v>527435.20629861217</v>
      </c>
      <c r="F24" s="90">
        <f>BS!N43-BS!N45</f>
        <v>417673.27155707654</v>
      </c>
      <c r="G24" s="90">
        <f>BS!O43-BS!O45</f>
        <v>753573.86144440493</v>
      </c>
      <c r="H24" s="90">
        <f>BS!P43-BS!P45</f>
        <v>474246.11847123358</v>
      </c>
      <c r="I24" s="90">
        <f>BS!Q43-BS!Q45</f>
        <v>531466.07590473152</v>
      </c>
      <c r="J24" s="90">
        <f>BS!R43-BS!R45</f>
        <v>505126.79038328142</v>
      </c>
      <c r="K24" s="90">
        <f>BS!S43-BS!S45</f>
        <v>624890.2453098828</v>
      </c>
      <c r="L24" s="90">
        <f>BS!T43-BS!T45</f>
        <v>730496.64295268781</v>
      </c>
      <c r="M24" s="90">
        <f>BS!U43-BS!U45</f>
        <v>827295.6012603892</v>
      </c>
      <c r="N24" s="244">
        <f>BS!V43-BS!V45</f>
        <v>1035943.355819417</v>
      </c>
      <c r="O24" s="244">
        <f>BS!W43-BS!W45</f>
        <v>1236064.6086478406</v>
      </c>
      <c r="P24" s="244">
        <f>BS!X43-BS!X45</f>
        <v>1276406.4099569353</v>
      </c>
      <c r="Q24" s="244">
        <f>BS!Y43-BS!Y45</f>
        <v>975229.314586833</v>
      </c>
      <c r="R24" s="244">
        <f>BS!Z43-BS!Z45</f>
        <v>927595.74373196962</v>
      </c>
      <c r="S24" s="244">
        <f>BS!AA43-BS!AA45</f>
        <v>1190716.2799119647</v>
      </c>
      <c r="T24" s="244">
        <f>BS!AB43-BS!AB45</f>
        <v>1197704.5967500936</v>
      </c>
      <c r="U24" s="137">
        <f>BS!AC43-BS!AC45</f>
        <v>970924.9254138621</v>
      </c>
      <c r="V24" s="138">
        <f t="shared" si="20"/>
        <v>0.39856068963316887</v>
      </c>
      <c r="W24" s="139">
        <f t="shared" si="21"/>
        <v>0.54074389059869499</v>
      </c>
      <c r="X24" s="139">
        <f t="shared" si="22"/>
        <v>0.42397814996198069</v>
      </c>
      <c r="Y24" s="139">
        <f t="shared" si="23"/>
        <v>0.38951059689982026</v>
      </c>
      <c r="Z24" s="139">
        <f t="shared" si="24"/>
        <v>0.50081352134124368</v>
      </c>
      <c r="AA24" s="139">
        <f t="shared" si="25"/>
        <v>0.40019362449150714</v>
      </c>
      <c r="AB24" s="139">
        <f t="shared" si="26"/>
        <v>0.42515584554445685</v>
      </c>
      <c r="AC24" s="139">
        <f t="shared" si="27"/>
        <v>0.39141099164771348</v>
      </c>
      <c r="AD24" s="139">
        <f t="shared" si="28"/>
        <v>0.44598603079929261</v>
      </c>
      <c r="AE24" s="139">
        <f t="shared" si="29"/>
        <v>0.4284636405752123</v>
      </c>
      <c r="AF24" s="139">
        <f t="shared" si="30"/>
        <v>0.49102245726734767</v>
      </c>
      <c r="AG24" s="139">
        <f t="shared" si="31"/>
        <v>0.55772999115496946</v>
      </c>
      <c r="AH24" s="139">
        <f t="shared" si="32"/>
        <v>0.57367126375694455</v>
      </c>
      <c r="AI24" s="139">
        <f t="shared" si="33"/>
        <v>0.5806743853423415</v>
      </c>
      <c r="AJ24" s="139">
        <f t="shared" si="34"/>
        <v>0.53815727535113222</v>
      </c>
      <c r="AK24" s="139">
        <f t="shared" si="35"/>
        <v>0.49154544650888254</v>
      </c>
      <c r="AL24" s="139">
        <f t="shared" si="36"/>
        <v>0.57269162978986166</v>
      </c>
      <c r="AM24" s="139">
        <f t="shared" si="37"/>
        <v>0.60111239819052609</v>
      </c>
      <c r="AN24" s="139">
        <f t="shared" si="39"/>
        <v>0.54824344193137808</v>
      </c>
    </row>
    <row r="25" spans="1:40" x14ac:dyDescent="0.2">
      <c r="A25" s="112" t="s">
        <v>313</v>
      </c>
      <c r="B25" s="79" t="s">
        <v>254</v>
      </c>
      <c r="C25" s="92">
        <f>BS!K29</f>
        <v>1280029.8944900399</v>
      </c>
      <c r="D25" s="92">
        <f>BS!L29</f>
        <v>2298913.1693198266</v>
      </c>
      <c r="E25" s="92">
        <f>BS!M29</f>
        <v>1244015.0662148716</v>
      </c>
      <c r="F25" s="92">
        <f>BS!N29</f>
        <v>1072302.7175163082</v>
      </c>
      <c r="G25" s="92">
        <f>BS!O29</f>
        <v>1504699.5125575608</v>
      </c>
      <c r="H25" s="92">
        <f>BS!P29</f>
        <v>1185041.6634543312</v>
      </c>
      <c r="I25" s="92">
        <f>BS!Q29</f>
        <v>1250050.0263006692</v>
      </c>
      <c r="J25" s="92">
        <f>BS!R29</f>
        <v>1290527.8624314081</v>
      </c>
      <c r="K25" s="92">
        <f>BS!S29</f>
        <v>1401143.0900424381</v>
      </c>
      <c r="L25" s="92">
        <f>BS!T29</f>
        <v>1704920.9635898073</v>
      </c>
      <c r="M25" s="92">
        <f>BS!U29</f>
        <v>1684842.6971435859</v>
      </c>
      <c r="N25" s="243">
        <f>BS!V29</f>
        <v>1857428.0964775525</v>
      </c>
      <c r="O25" s="243">
        <f>BS!W29</f>
        <v>2154656.6592039401</v>
      </c>
      <c r="P25" s="243">
        <f>BS!X29</f>
        <v>2198144.850498992</v>
      </c>
      <c r="Q25" s="243">
        <f>BS!Y29</f>
        <v>1812164.1372413367</v>
      </c>
      <c r="R25" s="243">
        <f>BS!Z29</f>
        <v>1887100.6746579786</v>
      </c>
      <c r="S25" s="243">
        <f>BS!AA29</f>
        <v>2079157.8189275709</v>
      </c>
      <c r="T25" s="243">
        <f>BS!AB29</f>
        <v>1992480.2754949569</v>
      </c>
      <c r="U25" s="127">
        <f>BS!AC29</f>
        <v>1770974.0804074949</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2.9941738855808282</v>
      </c>
      <c r="D27" s="101">
        <f>+D13/D25*100</f>
        <v>8.1813235432670517</v>
      </c>
      <c r="E27" s="101">
        <f t="shared" si="40"/>
        <v>3.0246139647446579</v>
      </c>
      <c r="F27" s="101">
        <f t="shared" si="40"/>
        <v>-6.2072008092348314</v>
      </c>
      <c r="G27" s="101">
        <f t="shared" si="40"/>
        <v>3.2514934536358613</v>
      </c>
      <c r="H27" s="101">
        <f t="shared" si="40"/>
        <v>0.82570065664227166</v>
      </c>
      <c r="I27" s="101">
        <f t="shared" si="40"/>
        <v>2.3591439940533867</v>
      </c>
      <c r="J27" s="101">
        <f t="shared" si="40"/>
        <v>3.1496328657469861</v>
      </c>
      <c r="K27" s="101">
        <f t="shared" si="40"/>
        <v>2.4992110963459995</v>
      </c>
      <c r="L27" s="101">
        <f>+L13/L25*100</f>
        <v>4.201529583959255</v>
      </c>
      <c r="M27" s="101">
        <f>+M13/M25*100</f>
        <v>3.3672241548811774</v>
      </c>
      <c r="N27" s="246">
        <f>+N13/N25*100</f>
        <v>2.4647515305326362</v>
      </c>
      <c r="O27" s="246">
        <f>+O13/O25*100</f>
        <v>2.9408582349280818</v>
      </c>
      <c r="P27" s="246">
        <f>+P13/P25*100</f>
        <v>4.1356292685280325</v>
      </c>
      <c r="Q27" s="246">
        <f t="shared" ref="Q27:R27" si="41">+Q13/Q25*100</f>
        <v>4.2402018500023608</v>
      </c>
      <c r="R27" s="246">
        <f t="shared" si="41"/>
        <v>4.367455632161569</v>
      </c>
      <c r="S27" s="246">
        <f t="shared" ref="S27:T27" si="42">+S13/S25*100</f>
        <v>3.5118987554628935</v>
      </c>
      <c r="T27" s="246">
        <f t="shared" si="42"/>
        <v>4.2803687744192409</v>
      </c>
      <c r="U27" s="142">
        <f t="shared" si="40"/>
        <v>5.1462941024125897</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43.24508528446632</v>
      </c>
      <c r="D28" s="102">
        <f>(D23+D24)/D25*100</f>
        <v>60.594521583323299</v>
      </c>
      <c r="E28" s="102">
        <f t="shared" si="43"/>
        <v>46.412741862856016</v>
      </c>
      <c r="F28" s="102">
        <f t="shared" si="43"/>
        <v>44.076371368732062</v>
      </c>
      <c r="G28" s="102">
        <f t="shared" si="43"/>
        <v>53.122446917631429</v>
      </c>
      <c r="H28" s="102">
        <f t="shared" si="43"/>
        <v>42.980304804008952</v>
      </c>
      <c r="I28" s="102">
        <f t="shared" si="43"/>
        <v>45.928482427501578</v>
      </c>
      <c r="J28" s="102">
        <f t="shared" si="43"/>
        <v>42.307873783241405</v>
      </c>
      <c r="K28" s="102">
        <f t="shared" si="43"/>
        <v>47.463200198458587</v>
      </c>
      <c r="L28" s="102">
        <f>(L23+L24)/L25*100</f>
        <v>46.343390524286569</v>
      </c>
      <c r="M28" s="102">
        <f>(M23+M24)/M25*100</f>
        <v>52.218653321852635</v>
      </c>
      <c r="N28" s="247">
        <f>(N23+N24)/N25*100</f>
        <v>58.480651177641263</v>
      </c>
      <c r="O28" s="247">
        <f>(O23+O24)/O25*100</f>
        <v>59.597267876827964</v>
      </c>
      <c r="P28" s="247">
        <f>(P23+P24)/P25*100</f>
        <v>60.139820083075165</v>
      </c>
      <c r="Q28" s="247">
        <f t="shared" ref="Q28:R28" si="44">(Q23+Q24)/Q25*100</f>
        <v>56.36524344021494</v>
      </c>
      <c r="R28" s="247">
        <f t="shared" si="44"/>
        <v>52.379061791658422</v>
      </c>
      <c r="S28" s="247">
        <f t="shared" ref="S28:T28" si="45">(S23+S24)/S25*100</f>
        <v>59.805764938831452</v>
      </c>
      <c r="T28" s="247">
        <f t="shared" si="45"/>
        <v>62.367941572685957</v>
      </c>
      <c r="U28" s="144">
        <f t="shared" si="43"/>
        <v>57.024243665194874</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6.9237321787785646</v>
      </c>
      <c r="D29" s="102">
        <f>+D13/(D23+D24)*100</f>
        <v>13.501754497750998</v>
      </c>
      <c r="E29" s="102">
        <f t="shared" si="46"/>
        <v>6.5167750133832278</v>
      </c>
      <c r="F29" s="102">
        <f t="shared" si="46"/>
        <v>-14.082830814966412</v>
      </c>
      <c r="G29" s="102">
        <f t="shared" si="46"/>
        <v>6.1207524169160301</v>
      </c>
      <c r="H29" s="102">
        <f t="shared" si="46"/>
        <v>1.9211140088640208</v>
      </c>
      <c r="I29" s="102">
        <f t="shared" si="46"/>
        <v>5.1365598629941926</v>
      </c>
      <c r="J29" s="102">
        <f t="shared" si="46"/>
        <v>7.4445548407459521</v>
      </c>
      <c r="K29" s="102">
        <f t="shared" si="46"/>
        <v>5.2655764590166925</v>
      </c>
      <c r="L29" s="102">
        <f>+L13/(L23+L24)*100</f>
        <v>9.0660815629305649</v>
      </c>
      <c r="M29" s="102">
        <f>+M13/(M23+M24)*100</f>
        <v>6.4483167233882881</v>
      </c>
      <c r="N29" s="247">
        <f>+N13/(N23+N24)*100</f>
        <v>4.2146444694086744</v>
      </c>
      <c r="O29" s="247">
        <f>+O13/(O23+O24)*100</f>
        <v>4.9345521022978271</v>
      </c>
      <c r="P29" s="247">
        <f>+P13/(P23+P24)*100</f>
        <v>6.8766904570303158</v>
      </c>
      <c r="Q29" s="247">
        <f t="shared" ref="Q29:R29" si="47">+Q13/(Q23+Q24)*100</f>
        <v>7.5227242733366824</v>
      </c>
      <c r="R29" s="247">
        <f t="shared" si="47"/>
        <v>8.3381707933858102</v>
      </c>
      <c r="S29" s="247">
        <f t="shared" ref="S29:T29" si="48">+S13/(S23+S24)*100</f>
        <v>5.872174294660085</v>
      </c>
      <c r="T29" s="247">
        <f t="shared" si="48"/>
        <v>6.8630913037762156</v>
      </c>
      <c r="U29" s="144">
        <f t="shared" si="46"/>
        <v>9.0247476715831727</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29.628771431401784</v>
      </c>
      <c r="D30" s="101">
        <f>D22/D25*100</f>
        <v>11.152829825624936</v>
      </c>
      <c r="E30" s="101">
        <f t="shared" si="49"/>
        <v>23.392637258159745</v>
      </c>
      <c r="F30" s="101">
        <f t="shared" si="49"/>
        <v>29.66440115984922</v>
      </c>
      <c r="G30" s="101">
        <f t="shared" si="49"/>
        <v>22.168375235914947</v>
      </c>
      <c r="H30" s="101">
        <f t="shared" si="49"/>
        <v>32.576444196180773</v>
      </c>
      <c r="I30" s="101">
        <f t="shared" si="49"/>
        <v>31.253927730854652</v>
      </c>
      <c r="J30" s="101">
        <f t="shared" si="49"/>
        <v>28.63975966649539</v>
      </c>
      <c r="K30" s="101">
        <f t="shared" si="49"/>
        <v>26.189662305439825</v>
      </c>
      <c r="L30" s="101">
        <f>L22/L25*100</f>
        <v>20.104658880700114</v>
      </c>
      <c r="M30" s="101">
        <f>M22/M25*100</f>
        <v>22.183098602806407</v>
      </c>
      <c r="N30" s="246">
        <f>N22/N25*100</f>
        <v>18.144919028843805</v>
      </c>
      <c r="O30" s="246">
        <f>O22/O25*100</f>
        <v>18.917756039357162</v>
      </c>
      <c r="P30" s="246">
        <f>P22/P25*100</f>
        <v>17.519666585528071</v>
      </c>
      <c r="Q30" s="246">
        <f t="shared" ref="Q30:R30" si="50">Q22/Q25*100</f>
        <v>19.010974611616092</v>
      </c>
      <c r="R30" s="246">
        <f t="shared" si="50"/>
        <v>25.005264765840394</v>
      </c>
      <c r="S30" s="246">
        <f t="shared" ref="S30:T30" si="51">S22/S25*100</f>
        <v>16.814884046218481</v>
      </c>
      <c r="T30" s="246">
        <f t="shared" si="51"/>
        <v>18.755716369841078</v>
      </c>
      <c r="U30" s="142">
        <f t="shared" si="49"/>
        <v>20.154364666428869</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27052.488738838056</v>
      </c>
      <c r="D31" s="100">
        <f>+D5/D14</f>
        <v>48399.609989584955</v>
      </c>
      <c r="E31" s="100">
        <f t="shared" si="52"/>
        <v>31071.2197238439</v>
      </c>
      <c r="F31" s="100">
        <f t="shared" si="52"/>
        <v>26748.306135938674</v>
      </c>
      <c r="G31" s="100">
        <f t="shared" si="52"/>
        <v>28918.845930712705</v>
      </c>
      <c r="H31" s="100">
        <f t="shared" si="52"/>
        <v>28197.572489842576</v>
      </c>
      <c r="I31" s="100">
        <f t="shared" si="52"/>
        <v>25103.872976391423</v>
      </c>
      <c r="J31" s="100">
        <f t="shared" si="52"/>
        <v>30426.780433195876</v>
      </c>
      <c r="K31" s="100">
        <f t="shared" si="52"/>
        <v>27140.123753159882</v>
      </c>
      <c r="L31" s="100">
        <f>+L5/L14</f>
        <v>37629.329198678199</v>
      </c>
      <c r="M31" s="100">
        <f>+M5/M14</f>
        <v>32921.50798227678</v>
      </c>
      <c r="N31" s="248">
        <f>+N5/N14</f>
        <v>30178.218636759808</v>
      </c>
      <c r="O31" s="248">
        <f>+O5/O14</f>
        <v>29813.529246651258</v>
      </c>
      <c r="P31" s="248">
        <f>+P5/P14</f>
        <v>29788.23427050437</v>
      </c>
      <c r="Q31" s="248">
        <f t="shared" ref="Q31:R31" si="53">+Q5/Q14</f>
        <v>27796.623511508536</v>
      </c>
      <c r="R31" s="248">
        <f t="shared" si="53"/>
        <v>33128.551254157108</v>
      </c>
      <c r="S31" s="248">
        <f t="shared" ref="S31:T31" si="54">+S5/S14</f>
        <v>32013.008335805051</v>
      </c>
      <c r="T31" s="248">
        <f t="shared" si="54"/>
        <v>29495.974476496565</v>
      </c>
      <c r="U31" s="140">
        <f t="shared" si="52"/>
        <v>31498.713743260778</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562369.33567800059</v>
      </c>
      <c r="D32" s="100">
        <f>PL!L47</f>
        <v>1189455.3786782443</v>
      </c>
      <c r="E32" s="100">
        <f>PL!M47</f>
        <v>455017.00393772993</v>
      </c>
      <c r="F32" s="100">
        <f>PL!N47</f>
        <v>463019.51684172999</v>
      </c>
      <c r="G32" s="100">
        <f>PL!O47</f>
        <v>618420.63745686691</v>
      </c>
      <c r="H32" s="100">
        <f>PL!P47</f>
        <v>591324.48220652342</v>
      </c>
      <c r="I32" s="100">
        <f>PL!Q47</f>
        <v>560447.82669475616</v>
      </c>
      <c r="J32" s="100">
        <f>PL!R47</f>
        <v>527774.22405469127</v>
      </c>
      <c r="K32" s="100">
        <f>PL!S47</f>
        <v>570479.99702969973</v>
      </c>
      <c r="L32" s="100">
        <f>PL!T47</f>
        <v>1613999.9240946427</v>
      </c>
      <c r="M32" s="100">
        <f>PL!U47</f>
        <v>905353.32856549928</v>
      </c>
      <c r="N32" s="248">
        <f>PL!V47</f>
        <v>719794.83562371263</v>
      </c>
      <c r="O32" s="248">
        <f>PL!W47</f>
        <v>849825.85878663068</v>
      </c>
      <c r="P32" s="248">
        <f>PL!X47</f>
        <v>911764.95167912007</v>
      </c>
      <c r="Q32" s="248">
        <f>PL!Y47</f>
        <v>699780.50740053377</v>
      </c>
      <c r="R32" s="248">
        <f>PL!Z47</f>
        <v>833345.75478684937</v>
      </c>
      <c r="S32" s="248">
        <f>PL!AA47</f>
        <v>824011.65966386534</v>
      </c>
      <c r="T32" s="248">
        <f>PL!AB47</f>
        <v>744553.96208442259</v>
      </c>
      <c r="U32" s="140">
        <f>PL!AC47</f>
        <v>696185.7605966893</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46.892889014981982</v>
      </c>
      <c r="D33" s="101">
        <f t="shared" si="55"/>
        <v>45.15742017459408</v>
      </c>
      <c r="E33" s="101">
        <f t="shared" si="55"/>
        <v>33.736864606447206</v>
      </c>
      <c r="F33" s="101">
        <f t="shared" si="55"/>
        <v>43.815642446100419</v>
      </c>
      <c r="G33" s="101">
        <f t="shared" si="55"/>
        <v>43.072081866627208</v>
      </c>
      <c r="H33" s="101">
        <f t="shared" si="55"/>
        <v>51.886637809759641</v>
      </c>
      <c r="I33" s="101">
        <f t="shared" si="55"/>
        <v>50.342471969553301</v>
      </c>
      <c r="J33" s="101">
        <f t="shared" si="55"/>
        <v>44.776241823272905</v>
      </c>
      <c r="K33" s="101">
        <f t="shared" si="55"/>
        <v>50.764560316695196</v>
      </c>
      <c r="L33" s="101">
        <f>+L32/L5*100</f>
        <v>75.235483669269058</v>
      </c>
      <c r="M33" s="101">
        <f>+M32/M5*100</f>
        <v>55.363537665709195</v>
      </c>
      <c r="N33" s="246">
        <f>+N32/N5*100</f>
        <v>46.96467451814857</v>
      </c>
      <c r="O33" s="246">
        <f>+O32/O5*100</f>
        <v>50.338693438547175</v>
      </c>
      <c r="P33" s="246">
        <f>+P32/P5*100</f>
        <v>50.66095227614268</v>
      </c>
      <c r="Q33" s="246">
        <f t="shared" ref="Q33:R33" si="56">+Q32/Q5*100</f>
        <v>46.633403738299279</v>
      </c>
      <c r="R33" s="246">
        <f t="shared" si="56"/>
        <v>51.430610776792093</v>
      </c>
      <c r="S33" s="246">
        <f t="shared" ref="S33:T33" si="57">+S32/S5*100</f>
        <v>49.555677061452535</v>
      </c>
      <c r="T33" s="246">
        <f t="shared" si="57"/>
        <v>50.982378187840652</v>
      </c>
      <c r="U33" s="142">
        <f t="shared" si="55"/>
        <v>46.226187406828039</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42.257420078017496</v>
      </c>
      <c r="D34" s="103">
        <f>+D8/D32*100</f>
        <v>26.245436970062947</v>
      </c>
      <c r="E34" s="103">
        <f t="shared" si="58"/>
        <v>46.377843314510656</v>
      </c>
      <c r="F34" s="103">
        <f t="shared" si="58"/>
        <v>39.655847617775599</v>
      </c>
      <c r="G34" s="103">
        <f t="shared" si="58"/>
        <v>34.359877661388239</v>
      </c>
      <c r="H34" s="103">
        <f t="shared" si="58"/>
        <v>32.73985999518333</v>
      </c>
      <c r="I34" s="103">
        <f t="shared" si="58"/>
        <v>43.46365635759841</v>
      </c>
      <c r="J34" s="103">
        <f t="shared" si="58"/>
        <v>40.527445156527442</v>
      </c>
      <c r="K34" s="103">
        <f t="shared" si="58"/>
        <v>34.266158576219013</v>
      </c>
      <c r="L34" s="103">
        <f>+L8/L32*100</f>
        <v>15.657858914302897</v>
      </c>
      <c r="M34" s="103">
        <f>+M8/M32*100</f>
        <v>22.66403913243489</v>
      </c>
      <c r="N34" s="249">
        <f>+N8/N32*100</f>
        <v>33.738512276599074</v>
      </c>
      <c r="O34" s="249">
        <f>+O8/O32*100</f>
        <v>33.144911746376614</v>
      </c>
      <c r="P34" s="249">
        <f>+P8/P32*100</f>
        <v>30.392564601666212</v>
      </c>
      <c r="Q34" s="249">
        <f t="shared" ref="Q34:R34" si="59">+Q8/Q32*100</f>
        <v>42.25154319444313</v>
      </c>
      <c r="R34" s="249">
        <f t="shared" si="59"/>
        <v>32.2794809502672</v>
      </c>
      <c r="S34" s="249">
        <f t="shared" ref="S34:T34" si="60">+S8/S32*100</f>
        <v>33.632282519497167</v>
      </c>
      <c r="T34" s="249">
        <f t="shared" si="60"/>
        <v>33.258516227029929</v>
      </c>
      <c r="U34" s="146">
        <f t="shared" si="58"/>
        <v>35.580970222577115</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12685.693520093828</v>
      </c>
      <c r="D35" s="150">
        <f>+D32/D14</f>
        <v>21856.015245861683</v>
      </c>
      <c r="E35" s="150">
        <f t="shared" si="61"/>
        <v>10482.455329804936</v>
      </c>
      <c r="F35" s="150">
        <f t="shared" si="61"/>
        <v>11719.942176911227</v>
      </c>
      <c r="G35" s="150">
        <f t="shared" si="61"/>
        <v>12455.948994160368</v>
      </c>
      <c r="H35" s="150">
        <f t="shared" si="61"/>
        <v>14630.772308949043</v>
      </c>
      <c r="I35" s="150">
        <f t="shared" si="61"/>
        <v>12637.91021641212</v>
      </c>
      <c r="J35" s="150">
        <f t="shared" si="61"/>
        <v>13623.968785804069</v>
      </c>
      <c r="K35" s="150">
        <f t="shared" si="61"/>
        <v>13777.56449269857</v>
      </c>
      <c r="L35" s="150">
        <f>+L32/L14</f>
        <v>28310.607824127026</v>
      </c>
      <c r="M35" s="150">
        <f>+M32/M14</f>
        <v>18226.511471887265</v>
      </c>
      <c r="N35" s="250">
        <f>+N32/N14</f>
        <v>14173.102158129495</v>
      </c>
      <c r="O35" s="250">
        <f>+O32/O14</f>
        <v>15007.741090683379</v>
      </c>
      <c r="P35" s="250">
        <f>+P32/P14</f>
        <v>15091.003147685797</v>
      </c>
      <c r="Q35" s="250">
        <f t="shared" ref="Q35:R35" si="62">+Q32/Q14</f>
        <v>12962.511667736797</v>
      </c>
      <c r="R35" s="250">
        <f t="shared" si="62"/>
        <v>17038.21625151562</v>
      </c>
      <c r="S35" s="250">
        <f t="shared" ref="S35:T35" si="63">+S32/S14</f>
        <v>15864.263028547432</v>
      </c>
      <c r="T35" s="250">
        <f t="shared" si="63"/>
        <v>15037.749257796431</v>
      </c>
      <c r="U35" s="151">
        <f t="shared" si="61"/>
        <v>14560.654445700027</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１６　化学工業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38326.320828448603</v>
      </c>
      <c r="F6" s="306" t="s">
        <v>111</v>
      </c>
      <c r="G6" s="308">
        <v>100</v>
      </c>
      <c r="H6" s="310">
        <f>IF(E7=0,"-",(E6/E7)*G6)</f>
        <v>2.9941738855808282</v>
      </c>
      <c r="I6" s="304"/>
      <c r="J6" s="10">
        <f>+PL!L38</f>
        <v>188081.52436082973</v>
      </c>
      <c r="K6" s="306" t="s">
        <v>111</v>
      </c>
      <c r="L6" s="308">
        <v>100</v>
      </c>
      <c r="M6" s="310">
        <f>IF(J7=0,"-",(J6/J7)*L6)</f>
        <v>8.1813235432670517</v>
      </c>
      <c r="N6" s="304"/>
      <c r="O6" s="10">
        <f>+PL!M38</f>
        <v>37626.65341626251</v>
      </c>
      <c r="P6" s="306" t="s">
        <v>111</v>
      </c>
      <c r="Q6" s="308">
        <v>100</v>
      </c>
      <c r="R6" s="310">
        <f>IF(O7=0,"-",(O6/O7)*Q6)</f>
        <v>3.0246139647446579</v>
      </c>
      <c r="S6" s="304"/>
      <c r="T6" s="10">
        <f>+PL!N38</f>
        <v>-66559.98295911937</v>
      </c>
      <c r="U6" s="306" t="s">
        <v>111</v>
      </c>
      <c r="V6" s="308">
        <v>100</v>
      </c>
      <c r="W6" s="310">
        <f>IF(T7=0,"-",(T6/T7)*V6)</f>
        <v>-6.2072008092348314</v>
      </c>
      <c r="X6" s="304"/>
      <c r="Y6" s="10">
        <f>+PL!O38</f>
        <v>48925.206147699799</v>
      </c>
      <c r="Z6" s="306" t="s">
        <v>111</v>
      </c>
      <c r="AA6" s="308">
        <v>100</v>
      </c>
      <c r="AB6" s="310">
        <f>IF(Y7=0,"-",(Y6/Y7)*AA6)</f>
        <v>3.2514934536358613</v>
      </c>
      <c r="AC6" s="304"/>
      <c r="AD6" s="10">
        <f>+PL!P38</f>
        <v>9784.896796626912</v>
      </c>
      <c r="AE6" s="306" t="s">
        <v>111</v>
      </c>
      <c r="AF6" s="308">
        <v>100</v>
      </c>
      <c r="AG6" s="310">
        <f>IF(AD7=0,"-",(AD6/AD7)*AF6)</f>
        <v>0.82570065664227166</v>
      </c>
      <c r="AH6" s="304"/>
      <c r="AI6" s="10">
        <f>+PL!Q38</f>
        <v>29490.480118135019</v>
      </c>
      <c r="AJ6" s="306" t="s">
        <v>111</v>
      </c>
      <c r="AK6" s="308">
        <v>100</v>
      </c>
      <c r="AL6" s="310">
        <f>IF(AI7=0,"-",(AI6/AI7)*AK6)</f>
        <v>2.3591439940533867</v>
      </c>
      <c r="AM6" s="304"/>
      <c r="AN6" s="10">
        <f>+PL!R38</f>
        <v>40646.889696761682</v>
      </c>
      <c r="AO6" s="306" t="s">
        <v>112</v>
      </c>
      <c r="AP6" s="308">
        <v>100</v>
      </c>
      <c r="AQ6" s="310">
        <f>IF(AN7=0,"-",(AN6/AN7)*AP6)</f>
        <v>3.1496328657469861</v>
      </c>
      <c r="AR6" s="304"/>
      <c r="AS6" s="10">
        <f>+PL!S38</f>
        <v>35017.523582025831</v>
      </c>
      <c r="AT6" s="306" t="s">
        <v>111</v>
      </c>
      <c r="AU6" s="308">
        <v>100</v>
      </c>
      <c r="AV6" s="310">
        <f>IF(AS7=0,"-",(AS6/AS7)*AU6)</f>
        <v>2.499211096345999</v>
      </c>
      <c r="AW6" s="304"/>
      <c r="AX6" s="10">
        <f>+PL!T38</f>
        <v>71632.75866834895</v>
      </c>
      <c r="AY6" s="306" t="s">
        <v>111</v>
      </c>
      <c r="AZ6" s="308">
        <v>100</v>
      </c>
      <c r="BA6" s="310">
        <f>IF(AX7=0,"-",(AX6/AX7)*AZ6)</f>
        <v>4.201529583959255</v>
      </c>
      <c r="BB6" s="304"/>
      <c r="BC6" s="10">
        <f>+PL!U38</f>
        <v>56732.43026997034</v>
      </c>
      <c r="BD6" s="306" t="s">
        <v>111</v>
      </c>
      <c r="BE6" s="308">
        <v>100</v>
      </c>
      <c r="BF6" s="310">
        <f>IF(BC7=0,"-",(BC6/BC7)*BE6)</f>
        <v>3.3672241548811774</v>
      </c>
      <c r="BG6" s="304"/>
      <c r="BH6" s="10">
        <f>+PL!V38</f>
        <v>45780.98743647369</v>
      </c>
      <c r="BI6" s="306" t="s">
        <v>111</v>
      </c>
      <c r="BJ6" s="308">
        <v>100</v>
      </c>
      <c r="BK6" s="310">
        <f>IF(BH7=0,"-",(BH6/BH7)*BJ6)</f>
        <v>2.4647515305326362</v>
      </c>
      <c r="BL6" s="304"/>
      <c r="BM6" s="10">
        <f>+PL!W38</f>
        <v>63365.397796625366</v>
      </c>
      <c r="BN6" s="306" t="s">
        <v>111</v>
      </c>
      <c r="BO6" s="308">
        <v>100</v>
      </c>
      <c r="BP6" s="310">
        <f>IF(BM7=0,"-",(BM6/BM7)*BO6)</f>
        <v>2.940858234928081</v>
      </c>
      <c r="BQ6" s="304"/>
      <c r="BR6" s="10">
        <f>+PL!X38</f>
        <v>90907.121801878064</v>
      </c>
      <c r="BS6" s="306" t="s">
        <v>111</v>
      </c>
      <c r="BT6" s="308">
        <v>100</v>
      </c>
      <c r="BU6" s="310">
        <f>IF(BR7=0,"-",(BR6/BR7)*BT6)</f>
        <v>4.1356292685280325</v>
      </c>
      <c r="BV6" s="304"/>
      <c r="BW6" s="10">
        <f>+PL!Y38</f>
        <v>76839.41727238649</v>
      </c>
      <c r="BX6" s="306" t="s">
        <v>111</v>
      </c>
      <c r="BY6" s="308">
        <v>100</v>
      </c>
      <c r="BZ6" s="310">
        <f>IF(BW7=0,"-",(BW6/BW7)*BY6)</f>
        <v>4.2402018500023608</v>
      </c>
      <c r="CA6" s="304"/>
      <c r="CB6" s="10">
        <f>+PL!Z38</f>
        <v>82418.284699908851</v>
      </c>
      <c r="CC6" s="306" t="s">
        <v>111</v>
      </c>
      <c r="CD6" s="308">
        <v>100</v>
      </c>
      <c r="CE6" s="310">
        <f>IF(CB7=0,"-",(CB6/CB7)*CD6)</f>
        <v>4.367455632161569</v>
      </c>
      <c r="CF6" s="304"/>
      <c r="CG6" s="10">
        <f>+PL!AA38</f>
        <v>73017.917567026816</v>
      </c>
      <c r="CH6" s="306" t="s">
        <v>111</v>
      </c>
      <c r="CI6" s="308">
        <v>100</v>
      </c>
      <c r="CJ6" s="310">
        <f>IF(CG7=0,"-",(CG6/CG7)*CI6)</f>
        <v>3.5118987554628935</v>
      </c>
      <c r="CK6" s="304"/>
      <c r="CL6" s="10">
        <f>+PL!AB38</f>
        <v>85285.503548748602</v>
      </c>
      <c r="CM6" s="306" t="s">
        <v>111</v>
      </c>
      <c r="CN6" s="308">
        <v>100</v>
      </c>
      <c r="CO6" s="310">
        <f>IF(CL7=0,"-",(CL6/CL7)*CN6)</f>
        <v>4.2803687744192409</v>
      </c>
      <c r="CP6" s="304"/>
      <c r="CQ6" s="10">
        <f>+PL!AC38</f>
        <v>91139.5346552665</v>
      </c>
      <c r="CR6" s="306" t="s">
        <v>111</v>
      </c>
      <c r="CS6" s="308">
        <v>100</v>
      </c>
      <c r="CT6" s="310">
        <f>IF(CQ7=0,"-",(CQ6/CQ7)*CS6)</f>
        <v>5.1462941024125897</v>
      </c>
    </row>
    <row r="7" spans="1:98" ht="18" customHeight="1" x14ac:dyDescent="0.2">
      <c r="A7" s="11"/>
      <c r="B7" s="321"/>
      <c r="C7" s="323"/>
      <c r="D7" s="305"/>
      <c r="E7" s="12">
        <f>+BS!K8</f>
        <v>1280029.8944900399</v>
      </c>
      <c r="F7" s="307"/>
      <c r="G7" s="309"/>
      <c r="H7" s="311"/>
      <c r="I7" s="305"/>
      <c r="J7" s="12">
        <f>+BS!L8</f>
        <v>2298913.1693198266</v>
      </c>
      <c r="K7" s="307"/>
      <c r="L7" s="309"/>
      <c r="M7" s="311"/>
      <c r="N7" s="305"/>
      <c r="O7" s="12">
        <f>+BS!M8</f>
        <v>1244015.0662148716</v>
      </c>
      <c r="P7" s="307"/>
      <c r="Q7" s="309"/>
      <c r="R7" s="311"/>
      <c r="S7" s="305"/>
      <c r="T7" s="12">
        <f>+BS!N8</f>
        <v>1072302.7175163082</v>
      </c>
      <c r="U7" s="307"/>
      <c r="V7" s="309"/>
      <c r="W7" s="311"/>
      <c r="X7" s="305"/>
      <c r="Y7" s="12">
        <f>+BS!O8</f>
        <v>1504699.5125575608</v>
      </c>
      <c r="Z7" s="307"/>
      <c r="AA7" s="309"/>
      <c r="AB7" s="311"/>
      <c r="AC7" s="305"/>
      <c r="AD7" s="12">
        <f>+BS!P8</f>
        <v>1185041.6634543312</v>
      </c>
      <c r="AE7" s="307"/>
      <c r="AF7" s="309"/>
      <c r="AG7" s="311"/>
      <c r="AH7" s="305"/>
      <c r="AI7" s="12">
        <f>+BS!Q8</f>
        <v>1250050.0263006692</v>
      </c>
      <c r="AJ7" s="307"/>
      <c r="AK7" s="309"/>
      <c r="AL7" s="311"/>
      <c r="AM7" s="305"/>
      <c r="AN7" s="12">
        <f>+BS!R8</f>
        <v>1290527.8624314081</v>
      </c>
      <c r="AO7" s="307"/>
      <c r="AP7" s="309"/>
      <c r="AQ7" s="311"/>
      <c r="AR7" s="305"/>
      <c r="AS7" s="12">
        <f>+BS!S8</f>
        <v>1401143.0900424384</v>
      </c>
      <c r="AT7" s="307"/>
      <c r="AU7" s="309"/>
      <c r="AV7" s="311"/>
      <c r="AW7" s="305"/>
      <c r="AX7" s="12">
        <f>+BS!T8</f>
        <v>1704920.9635898073</v>
      </c>
      <c r="AY7" s="307"/>
      <c r="AZ7" s="309"/>
      <c r="BA7" s="311"/>
      <c r="BB7" s="305"/>
      <c r="BC7" s="12">
        <f>+BS!U8</f>
        <v>1684842.6971435859</v>
      </c>
      <c r="BD7" s="307"/>
      <c r="BE7" s="309"/>
      <c r="BF7" s="311"/>
      <c r="BG7" s="305"/>
      <c r="BH7" s="12">
        <f>+BS!V8</f>
        <v>1857428.0964775525</v>
      </c>
      <c r="BI7" s="307"/>
      <c r="BJ7" s="309"/>
      <c r="BK7" s="311"/>
      <c r="BL7" s="305"/>
      <c r="BM7" s="12">
        <f>+BS!W8</f>
        <v>2154656.6592039405</v>
      </c>
      <c r="BN7" s="307"/>
      <c r="BO7" s="309"/>
      <c r="BP7" s="311"/>
      <c r="BQ7" s="305"/>
      <c r="BR7" s="12">
        <f>+BS!X8</f>
        <v>2198144.850498992</v>
      </c>
      <c r="BS7" s="307"/>
      <c r="BT7" s="309"/>
      <c r="BU7" s="311"/>
      <c r="BV7" s="305"/>
      <c r="BW7" s="12">
        <f>+BS!Y8</f>
        <v>1812164.1372413367</v>
      </c>
      <c r="BX7" s="307"/>
      <c r="BY7" s="309"/>
      <c r="BZ7" s="311"/>
      <c r="CA7" s="305"/>
      <c r="CB7" s="12">
        <f>+BS!Z8</f>
        <v>1887100.6746579786</v>
      </c>
      <c r="CC7" s="307"/>
      <c r="CD7" s="309"/>
      <c r="CE7" s="311"/>
      <c r="CF7" s="305"/>
      <c r="CG7" s="12">
        <f>+BS!AA8</f>
        <v>2079157.8189275709</v>
      </c>
      <c r="CH7" s="307"/>
      <c r="CI7" s="309"/>
      <c r="CJ7" s="311"/>
      <c r="CK7" s="305"/>
      <c r="CL7" s="12">
        <f>+BS!AB8</f>
        <v>1992480.2754949569</v>
      </c>
      <c r="CM7" s="307"/>
      <c r="CN7" s="309"/>
      <c r="CO7" s="311"/>
      <c r="CP7" s="305"/>
      <c r="CQ7" s="12">
        <f>+BS!AC8</f>
        <v>1770974.0804074949</v>
      </c>
      <c r="CR7" s="307"/>
      <c r="CS7" s="309"/>
      <c r="CT7" s="311"/>
    </row>
    <row r="8" spans="1:98" ht="18" customHeight="1" x14ac:dyDescent="0.2">
      <c r="A8" s="11"/>
      <c r="B8" s="320" t="s">
        <v>113</v>
      </c>
      <c r="C8" s="322" t="s">
        <v>110</v>
      </c>
      <c r="D8" s="304"/>
      <c r="E8" s="10">
        <f>+E6</f>
        <v>38326.320828448603</v>
      </c>
      <c r="F8" s="306" t="s">
        <v>114</v>
      </c>
      <c r="G8" s="308">
        <v>100</v>
      </c>
      <c r="H8" s="310">
        <f>IF(E9=0,"-",(E8/E9)*G8)</f>
        <v>6.9237321787785646</v>
      </c>
      <c r="I8" s="304"/>
      <c r="J8" s="10">
        <f>+J6</f>
        <v>188081.52436082973</v>
      </c>
      <c r="K8" s="306" t="s">
        <v>111</v>
      </c>
      <c r="L8" s="308">
        <v>100</v>
      </c>
      <c r="M8" s="310">
        <f>IF(J9=0,"-",(J8/J9)*L8)</f>
        <v>13.501754497750998</v>
      </c>
      <c r="N8" s="304"/>
      <c r="O8" s="10">
        <f>+O6</f>
        <v>37626.65341626251</v>
      </c>
      <c r="P8" s="306" t="s">
        <v>111</v>
      </c>
      <c r="Q8" s="308">
        <v>100</v>
      </c>
      <c r="R8" s="310">
        <f>IF(O9=0,"-",(O8/O9)*Q8)</f>
        <v>6.5167750133832278</v>
      </c>
      <c r="S8" s="304"/>
      <c r="T8" s="10">
        <f>+T6</f>
        <v>-66559.98295911937</v>
      </c>
      <c r="U8" s="306" t="s">
        <v>111</v>
      </c>
      <c r="V8" s="308">
        <v>100</v>
      </c>
      <c r="W8" s="310">
        <f>IF(T9=0,"-",(T8/T9)*V8)</f>
        <v>-14.082830814966412</v>
      </c>
      <c r="X8" s="304"/>
      <c r="Y8" s="10">
        <f>+Y6</f>
        <v>48925.206147699799</v>
      </c>
      <c r="Z8" s="306" t="s">
        <v>111</v>
      </c>
      <c r="AA8" s="308">
        <v>100</v>
      </c>
      <c r="AB8" s="310">
        <f>IF(Y9=0,"-",(Y8/Y9)*AA8)</f>
        <v>6.1207524169160301</v>
      </c>
      <c r="AC8" s="304"/>
      <c r="AD8" s="10">
        <f>+AD6</f>
        <v>9784.896796626912</v>
      </c>
      <c r="AE8" s="306" t="s">
        <v>111</v>
      </c>
      <c r="AF8" s="308">
        <v>100</v>
      </c>
      <c r="AG8" s="310">
        <f>IF(AD9=0,"-",(AD8/AD9)*AF8)</f>
        <v>1.9211140088640208</v>
      </c>
      <c r="AH8" s="304"/>
      <c r="AI8" s="10">
        <f>+AI6</f>
        <v>29490.480118135019</v>
      </c>
      <c r="AJ8" s="306" t="s">
        <v>114</v>
      </c>
      <c r="AK8" s="308">
        <v>100</v>
      </c>
      <c r="AL8" s="310">
        <f>IF(AI9=0,"-",(AI8/AI9)*AK8)</f>
        <v>5.1365598629941926</v>
      </c>
      <c r="AM8" s="304"/>
      <c r="AN8" s="10">
        <f>+AN6</f>
        <v>40646.889696761682</v>
      </c>
      <c r="AO8" s="306" t="s">
        <v>114</v>
      </c>
      <c r="AP8" s="308">
        <v>100</v>
      </c>
      <c r="AQ8" s="310">
        <f>IF(AN9=0,"-",(AN8/AN9)*AP8)</f>
        <v>7.4445548407459521</v>
      </c>
      <c r="AR8" s="304"/>
      <c r="AS8" s="10">
        <f>+AS6</f>
        <v>35017.523582025831</v>
      </c>
      <c r="AT8" s="306" t="s">
        <v>111</v>
      </c>
      <c r="AU8" s="308">
        <v>100</v>
      </c>
      <c r="AV8" s="310">
        <f>IF(AS9=0,"-",(AS8/AS9)*AU8)</f>
        <v>5.2655764590166925</v>
      </c>
      <c r="AW8" s="304"/>
      <c r="AX8" s="10">
        <f>+AX6</f>
        <v>71632.75866834895</v>
      </c>
      <c r="AY8" s="306" t="s">
        <v>111</v>
      </c>
      <c r="AZ8" s="308">
        <v>100</v>
      </c>
      <c r="BA8" s="310">
        <f>IF(AX9=0,"-",(AX8/AX9)*AZ8)</f>
        <v>9.0660815629305649</v>
      </c>
      <c r="BB8" s="304"/>
      <c r="BC8" s="10">
        <f>+BC6</f>
        <v>56732.43026997034</v>
      </c>
      <c r="BD8" s="306" t="s">
        <v>111</v>
      </c>
      <c r="BE8" s="308">
        <v>100</v>
      </c>
      <c r="BF8" s="310">
        <f>IF(BC9=0,"-",(BC8/BC9)*BE8)</f>
        <v>6.4483167233882881</v>
      </c>
      <c r="BG8" s="304"/>
      <c r="BH8" s="10">
        <f>+BH6</f>
        <v>45780.98743647369</v>
      </c>
      <c r="BI8" s="306" t="s">
        <v>111</v>
      </c>
      <c r="BJ8" s="308">
        <v>100</v>
      </c>
      <c r="BK8" s="310">
        <f>IF(BH9=0,"-",(BH8/BH9)*BJ8)</f>
        <v>4.2146444694086744</v>
      </c>
      <c r="BL8" s="304"/>
      <c r="BM8" s="10">
        <f>+BM6</f>
        <v>63365.397796625366</v>
      </c>
      <c r="BN8" s="306" t="s">
        <v>111</v>
      </c>
      <c r="BO8" s="308">
        <v>100</v>
      </c>
      <c r="BP8" s="310">
        <f>IF(BM9=0,"-",(BM8/BM9)*BO8)</f>
        <v>4.9345521022978271</v>
      </c>
      <c r="BQ8" s="304"/>
      <c r="BR8" s="10">
        <f>+BR6</f>
        <v>90907.121801878064</v>
      </c>
      <c r="BS8" s="306" t="s">
        <v>111</v>
      </c>
      <c r="BT8" s="308">
        <v>100</v>
      </c>
      <c r="BU8" s="310">
        <f>IF(BR9=0,"-",(BR8/BR9)*BT8)</f>
        <v>6.8766904570303158</v>
      </c>
      <c r="BV8" s="304"/>
      <c r="BW8" s="10">
        <f>+BW6</f>
        <v>76839.41727238649</v>
      </c>
      <c r="BX8" s="306" t="s">
        <v>111</v>
      </c>
      <c r="BY8" s="308">
        <v>100</v>
      </c>
      <c r="BZ8" s="310">
        <f>IF(BW9=0,"-",(BW8/BW9)*BY8)</f>
        <v>7.5227242733366824</v>
      </c>
      <c r="CA8" s="304"/>
      <c r="CB8" s="10">
        <f>+CB6</f>
        <v>82418.284699908851</v>
      </c>
      <c r="CC8" s="306" t="s">
        <v>111</v>
      </c>
      <c r="CD8" s="308">
        <v>100</v>
      </c>
      <c r="CE8" s="310">
        <f>IF(CB9=0,"-",(CB8/CB9)*CD8)</f>
        <v>8.3381707933858102</v>
      </c>
      <c r="CF8" s="304"/>
      <c r="CG8" s="10">
        <f>+CG6</f>
        <v>73017.917567026816</v>
      </c>
      <c r="CH8" s="306" t="s">
        <v>114</v>
      </c>
      <c r="CI8" s="308">
        <v>100</v>
      </c>
      <c r="CJ8" s="310">
        <f>IF(CG9=0,"-",(CG8/CG9)*CI8)</f>
        <v>5.872174294660085</v>
      </c>
      <c r="CK8" s="304"/>
      <c r="CL8" s="10">
        <f>+CL6</f>
        <v>85285.503548748602</v>
      </c>
      <c r="CM8" s="306" t="s">
        <v>111</v>
      </c>
      <c r="CN8" s="308">
        <v>100</v>
      </c>
      <c r="CO8" s="310">
        <f>IF(CL9=0,"-",(CL8/CL9)*CN8)</f>
        <v>6.8630913037762173</v>
      </c>
      <c r="CP8" s="304"/>
      <c r="CQ8" s="10">
        <f>+CQ6</f>
        <v>91139.5346552665</v>
      </c>
      <c r="CR8" s="306" t="s">
        <v>111</v>
      </c>
      <c r="CS8" s="308">
        <v>100</v>
      </c>
      <c r="CT8" s="310">
        <f>IF(CQ9=0,"-",(CQ8/CQ9)*CS8)</f>
        <v>9.0247476715831727</v>
      </c>
    </row>
    <row r="9" spans="1:98" ht="18" customHeight="1" x14ac:dyDescent="0.2">
      <c r="A9" s="11"/>
      <c r="B9" s="321"/>
      <c r="C9" s="323"/>
      <c r="D9" s="305"/>
      <c r="E9" s="12">
        <f>+BS!K43</f>
        <v>553550.01953888196</v>
      </c>
      <c r="F9" s="307"/>
      <c r="G9" s="309"/>
      <c r="H9" s="311"/>
      <c r="I9" s="305"/>
      <c r="J9" s="12">
        <f>+BS!L43</f>
        <v>1393015.436565364</v>
      </c>
      <c r="K9" s="307"/>
      <c r="L9" s="309"/>
      <c r="M9" s="311"/>
      <c r="N9" s="305"/>
      <c r="O9" s="12">
        <f>+BS!M43</f>
        <v>577381.50141734572</v>
      </c>
      <c r="P9" s="307"/>
      <c r="Q9" s="309"/>
      <c r="R9" s="311"/>
      <c r="S9" s="305"/>
      <c r="T9" s="12">
        <f>+BS!N43</f>
        <v>472632.12796949386</v>
      </c>
      <c r="U9" s="307"/>
      <c r="V9" s="309"/>
      <c r="W9" s="311"/>
      <c r="X9" s="305"/>
      <c r="Y9" s="12">
        <f>+BS!O43</f>
        <v>799333.19982824905</v>
      </c>
      <c r="Z9" s="307"/>
      <c r="AA9" s="309"/>
      <c r="AB9" s="311"/>
      <c r="AC9" s="305"/>
      <c r="AD9" s="12">
        <f>+BS!P43</f>
        <v>509334.51900716953</v>
      </c>
      <c r="AE9" s="307"/>
      <c r="AF9" s="309"/>
      <c r="AG9" s="311"/>
      <c r="AH9" s="305"/>
      <c r="AI9" s="12">
        <f>+BS!Q43</f>
        <v>574129.00666448171</v>
      </c>
      <c r="AJ9" s="307"/>
      <c r="AK9" s="309"/>
      <c r="AL9" s="311"/>
      <c r="AM9" s="305"/>
      <c r="AN9" s="12">
        <f>+BS!R43</f>
        <v>545994.89917504345</v>
      </c>
      <c r="AO9" s="307"/>
      <c r="AP9" s="309"/>
      <c r="AQ9" s="311"/>
      <c r="AR9" s="305"/>
      <c r="AS9" s="12">
        <f>+BS!S43</f>
        <v>665027.34989371127</v>
      </c>
      <c r="AT9" s="307"/>
      <c r="AU9" s="309"/>
      <c r="AV9" s="311"/>
      <c r="AW9" s="305"/>
      <c r="AX9" s="12">
        <f>+BS!T43</f>
        <v>790118.18028685404</v>
      </c>
      <c r="AY9" s="307"/>
      <c r="AZ9" s="309"/>
      <c r="BA9" s="311"/>
      <c r="BB9" s="305"/>
      <c r="BC9" s="12">
        <f>+BS!U43</f>
        <v>879802.16703996062</v>
      </c>
      <c r="BD9" s="307"/>
      <c r="BE9" s="309"/>
      <c r="BF9" s="311"/>
      <c r="BG9" s="305"/>
      <c r="BH9" s="12">
        <f>+BS!V43</f>
        <v>1086236.0459765396</v>
      </c>
      <c r="BI9" s="307"/>
      <c r="BJ9" s="309"/>
      <c r="BK9" s="311"/>
      <c r="BL9" s="305"/>
      <c r="BM9" s="12">
        <f>+BS!W43</f>
        <v>1284116.5010116843</v>
      </c>
      <c r="BN9" s="307"/>
      <c r="BO9" s="309"/>
      <c r="BP9" s="311"/>
      <c r="BQ9" s="305"/>
      <c r="BR9" s="12">
        <f>+BS!X43</f>
        <v>1321960.3582554755</v>
      </c>
      <c r="BS9" s="307"/>
      <c r="BT9" s="309"/>
      <c r="BU9" s="311"/>
      <c r="BV9" s="305"/>
      <c r="BW9" s="12">
        <f>+BS!Y43</f>
        <v>1021430.7274923503</v>
      </c>
      <c r="BX9" s="307"/>
      <c r="BY9" s="309"/>
      <c r="BZ9" s="311"/>
      <c r="CA9" s="305"/>
      <c r="CB9" s="12">
        <f>+BS!Z43</f>
        <v>988445.62844990555</v>
      </c>
      <c r="CC9" s="307"/>
      <c r="CD9" s="309"/>
      <c r="CE9" s="311"/>
      <c r="CF9" s="305"/>
      <c r="CG9" s="12">
        <f>+BS!AA43</f>
        <v>1243456.2378951579</v>
      </c>
      <c r="CH9" s="307"/>
      <c r="CI9" s="309"/>
      <c r="CJ9" s="311"/>
      <c r="CK9" s="305"/>
      <c r="CL9" s="12">
        <f>+BS!AB43</f>
        <v>1242668.9340679867</v>
      </c>
      <c r="CM9" s="307"/>
      <c r="CN9" s="309"/>
      <c r="CO9" s="311"/>
      <c r="CP9" s="305"/>
      <c r="CQ9" s="12">
        <f>+BS!AC43</f>
        <v>1009884.574859014</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306725.96131301392</v>
      </c>
      <c r="F11" s="306" t="s">
        <v>118</v>
      </c>
      <c r="G11" s="308">
        <v>100</v>
      </c>
      <c r="H11" s="310">
        <f>IF(E12=0,"-",(E11/E12)*G11)</f>
        <v>25.5761926359732</v>
      </c>
      <c r="I11" s="304"/>
      <c r="J11" s="10">
        <f>+PL!L41</f>
        <v>661306.31934394594</v>
      </c>
      <c r="K11" s="306" t="s">
        <v>111</v>
      </c>
      <c r="L11" s="308">
        <v>100</v>
      </c>
      <c r="M11" s="310">
        <f>IF(J12=0,"-",(J11/J12)*L11)</f>
        <v>25.106353598495911</v>
      </c>
      <c r="N11" s="304"/>
      <c r="O11" s="10">
        <f>+PL!M41</f>
        <v>310862.93687277893</v>
      </c>
      <c r="P11" s="306" t="s">
        <v>111</v>
      </c>
      <c r="Q11" s="308">
        <v>100</v>
      </c>
      <c r="R11" s="310">
        <f>IF(O12=0,"-",(O11/O12)*Q11)</f>
        <v>23.048678888217395</v>
      </c>
      <c r="S11" s="304"/>
      <c r="T11" s="10">
        <f>+PL!N41</f>
        <v>239205.87865029508</v>
      </c>
      <c r="U11" s="306" t="s">
        <v>111</v>
      </c>
      <c r="V11" s="308">
        <v>100</v>
      </c>
      <c r="W11" s="310">
        <f>IF(T12=0,"-",(T11/T12)*V11)</f>
        <v>22.636106835058602</v>
      </c>
      <c r="X11" s="304"/>
      <c r="Y11" s="10">
        <f>+PL!O41</f>
        <v>321363.13890539389</v>
      </c>
      <c r="Z11" s="306" t="s">
        <v>111</v>
      </c>
      <c r="AA11" s="308">
        <v>100</v>
      </c>
      <c r="AB11" s="310">
        <f>IF(Y12=0,"-",(Y11/Y12)*AA11)</f>
        <v>22.382466867165057</v>
      </c>
      <c r="AC11" s="304"/>
      <c r="AD11" s="10">
        <f>+PL!P41</f>
        <v>262631.4922409174</v>
      </c>
      <c r="AE11" s="306" t="s">
        <v>111</v>
      </c>
      <c r="AF11" s="308">
        <v>100</v>
      </c>
      <c r="AG11" s="310">
        <f>IF(AD12=0,"-",(AD11/AD12)*AF11)</f>
        <v>23.044987186209301</v>
      </c>
      <c r="AH11" s="304"/>
      <c r="AI11" s="10">
        <f>+PL!Q41</f>
        <v>284076.80553272599</v>
      </c>
      <c r="AJ11" s="306" t="s">
        <v>118</v>
      </c>
      <c r="AK11" s="308">
        <v>100</v>
      </c>
      <c r="AL11" s="310">
        <f>IF(AI12=0,"-",(AI11/AI12)*AK11)</f>
        <v>25.517323716058428</v>
      </c>
      <c r="AM11" s="304"/>
      <c r="AN11" s="10">
        <f>+PL!R41</f>
        <v>275923.99031723349</v>
      </c>
      <c r="AO11" s="306" t="s">
        <v>119</v>
      </c>
      <c r="AP11" s="308">
        <v>100</v>
      </c>
      <c r="AQ11" s="310">
        <f>IF(AN12=0,"-",(AN11/AN12)*AP11)</f>
        <v>23.409326852625096</v>
      </c>
      <c r="AR11" s="304"/>
      <c r="AS11" s="10">
        <f>+PL!S41</f>
        <v>314569.70655569743</v>
      </c>
      <c r="AT11" s="306" t="s">
        <v>111</v>
      </c>
      <c r="AU11" s="308">
        <v>100</v>
      </c>
      <c r="AV11" s="310">
        <f>IF(AS12=0,"-",(AS11/AS12)*AU11)</f>
        <v>27.992204679212357</v>
      </c>
      <c r="AW11" s="304"/>
      <c r="AX11" s="10">
        <f>+PL!T41</f>
        <v>361089.23237506318</v>
      </c>
      <c r="AY11" s="306" t="s">
        <v>111</v>
      </c>
      <c r="AZ11" s="308">
        <v>100</v>
      </c>
      <c r="BA11" s="310">
        <f>IF(AX12=0,"-",(AX11/AX12)*AZ11)</f>
        <v>16.831923372451126</v>
      </c>
      <c r="BB11" s="304"/>
      <c r="BC11" s="10">
        <f>+PL!U41</f>
        <v>390349.46463266772</v>
      </c>
      <c r="BD11" s="306" t="s">
        <v>111</v>
      </c>
      <c r="BE11" s="308">
        <v>100</v>
      </c>
      <c r="BF11" s="310">
        <f>IF(BC12=0,"-",(BC11/BC12)*BE11)</f>
        <v>23.870379227767568</v>
      </c>
      <c r="BG11" s="304"/>
      <c r="BH11" s="10">
        <f>+PL!V41</f>
        <v>356583.64706786303</v>
      </c>
      <c r="BI11" s="306" t="s">
        <v>111</v>
      </c>
      <c r="BJ11" s="308">
        <v>100</v>
      </c>
      <c r="BK11" s="310">
        <f>IF(BH12=0,"-",(BH11/BH12)*BJ11)</f>
        <v>23.266122642468218</v>
      </c>
      <c r="BL11" s="304"/>
      <c r="BM11" s="10">
        <f>+PL!W41</f>
        <v>423494.23575747752</v>
      </c>
      <c r="BN11" s="306" t="s">
        <v>111</v>
      </c>
      <c r="BO11" s="308">
        <v>100</v>
      </c>
      <c r="BP11" s="310">
        <f>IF(BM12=0,"-",(BM11/BM12)*BO11)</f>
        <v>25.085311639287173</v>
      </c>
      <c r="BQ11" s="304"/>
      <c r="BR11" s="10">
        <f>+PL!X41</f>
        <v>496963.25054111506</v>
      </c>
      <c r="BS11" s="306" t="s">
        <v>111</v>
      </c>
      <c r="BT11" s="308">
        <v>100</v>
      </c>
      <c r="BU11" s="310">
        <f>IF(BR12=0,"-",(BR11/BR12)*BT11)</f>
        <v>27.613072286113326</v>
      </c>
      <c r="BV11" s="304"/>
      <c r="BW11" s="10">
        <f>+PL!Y41</f>
        <v>361339.71962690807</v>
      </c>
      <c r="BX11" s="306" t="s">
        <v>111</v>
      </c>
      <c r="BY11" s="308">
        <v>100</v>
      </c>
      <c r="BZ11" s="310">
        <f>IF(BW12=0,"-",(BW11/BW12)*BY11)</f>
        <v>24.079694781210499</v>
      </c>
      <c r="CA11" s="304"/>
      <c r="CB11" s="10">
        <f>+PL!Z41</f>
        <v>354797.83740703604</v>
      </c>
      <c r="CC11" s="306" t="s">
        <v>111</v>
      </c>
      <c r="CD11" s="308">
        <v>100</v>
      </c>
      <c r="CE11" s="310">
        <f>IF(CB12=0,"-",(CB11/CB12)*CD11)</f>
        <v>21.896636990484367</v>
      </c>
      <c r="CF11" s="304"/>
      <c r="CG11" s="10">
        <f>+PL!AA41</f>
        <v>387696.99959983997</v>
      </c>
      <c r="CH11" s="306" t="s">
        <v>119</v>
      </c>
      <c r="CI11" s="308">
        <v>100</v>
      </c>
      <c r="CJ11" s="310">
        <f>IF(CG12=0,"-",(CG11/CG12)*CI11)</f>
        <v>23.315916813241515</v>
      </c>
      <c r="CK11" s="304"/>
      <c r="CL11" s="10">
        <f>+PL!AB41</f>
        <v>360698.35954426596</v>
      </c>
      <c r="CM11" s="306" t="s">
        <v>111</v>
      </c>
      <c r="CN11" s="308">
        <v>100</v>
      </c>
      <c r="CO11" s="310">
        <f>IF(CL12=0,"-",(CL11/CL12)*CN11)</f>
        <v>24.698357828273018</v>
      </c>
      <c r="CP11" s="304"/>
      <c r="CQ11" s="10">
        <f>+PL!AC41</f>
        <v>347516.6920138257</v>
      </c>
      <c r="CR11" s="306" t="s">
        <v>111</v>
      </c>
      <c r="CS11" s="308">
        <v>100</v>
      </c>
      <c r="CT11" s="310">
        <f>IF(CQ12=0,"-",(CQ11/CQ12)*CS11)</f>
        <v>23.074835254118874</v>
      </c>
    </row>
    <row r="12" spans="1:98" ht="18" customHeight="1" x14ac:dyDescent="0.2">
      <c r="A12" s="16"/>
      <c r="B12" s="321"/>
      <c r="C12" s="323"/>
      <c r="D12" s="305"/>
      <c r="E12" s="12">
        <f>+PL!K6</f>
        <v>1199263.5717076999</v>
      </c>
      <c r="F12" s="307"/>
      <c r="G12" s="309"/>
      <c r="H12" s="311"/>
      <c r="I12" s="305"/>
      <c r="J12" s="12">
        <f>+PL!L6</f>
        <v>2634019.778099373</v>
      </c>
      <c r="K12" s="307"/>
      <c r="L12" s="309"/>
      <c r="M12" s="311"/>
      <c r="N12" s="305"/>
      <c r="O12" s="12">
        <f>+PL!M6</f>
        <v>1348723.4490983936</v>
      </c>
      <c r="P12" s="307"/>
      <c r="Q12" s="309"/>
      <c r="R12" s="311"/>
      <c r="S12" s="305"/>
      <c r="T12" s="12">
        <f>+PL!N6</f>
        <v>1056744.785635201</v>
      </c>
      <c r="U12" s="307"/>
      <c r="V12" s="309"/>
      <c r="W12" s="311"/>
      <c r="X12" s="305"/>
      <c r="Y12" s="12">
        <f>+PL!O6</f>
        <v>1435780.6975102983</v>
      </c>
      <c r="Z12" s="307"/>
      <c r="AA12" s="309"/>
      <c r="AB12" s="311"/>
      <c r="AC12" s="305"/>
      <c r="AD12" s="12">
        <f>+PL!P6</f>
        <v>1139646.9441218986</v>
      </c>
      <c r="AE12" s="307"/>
      <c r="AF12" s="309"/>
      <c r="AG12" s="311"/>
      <c r="AH12" s="305"/>
      <c r="AI12" s="12">
        <f>+PL!Q6</f>
        <v>1113270.3754271546</v>
      </c>
      <c r="AJ12" s="307"/>
      <c r="AK12" s="309"/>
      <c r="AL12" s="311"/>
      <c r="AM12" s="305"/>
      <c r="AN12" s="12">
        <f>+PL!R6</f>
        <v>1178692.5444474781</v>
      </c>
      <c r="AO12" s="307"/>
      <c r="AP12" s="309"/>
      <c r="AQ12" s="311"/>
      <c r="AR12" s="305"/>
      <c r="AS12" s="12">
        <f>+PL!S6</f>
        <v>1123776.1018134595</v>
      </c>
      <c r="AT12" s="307"/>
      <c r="AU12" s="309"/>
      <c r="AV12" s="311"/>
      <c r="AW12" s="305"/>
      <c r="AX12" s="12">
        <f>+PL!T6</f>
        <v>2145264.2362076058</v>
      </c>
      <c r="AY12" s="307"/>
      <c r="AZ12" s="309"/>
      <c r="BA12" s="311"/>
      <c r="BB12" s="305"/>
      <c r="BC12" s="12">
        <f>+PL!U6</f>
        <v>1635288.0735911727</v>
      </c>
      <c r="BD12" s="307"/>
      <c r="BE12" s="309"/>
      <c r="BF12" s="311"/>
      <c r="BG12" s="305"/>
      <c r="BH12" s="12">
        <f>+PL!V6</f>
        <v>1532630.3077977516</v>
      </c>
      <c r="BI12" s="307"/>
      <c r="BJ12" s="309"/>
      <c r="BK12" s="311"/>
      <c r="BL12" s="305"/>
      <c r="BM12" s="12">
        <f>+PL!W6</f>
        <v>1688215.9641749286</v>
      </c>
      <c r="BN12" s="307"/>
      <c r="BO12" s="309"/>
      <c r="BP12" s="311"/>
      <c r="BQ12" s="305"/>
      <c r="BR12" s="12">
        <f>+PL!X6</f>
        <v>1799739.0706540067</v>
      </c>
      <c r="BS12" s="307"/>
      <c r="BT12" s="309"/>
      <c r="BU12" s="311"/>
      <c r="BV12" s="305"/>
      <c r="BW12" s="12">
        <f>+PL!Y6</f>
        <v>1500599.2514027345</v>
      </c>
      <c r="BX12" s="307"/>
      <c r="BY12" s="309"/>
      <c r="BZ12" s="311"/>
      <c r="CA12" s="305"/>
      <c r="CB12" s="12">
        <f>+PL!Z6</f>
        <v>1620330.270631151</v>
      </c>
      <c r="CC12" s="307"/>
      <c r="CD12" s="309"/>
      <c r="CE12" s="311"/>
      <c r="CF12" s="305"/>
      <c r="CG12" s="12">
        <f>+PL!AA6</f>
        <v>1662799.7204881951</v>
      </c>
      <c r="CH12" s="307"/>
      <c r="CI12" s="309"/>
      <c r="CJ12" s="311"/>
      <c r="CK12" s="305"/>
      <c r="CL12" s="12">
        <f>+PL!AB6</f>
        <v>1460414.3403063128</v>
      </c>
      <c r="CM12" s="307"/>
      <c r="CN12" s="309"/>
      <c r="CO12" s="311"/>
      <c r="CP12" s="305"/>
      <c r="CQ12" s="12">
        <f>+PL!AC6</f>
        <v>1506041.9205020922</v>
      </c>
      <c r="CR12" s="307"/>
      <c r="CS12" s="309"/>
      <c r="CT12" s="311"/>
    </row>
    <row r="13" spans="1:98" ht="18" customHeight="1" x14ac:dyDescent="0.2">
      <c r="A13" s="17"/>
      <c r="B13" s="320" t="s">
        <v>120</v>
      </c>
      <c r="C13" s="322" t="s">
        <v>117</v>
      </c>
      <c r="D13" s="304"/>
      <c r="E13" s="10">
        <f>+PL!K42</f>
        <v>62810.758108639857</v>
      </c>
      <c r="F13" s="306" t="s">
        <v>121</v>
      </c>
      <c r="G13" s="308">
        <v>100</v>
      </c>
      <c r="H13" s="310">
        <f>IF(E14=0,"-",(E13/E14)*G13)</f>
        <v>5.2374440106773212</v>
      </c>
      <c r="I13" s="304"/>
      <c r="J13" s="10">
        <f>+PL!L42</f>
        <v>317126.86927158711</v>
      </c>
      <c r="K13" s="306" t="s">
        <v>111</v>
      </c>
      <c r="L13" s="308">
        <v>100</v>
      </c>
      <c r="M13" s="310">
        <f>IF(J14=0,"-",(J13/J14)*L13)</f>
        <v>12.039654064420732</v>
      </c>
      <c r="N13" s="304"/>
      <c r="O13" s="10">
        <f>+PL!M42</f>
        <v>64077.478323002346</v>
      </c>
      <c r="P13" s="306" t="s">
        <v>111</v>
      </c>
      <c r="Q13" s="308">
        <v>100</v>
      </c>
      <c r="R13" s="310">
        <f>IF(O14=0,"-",(O13/O14)*Q13)</f>
        <v>4.7509723632251974</v>
      </c>
      <c r="S13" s="304"/>
      <c r="T13" s="10">
        <f>+PL!N42</f>
        <v>17578.194261997705</v>
      </c>
      <c r="U13" s="306" t="s">
        <v>111</v>
      </c>
      <c r="V13" s="308">
        <v>100</v>
      </c>
      <c r="W13" s="310">
        <f>IF(T14=0,"-",(T13/T14)*V13)</f>
        <v>1.6634285308000447</v>
      </c>
      <c r="X13" s="304"/>
      <c r="Y13" s="10">
        <f>+PL!O42</f>
        <v>84862.009942757897</v>
      </c>
      <c r="Z13" s="306" t="s">
        <v>111</v>
      </c>
      <c r="AA13" s="308">
        <v>100</v>
      </c>
      <c r="AB13" s="310">
        <f>IF(Y14=0,"-",(Y13/Y14)*AA13)</f>
        <v>5.9105133597291042</v>
      </c>
      <c r="AC13" s="304"/>
      <c r="AD13" s="10">
        <f>+PL!P42</f>
        <v>33912.800304008881</v>
      </c>
      <c r="AE13" s="306" t="s">
        <v>111</v>
      </c>
      <c r="AF13" s="308">
        <v>100</v>
      </c>
      <c r="AG13" s="310">
        <f>IF(AD14=0,"-",(AD13/AD14)*AF13)</f>
        <v>2.9757286218267178</v>
      </c>
      <c r="AH13" s="304"/>
      <c r="AI13" s="10">
        <f>+PL!Q42</f>
        <v>52756.042279608366</v>
      </c>
      <c r="AJ13" s="306" t="s">
        <v>121</v>
      </c>
      <c r="AK13" s="308">
        <v>100</v>
      </c>
      <c r="AL13" s="310">
        <f>IF(AI14=0,"-",(AI13/AI14)*AK13)</f>
        <v>4.738834648264687</v>
      </c>
      <c r="AM13" s="304"/>
      <c r="AN13" s="10">
        <f>+PL!R42</f>
        <v>74617.272617318114</v>
      </c>
      <c r="AO13" s="306" t="s">
        <v>118</v>
      </c>
      <c r="AP13" s="308">
        <v>100</v>
      </c>
      <c r="AQ13" s="310">
        <f>IF(AN14=0,"-",(AN13/AN14)*AP13)</f>
        <v>6.3305119701334487</v>
      </c>
      <c r="AR13" s="304"/>
      <c r="AS13" s="10">
        <f>+PL!S42</f>
        <v>64991.964004110232</v>
      </c>
      <c r="AT13" s="306" t="s">
        <v>111</v>
      </c>
      <c r="AU13" s="308">
        <v>100</v>
      </c>
      <c r="AV13" s="310">
        <f>IF(AS14=0,"-",(AS13/AS14)*AU13)</f>
        <v>5.7833552341281704</v>
      </c>
      <c r="AW13" s="304"/>
      <c r="AX13" s="10">
        <f>+PL!T42</f>
        <v>140153.65215431669</v>
      </c>
      <c r="AY13" s="306" t="s">
        <v>111</v>
      </c>
      <c r="AZ13" s="308">
        <v>100</v>
      </c>
      <c r="BA13" s="310">
        <f>IF(AX14=0,"-",(AX13/AX14)*AZ13)</f>
        <v>6.533164996125608</v>
      </c>
      <c r="BB13" s="304"/>
      <c r="BC13" s="10">
        <f>+PL!U42</f>
        <v>90232.819437355851</v>
      </c>
      <c r="BD13" s="306" t="s">
        <v>111</v>
      </c>
      <c r="BE13" s="308">
        <v>100</v>
      </c>
      <c r="BF13" s="310">
        <f>IF(BC14=0,"-",(BC13/BC14)*BE13)</f>
        <v>5.517854676161134</v>
      </c>
      <c r="BG13" s="304"/>
      <c r="BH13" s="10">
        <f>+PL!V42</f>
        <v>78214.046966491354</v>
      </c>
      <c r="BI13" s="306" t="s">
        <v>111</v>
      </c>
      <c r="BJ13" s="308">
        <v>100</v>
      </c>
      <c r="BK13" s="310">
        <f>IF(BH14=0,"-",(BH13/BH14)*BJ13)</f>
        <v>5.1032559233986259</v>
      </c>
      <c r="BL13" s="304"/>
      <c r="BM13" s="10">
        <f>+PL!W42</f>
        <v>95068.072975609321</v>
      </c>
      <c r="BN13" s="306" t="s">
        <v>111</v>
      </c>
      <c r="BO13" s="308">
        <v>100</v>
      </c>
      <c r="BP13" s="310">
        <f>IF(BM14=0,"-",(BM13/BM14)*BO13)</f>
        <v>5.6312743744294211</v>
      </c>
      <c r="BQ13" s="304"/>
      <c r="BR13" s="10">
        <f>+PL!X42</f>
        <v>150554.6767849637</v>
      </c>
      <c r="BS13" s="306" t="s">
        <v>111</v>
      </c>
      <c r="BT13" s="308">
        <v>100</v>
      </c>
      <c r="BU13" s="310">
        <f>IF(BR14=0,"-",(BR13/BR14)*BT13)</f>
        <v>8.3653613593138072</v>
      </c>
      <c r="BV13" s="304"/>
      <c r="BW13" s="10">
        <f>+PL!Y42</f>
        <v>107873.72514254945</v>
      </c>
      <c r="BX13" s="306" t="s">
        <v>111</v>
      </c>
      <c r="BY13" s="308">
        <v>100</v>
      </c>
      <c r="BZ13" s="310">
        <f>IF(BW14=0,"-",(BW13/BW14)*BY13)</f>
        <v>7.1887097798903286</v>
      </c>
      <c r="CA13" s="304"/>
      <c r="CB13" s="10">
        <f>+PL!Z42</f>
        <v>105959.12816116503</v>
      </c>
      <c r="CC13" s="306" t="s">
        <v>111</v>
      </c>
      <c r="CD13" s="308">
        <v>100</v>
      </c>
      <c r="CE13" s="310">
        <f>IF(CB14=0,"-",(CB13/CB14)*CD13)</f>
        <v>6.539353740511916</v>
      </c>
      <c r="CF13" s="304"/>
      <c r="CG13" s="10">
        <f>+PL!AA42</f>
        <v>106881.14265706282</v>
      </c>
      <c r="CH13" s="306" t="s">
        <v>118</v>
      </c>
      <c r="CI13" s="308">
        <v>100</v>
      </c>
      <c r="CJ13" s="310">
        <f>IF(CG14=0,"-",(CG13/CG14)*CI13)</f>
        <v>6.4277820918614728</v>
      </c>
      <c r="CK13" s="304"/>
      <c r="CL13" s="10">
        <f>+PL!AB42</f>
        <v>115888.07452372058</v>
      </c>
      <c r="CM13" s="306" t="s">
        <v>111</v>
      </c>
      <c r="CN13" s="308">
        <v>100</v>
      </c>
      <c r="CO13" s="310">
        <f>IF(CL14=0,"-",(CL13/CL14)*CN13)</f>
        <v>7.9352873582036851</v>
      </c>
      <c r="CP13" s="304"/>
      <c r="CQ13" s="10">
        <f>+PL!AC42</f>
        <v>97483.280152810621</v>
      </c>
      <c r="CR13" s="306" t="s">
        <v>111</v>
      </c>
      <c r="CS13" s="308">
        <v>100</v>
      </c>
      <c r="CT13" s="310">
        <f>IF(CQ14=0,"-",(CQ13/CQ14)*CS13)</f>
        <v>6.4728131950212333</v>
      </c>
    </row>
    <row r="14" spans="1:98" ht="18" customHeight="1" x14ac:dyDescent="0.2">
      <c r="A14" s="17"/>
      <c r="B14" s="321"/>
      <c r="C14" s="323"/>
      <c r="D14" s="305"/>
      <c r="E14" s="12">
        <f>+E12</f>
        <v>1199263.5717076999</v>
      </c>
      <c r="F14" s="307"/>
      <c r="G14" s="309"/>
      <c r="H14" s="311"/>
      <c r="I14" s="305"/>
      <c r="J14" s="12">
        <f>+J12</f>
        <v>2634019.778099373</v>
      </c>
      <c r="K14" s="307"/>
      <c r="L14" s="309"/>
      <c r="M14" s="311"/>
      <c r="N14" s="305"/>
      <c r="O14" s="12">
        <f>+O12</f>
        <v>1348723.4490983936</v>
      </c>
      <c r="P14" s="307"/>
      <c r="Q14" s="309"/>
      <c r="R14" s="311"/>
      <c r="S14" s="305"/>
      <c r="T14" s="12">
        <f>+T12</f>
        <v>1056744.785635201</v>
      </c>
      <c r="U14" s="307"/>
      <c r="V14" s="309"/>
      <c r="W14" s="311"/>
      <c r="X14" s="305"/>
      <c r="Y14" s="12">
        <f>+Y12</f>
        <v>1435780.6975102983</v>
      </c>
      <c r="Z14" s="307"/>
      <c r="AA14" s="309"/>
      <c r="AB14" s="311"/>
      <c r="AC14" s="305"/>
      <c r="AD14" s="12">
        <f>+AD12</f>
        <v>1139646.9441218986</v>
      </c>
      <c r="AE14" s="307"/>
      <c r="AF14" s="309"/>
      <c r="AG14" s="311"/>
      <c r="AH14" s="305"/>
      <c r="AI14" s="12">
        <f>+AI12</f>
        <v>1113270.3754271546</v>
      </c>
      <c r="AJ14" s="307"/>
      <c r="AK14" s="309"/>
      <c r="AL14" s="311"/>
      <c r="AM14" s="305"/>
      <c r="AN14" s="12">
        <f>+AN12</f>
        <v>1178692.5444474781</v>
      </c>
      <c r="AO14" s="307"/>
      <c r="AP14" s="309"/>
      <c r="AQ14" s="311"/>
      <c r="AR14" s="305"/>
      <c r="AS14" s="12">
        <f>+AS12</f>
        <v>1123776.1018134595</v>
      </c>
      <c r="AT14" s="307"/>
      <c r="AU14" s="309"/>
      <c r="AV14" s="311"/>
      <c r="AW14" s="305"/>
      <c r="AX14" s="12">
        <f>+AX12</f>
        <v>2145264.2362076058</v>
      </c>
      <c r="AY14" s="307"/>
      <c r="AZ14" s="309"/>
      <c r="BA14" s="311"/>
      <c r="BB14" s="305"/>
      <c r="BC14" s="12">
        <f>+BC12</f>
        <v>1635288.0735911727</v>
      </c>
      <c r="BD14" s="307"/>
      <c r="BE14" s="309"/>
      <c r="BF14" s="311"/>
      <c r="BG14" s="305"/>
      <c r="BH14" s="12">
        <f>+BH12</f>
        <v>1532630.3077977516</v>
      </c>
      <c r="BI14" s="307"/>
      <c r="BJ14" s="309"/>
      <c r="BK14" s="311"/>
      <c r="BL14" s="305"/>
      <c r="BM14" s="12">
        <f>+BM12</f>
        <v>1688215.9641749286</v>
      </c>
      <c r="BN14" s="307"/>
      <c r="BO14" s="309"/>
      <c r="BP14" s="311"/>
      <c r="BQ14" s="305"/>
      <c r="BR14" s="12">
        <f>+BR12</f>
        <v>1799739.0706540067</v>
      </c>
      <c r="BS14" s="307"/>
      <c r="BT14" s="309"/>
      <c r="BU14" s="311"/>
      <c r="BV14" s="305"/>
      <c r="BW14" s="12">
        <f>+BW12</f>
        <v>1500599.2514027345</v>
      </c>
      <c r="BX14" s="307"/>
      <c r="BY14" s="309"/>
      <c r="BZ14" s="311"/>
      <c r="CA14" s="305"/>
      <c r="CB14" s="12">
        <f>+CB12</f>
        <v>1620330.270631151</v>
      </c>
      <c r="CC14" s="307"/>
      <c r="CD14" s="309"/>
      <c r="CE14" s="311"/>
      <c r="CF14" s="305"/>
      <c r="CG14" s="12">
        <f>+CG12</f>
        <v>1662799.7204881951</v>
      </c>
      <c r="CH14" s="307"/>
      <c r="CI14" s="309"/>
      <c r="CJ14" s="311"/>
      <c r="CK14" s="305"/>
      <c r="CL14" s="12">
        <f>+CL12</f>
        <v>1460414.3403063128</v>
      </c>
      <c r="CM14" s="307"/>
      <c r="CN14" s="309"/>
      <c r="CO14" s="311"/>
      <c r="CP14" s="305"/>
      <c r="CQ14" s="12">
        <f>+CQ12</f>
        <v>1506041.9205020922</v>
      </c>
      <c r="CR14" s="307"/>
      <c r="CS14" s="309"/>
      <c r="CT14" s="311"/>
    </row>
    <row r="15" spans="1:98" ht="18" customHeight="1" x14ac:dyDescent="0.2">
      <c r="A15" s="17"/>
      <c r="B15" s="320" t="s">
        <v>122</v>
      </c>
      <c r="C15" s="322" t="s">
        <v>117</v>
      </c>
      <c r="D15" s="304"/>
      <c r="E15" s="10">
        <f>+PL!K34</f>
        <v>58883.059788980099</v>
      </c>
      <c r="F15" s="306" t="s">
        <v>123</v>
      </c>
      <c r="G15" s="308">
        <v>100</v>
      </c>
      <c r="H15" s="310">
        <f>IF(E16=0,"-",(E15/E16)*G15)</f>
        <v>4.9099348281823607</v>
      </c>
      <c r="I15" s="304"/>
      <c r="J15" s="10">
        <f>+PL!L34</f>
        <v>314966.71490593342</v>
      </c>
      <c r="K15" s="306" t="s">
        <v>111</v>
      </c>
      <c r="L15" s="308">
        <v>100</v>
      </c>
      <c r="M15" s="310">
        <f>IF(J16=0,"-",(J15/J16)*L15)</f>
        <v>11.957644263901605</v>
      </c>
      <c r="N15" s="304"/>
      <c r="O15" s="10">
        <f>+PL!M34</f>
        <v>68028.075798494639</v>
      </c>
      <c r="P15" s="306" t="s">
        <v>111</v>
      </c>
      <c r="Q15" s="308">
        <v>100</v>
      </c>
      <c r="R15" s="310">
        <f>IF(O16=0,"-",(O15/O16)*Q15)</f>
        <v>5.0438861906027244</v>
      </c>
      <c r="S15" s="304"/>
      <c r="T15" s="10">
        <f>+PL!N34</f>
        <v>19453.835466321518</v>
      </c>
      <c r="U15" s="306" t="s">
        <v>111</v>
      </c>
      <c r="V15" s="308">
        <v>100</v>
      </c>
      <c r="W15" s="310">
        <f>IF(T16=0,"-",(T15/T16)*V15)</f>
        <v>1.8409208856070174</v>
      </c>
      <c r="X15" s="304"/>
      <c r="Y15" s="10">
        <f>+PL!O34</f>
        <v>87797.712712291919</v>
      </c>
      <c r="Z15" s="306" t="s">
        <v>111</v>
      </c>
      <c r="AA15" s="308">
        <v>100</v>
      </c>
      <c r="AB15" s="310">
        <f>IF(Y16=0,"-",(Y15/Y16)*AA15)</f>
        <v>6.1149807115067567</v>
      </c>
      <c r="AC15" s="304"/>
      <c r="AD15" s="10">
        <f>+PL!P34</f>
        <v>29917.541731271191</v>
      </c>
      <c r="AE15" s="306" t="s">
        <v>111</v>
      </c>
      <c r="AF15" s="308">
        <v>100</v>
      </c>
      <c r="AG15" s="310">
        <f>IF(AD16=0,"-",(AD15/AD16)*AF15)</f>
        <v>2.6251587726866363</v>
      </c>
      <c r="AH15" s="304"/>
      <c r="AI15" s="10">
        <f>+PL!Q34</f>
        <v>55424.127092153809</v>
      </c>
      <c r="AJ15" s="306" t="s">
        <v>123</v>
      </c>
      <c r="AK15" s="308">
        <v>100</v>
      </c>
      <c r="AL15" s="310">
        <f>IF(AI16=0,"-",(AI15/AI16)*AK15)</f>
        <v>4.9784965373652321</v>
      </c>
      <c r="AM15" s="304"/>
      <c r="AN15" s="10">
        <f>+PL!R34</f>
        <v>75947.549212629761</v>
      </c>
      <c r="AO15" s="306" t="s">
        <v>123</v>
      </c>
      <c r="AP15" s="308">
        <v>100</v>
      </c>
      <c r="AQ15" s="310">
        <f>IF(AN16=0,"-",(AN15/AN16)*AP15)</f>
        <v>6.4433723255822235</v>
      </c>
      <c r="AR15" s="304"/>
      <c r="AS15" s="10">
        <f>+PL!S34</f>
        <v>58798.701840306894</v>
      </c>
      <c r="AT15" s="306" t="s">
        <v>111</v>
      </c>
      <c r="AU15" s="308">
        <v>100</v>
      </c>
      <c r="AV15" s="310">
        <f>IF(AS16=0,"-",(AS15/AS16)*AU15)</f>
        <v>5.2322434820799515</v>
      </c>
      <c r="AW15" s="304"/>
      <c r="AX15" s="10">
        <f>+PL!T34</f>
        <v>140109.35791278037</v>
      </c>
      <c r="AY15" s="306" t="s">
        <v>111</v>
      </c>
      <c r="AZ15" s="308">
        <v>100</v>
      </c>
      <c r="BA15" s="310">
        <f>IF(AX16=0,"-",(AX15/AX16)*AZ15)</f>
        <v>6.5311002508700478</v>
      </c>
      <c r="BB15" s="304"/>
      <c r="BC15" s="10">
        <f>+PL!U34</f>
        <v>102145.02910872283</v>
      </c>
      <c r="BD15" s="306" t="s">
        <v>111</v>
      </c>
      <c r="BE15" s="308">
        <v>100</v>
      </c>
      <c r="BF15" s="310">
        <f>IF(BC16=0,"-",(BC15/BC16)*BE15)</f>
        <v>6.2463018448124155</v>
      </c>
      <c r="BG15" s="304"/>
      <c r="BH15" s="10">
        <f>+PL!V34</f>
        <v>94067.627221694536</v>
      </c>
      <c r="BI15" s="306" t="s">
        <v>111</v>
      </c>
      <c r="BJ15" s="308">
        <v>100</v>
      </c>
      <c r="BK15" s="310">
        <f>IF(BH16=0,"-",(BH15/BH16)*BJ15)</f>
        <v>6.1376593391827825</v>
      </c>
      <c r="BL15" s="304"/>
      <c r="BM15" s="10">
        <f>+PL!W34</f>
        <v>103689.56079046405</v>
      </c>
      <c r="BN15" s="306" t="s">
        <v>111</v>
      </c>
      <c r="BO15" s="308">
        <v>100</v>
      </c>
      <c r="BP15" s="310">
        <f>IF(BM16=0,"-",(BM15/BM16)*BO15)</f>
        <v>6.1419606845821777</v>
      </c>
      <c r="BQ15" s="304"/>
      <c r="BR15" s="10">
        <f>+PL!X34</f>
        <v>162205.33261365557</v>
      </c>
      <c r="BS15" s="306" t="s">
        <v>111</v>
      </c>
      <c r="BT15" s="308">
        <v>100</v>
      </c>
      <c r="BU15" s="310">
        <f>IF(BR16=0,"-",(BR15/BR16)*BT15)</f>
        <v>9.012713857165517</v>
      </c>
      <c r="BV15" s="304"/>
      <c r="BW15" s="10">
        <f>+PL!Y34</f>
        <v>118607.21027551361</v>
      </c>
      <c r="BX15" s="306" t="s">
        <v>111</v>
      </c>
      <c r="BY15" s="308">
        <v>100</v>
      </c>
      <c r="BZ15" s="310">
        <f>IF(BW16=0,"-",(BW15/BW16)*BY15)</f>
        <v>7.9039897004241215</v>
      </c>
      <c r="CA15" s="304"/>
      <c r="CB15" s="10">
        <f>+PL!Z34</f>
        <v>118199.33137788069</v>
      </c>
      <c r="CC15" s="306" t="s">
        <v>111</v>
      </c>
      <c r="CD15" s="308">
        <v>100</v>
      </c>
      <c r="CE15" s="310">
        <f>IF(CB16=0,"-",(CB15/CB16)*CD15)</f>
        <v>7.2947678334639567</v>
      </c>
      <c r="CF15" s="304"/>
      <c r="CG15" s="10">
        <f>+PL!AA34</f>
        <v>118898.34433773509</v>
      </c>
      <c r="CH15" s="306" t="s">
        <v>121</v>
      </c>
      <c r="CI15" s="308">
        <v>100</v>
      </c>
      <c r="CJ15" s="310">
        <f>IF(CG16=0,"-",(CG15/CG16)*CI15)</f>
        <v>7.1504909985687721</v>
      </c>
      <c r="CK15" s="304"/>
      <c r="CL15" s="10">
        <f>+PL!AB34</f>
        <v>131514.98001494209</v>
      </c>
      <c r="CM15" s="306" t="s">
        <v>111</v>
      </c>
      <c r="CN15" s="308">
        <v>100</v>
      </c>
      <c r="CO15" s="310">
        <f>IF(CL16=0,"-",(CL15/CL16)*CN15)</f>
        <v>9.005319681218527</v>
      </c>
      <c r="CP15" s="304"/>
      <c r="CQ15" s="10">
        <f>+PL!AC34</f>
        <v>116369.58450063672</v>
      </c>
      <c r="CR15" s="306" t="s">
        <v>111</v>
      </c>
      <c r="CS15" s="308">
        <v>100</v>
      </c>
      <c r="CT15" s="310">
        <f>IF(CQ16=0,"-",(CQ15/CQ16)*CS15)</f>
        <v>7.7268489619359864</v>
      </c>
    </row>
    <row r="16" spans="1:98" ht="18" customHeight="1" x14ac:dyDescent="0.2">
      <c r="A16" s="17"/>
      <c r="B16" s="321"/>
      <c r="C16" s="323"/>
      <c r="D16" s="305"/>
      <c r="E16" s="12">
        <f>+E12</f>
        <v>1199263.5717076999</v>
      </c>
      <c r="F16" s="307"/>
      <c r="G16" s="309"/>
      <c r="H16" s="311"/>
      <c r="I16" s="305"/>
      <c r="J16" s="12">
        <f>+J12</f>
        <v>2634019.778099373</v>
      </c>
      <c r="K16" s="307"/>
      <c r="L16" s="309"/>
      <c r="M16" s="311"/>
      <c r="N16" s="305"/>
      <c r="O16" s="12">
        <f>+O12</f>
        <v>1348723.4490983936</v>
      </c>
      <c r="P16" s="307"/>
      <c r="Q16" s="309"/>
      <c r="R16" s="311"/>
      <c r="S16" s="305"/>
      <c r="T16" s="12">
        <f>+T12</f>
        <v>1056744.785635201</v>
      </c>
      <c r="U16" s="307"/>
      <c r="V16" s="309"/>
      <c r="W16" s="311"/>
      <c r="X16" s="305"/>
      <c r="Y16" s="12">
        <f>+Y12</f>
        <v>1435780.6975102983</v>
      </c>
      <c r="Z16" s="307"/>
      <c r="AA16" s="309"/>
      <c r="AB16" s="311"/>
      <c r="AC16" s="305"/>
      <c r="AD16" s="12">
        <f>+AD12</f>
        <v>1139646.9441218986</v>
      </c>
      <c r="AE16" s="307"/>
      <c r="AF16" s="309"/>
      <c r="AG16" s="311"/>
      <c r="AH16" s="305"/>
      <c r="AI16" s="12">
        <f>+AI12</f>
        <v>1113270.3754271546</v>
      </c>
      <c r="AJ16" s="307"/>
      <c r="AK16" s="309"/>
      <c r="AL16" s="311"/>
      <c r="AM16" s="305"/>
      <c r="AN16" s="12">
        <f>+AN12</f>
        <v>1178692.5444474781</v>
      </c>
      <c r="AO16" s="307"/>
      <c r="AP16" s="309"/>
      <c r="AQ16" s="311"/>
      <c r="AR16" s="305"/>
      <c r="AS16" s="12">
        <f>+AS12</f>
        <v>1123776.1018134595</v>
      </c>
      <c r="AT16" s="307"/>
      <c r="AU16" s="309"/>
      <c r="AV16" s="311"/>
      <c r="AW16" s="305"/>
      <c r="AX16" s="12">
        <f>+AX12</f>
        <v>2145264.2362076058</v>
      </c>
      <c r="AY16" s="307"/>
      <c r="AZ16" s="309"/>
      <c r="BA16" s="311"/>
      <c r="BB16" s="305"/>
      <c r="BC16" s="12">
        <f>+BC12</f>
        <v>1635288.0735911727</v>
      </c>
      <c r="BD16" s="307"/>
      <c r="BE16" s="309"/>
      <c r="BF16" s="311"/>
      <c r="BG16" s="305"/>
      <c r="BH16" s="12">
        <f>+BH12</f>
        <v>1532630.3077977516</v>
      </c>
      <c r="BI16" s="307"/>
      <c r="BJ16" s="309"/>
      <c r="BK16" s="311"/>
      <c r="BL16" s="305"/>
      <c r="BM16" s="12">
        <f>+BM12</f>
        <v>1688215.9641749286</v>
      </c>
      <c r="BN16" s="307"/>
      <c r="BO16" s="309"/>
      <c r="BP16" s="311"/>
      <c r="BQ16" s="305"/>
      <c r="BR16" s="12">
        <f>+BR12</f>
        <v>1799739.0706540067</v>
      </c>
      <c r="BS16" s="307"/>
      <c r="BT16" s="309"/>
      <c r="BU16" s="311"/>
      <c r="BV16" s="305"/>
      <c r="BW16" s="12">
        <f>+BW12</f>
        <v>1500599.2514027345</v>
      </c>
      <c r="BX16" s="307"/>
      <c r="BY16" s="309"/>
      <c r="BZ16" s="311"/>
      <c r="CA16" s="305"/>
      <c r="CB16" s="12">
        <f>+CB12</f>
        <v>1620330.270631151</v>
      </c>
      <c r="CC16" s="307"/>
      <c r="CD16" s="309"/>
      <c r="CE16" s="311"/>
      <c r="CF16" s="305"/>
      <c r="CG16" s="12">
        <f>+CG12</f>
        <v>1662799.7204881951</v>
      </c>
      <c r="CH16" s="307"/>
      <c r="CI16" s="309"/>
      <c r="CJ16" s="311"/>
      <c r="CK16" s="305"/>
      <c r="CL16" s="12">
        <f>+CL12</f>
        <v>1460414.3403063128</v>
      </c>
      <c r="CM16" s="307"/>
      <c r="CN16" s="309"/>
      <c r="CO16" s="311"/>
      <c r="CP16" s="305"/>
      <c r="CQ16" s="12">
        <f>+CQ12</f>
        <v>1506041.9205020922</v>
      </c>
      <c r="CR16" s="307"/>
      <c r="CS16" s="309"/>
      <c r="CT16" s="311"/>
    </row>
    <row r="17" spans="1:98" ht="18" customHeight="1" x14ac:dyDescent="0.2">
      <c r="A17" s="17"/>
      <c r="B17" s="320" t="s">
        <v>124</v>
      </c>
      <c r="C17" s="322" t="s">
        <v>117</v>
      </c>
      <c r="D17" s="304"/>
      <c r="E17" s="10">
        <f>+E6</f>
        <v>38326.320828448603</v>
      </c>
      <c r="F17" s="306" t="s">
        <v>123</v>
      </c>
      <c r="G17" s="308">
        <v>100</v>
      </c>
      <c r="H17" s="310">
        <f>IF(E18=0,"-",(E17/E18)*G17)</f>
        <v>3.1958213133976519</v>
      </c>
      <c r="I17" s="304"/>
      <c r="J17" s="10">
        <f>+J6</f>
        <v>188081.52436082973</v>
      </c>
      <c r="K17" s="306" t="s">
        <v>111</v>
      </c>
      <c r="L17" s="308">
        <v>100</v>
      </c>
      <c r="M17" s="310">
        <f>IF(J18=0,"-",(J17/J18)*L17)</f>
        <v>7.1404750231808629</v>
      </c>
      <c r="N17" s="304"/>
      <c r="O17" s="10">
        <f>+O6</f>
        <v>37626.65341626251</v>
      </c>
      <c r="P17" s="306" t="s">
        <v>111</v>
      </c>
      <c r="Q17" s="308">
        <v>100</v>
      </c>
      <c r="R17" s="310">
        <f>IF(O18=0,"-",(O17/O18)*Q17)</f>
        <v>2.7897975260543961</v>
      </c>
      <c r="S17" s="304"/>
      <c r="T17" s="10">
        <f>+T6</f>
        <v>-66559.98295911937</v>
      </c>
      <c r="U17" s="306" t="s">
        <v>111</v>
      </c>
      <c r="V17" s="308">
        <v>100</v>
      </c>
      <c r="W17" s="310">
        <f>IF(T18=0,"-",(T17/T18)*V17)</f>
        <v>-6.2985863629419931</v>
      </c>
      <c r="X17" s="304"/>
      <c r="Y17" s="10">
        <f>+Y6</f>
        <v>48925.206147699799</v>
      </c>
      <c r="Z17" s="306" t="s">
        <v>111</v>
      </c>
      <c r="AA17" s="308">
        <v>100</v>
      </c>
      <c r="AB17" s="310">
        <f>IF(Y18=0,"-",(Y17/Y18)*AA17)</f>
        <v>3.407568177545365</v>
      </c>
      <c r="AC17" s="304"/>
      <c r="AD17" s="10">
        <f>+AD6</f>
        <v>9784.896796626912</v>
      </c>
      <c r="AE17" s="306" t="s">
        <v>111</v>
      </c>
      <c r="AF17" s="308">
        <v>100</v>
      </c>
      <c r="AG17" s="310">
        <f>IF(AD18=0,"-",(AD17/AD18)*AF17)</f>
        <v>0.85859018418780608</v>
      </c>
      <c r="AH17" s="304"/>
      <c r="AI17" s="10">
        <f>+AI6</f>
        <v>29490.480118135019</v>
      </c>
      <c r="AJ17" s="306" t="s">
        <v>123</v>
      </c>
      <c r="AK17" s="308">
        <v>100</v>
      </c>
      <c r="AL17" s="310">
        <f>IF(AI18=0,"-",(AI17/AI18)*AK17)</f>
        <v>2.6489953176756109</v>
      </c>
      <c r="AM17" s="304"/>
      <c r="AN17" s="10">
        <f>+AN6</f>
        <v>40646.889696761682</v>
      </c>
      <c r="AO17" s="306" t="s">
        <v>125</v>
      </c>
      <c r="AP17" s="308">
        <v>100</v>
      </c>
      <c r="AQ17" s="310">
        <f>IF(AN18=0,"-",(AN17/AN18)*AP17)</f>
        <v>3.4484726223338624</v>
      </c>
      <c r="AR17" s="304"/>
      <c r="AS17" s="10">
        <f>+AS6</f>
        <v>35017.523582025831</v>
      </c>
      <c r="AT17" s="306" t="s">
        <v>111</v>
      </c>
      <c r="AU17" s="308">
        <v>100</v>
      </c>
      <c r="AV17" s="310">
        <f>IF(AS18=0,"-",(AS17/AS18)*AU17)</f>
        <v>3.1160587527637724</v>
      </c>
      <c r="AW17" s="304"/>
      <c r="AX17" s="10">
        <f>+AX6</f>
        <v>71632.75866834895</v>
      </c>
      <c r="AY17" s="306" t="s">
        <v>111</v>
      </c>
      <c r="AZ17" s="308">
        <v>100</v>
      </c>
      <c r="BA17" s="310">
        <f>IF(AX18=0,"-",(AX17/AX18)*AZ17)</f>
        <v>3.3391112134037719</v>
      </c>
      <c r="BB17" s="304"/>
      <c r="BC17" s="10">
        <f>+BC6</f>
        <v>56732.43026997034</v>
      </c>
      <c r="BD17" s="306" t="s">
        <v>111</v>
      </c>
      <c r="BE17" s="308">
        <v>100</v>
      </c>
      <c r="BF17" s="310">
        <f>IF(BC18=0,"-",(BC17/BC18)*BE17)</f>
        <v>3.4692621554673937</v>
      </c>
      <c r="BG17" s="304"/>
      <c r="BH17" s="10">
        <f>+BH6</f>
        <v>45780.98743647369</v>
      </c>
      <c r="BI17" s="306" t="s">
        <v>111</v>
      </c>
      <c r="BJ17" s="308">
        <v>100</v>
      </c>
      <c r="BK17" s="310">
        <f>IF(BH18=0,"-",(BH17/BH18)*BJ17)</f>
        <v>2.9870861357463787</v>
      </c>
      <c r="BL17" s="304"/>
      <c r="BM17" s="10">
        <f>+BM6</f>
        <v>63365.397796625366</v>
      </c>
      <c r="BN17" s="306" t="s">
        <v>111</v>
      </c>
      <c r="BO17" s="308">
        <v>100</v>
      </c>
      <c r="BP17" s="310">
        <f>IF(BM18=0,"-",(BM17/BM18)*BO17)</f>
        <v>3.753394064579501</v>
      </c>
      <c r="BQ17" s="304"/>
      <c r="BR17" s="10">
        <f>+BR6</f>
        <v>90907.121801878064</v>
      </c>
      <c r="BS17" s="306" t="s">
        <v>111</v>
      </c>
      <c r="BT17" s="308">
        <v>100</v>
      </c>
      <c r="BU17" s="310">
        <f>IF(BR18=0,"-",(BR17/BR18)*BT17)</f>
        <v>5.0511278709331657</v>
      </c>
      <c r="BV17" s="304"/>
      <c r="BW17" s="10">
        <f>+BW6</f>
        <v>76839.41727238649</v>
      </c>
      <c r="BX17" s="306" t="s">
        <v>111</v>
      </c>
      <c r="BY17" s="308">
        <v>100</v>
      </c>
      <c r="BZ17" s="310">
        <f>IF(BW18=0,"-",(BW17/BW18)*BY17)</f>
        <v>5.1205821408053032</v>
      </c>
      <c r="CA17" s="304"/>
      <c r="CB17" s="10">
        <f>+CB6</f>
        <v>82418.284699908851</v>
      </c>
      <c r="CC17" s="306" t="s">
        <v>111</v>
      </c>
      <c r="CD17" s="308">
        <v>100</v>
      </c>
      <c r="CE17" s="310">
        <f>IF(CB18=0,"-",(CB17/CB18)*CD17)</f>
        <v>5.0865114473116204</v>
      </c>
      <c r="CF17" s="304"/>
      <c r="CG17" s="10">
        <f>+CG6</f>
        <v>73017.917567026816</v>
      </c>
      <c r="CH17" s="306" t="s">
        <v>126</v>
      </c>
      <c r="CI17" s="308">
        <v>100</v>
      </c>
      <c r="CJ17" s="310">
        <f>IF(CG18=0,"-",(CG17/CG18)*CI17)</f>
        <v>4.391263521838269</v>
      </c>
      <c r="CK17" s="304"/>
      <c r="CL17" s="10">
        <f>+CL6</f>
        <v>85285.503548748602</v>
      </c>
      <c r="CM17" s="306" t="s">
        <v>111</v>
      </c>
      <c r="CN17" s="308">
        <v>100</v>
      </c>
      <c r="CO17" s="310">
        <f>IF(CL18=0,"-",(CL17/CL18)*CN17)</f>
        <v>5.8398155369290956</v>
      </c>
      <c r="CP17" s="304"/>
      <c r="CQ17" s="10">
        <f>+CQ6</f>
        <v>91139.5346552665</v>
      </c>
      <c r="CR17" s="306" t="s">
        <v>111</v>
      </c>
      <c r="CS17" s="308">
        <v>100</v>
      </c>
      <c r="CT17" s="310">
        <f>IF(CQ18=0,"-",(CQ17/CQ18)*CS17)</f>
        <v>6.0515934792095241</v>
      </c>
    </row>
    <row r="18" spans="1:98" ht="18" customHeight="1" x14ac:dyDescent="0.2">
      <c r="A18" s="17"/>
      <c r="B18" s="321"/>
      <c r="C18" s="323"/>
      <c r="D18" s="305"/>
      <c r="E18" s="12">
        <f>+E12</f>
        <v>1199263.5717076999</v>
      </c>
      <c r="F18" s="307"/>
      <c r="G18" s="309"/>
      <c r="H18" s="311"/>
      <c r="I18" s="305"/>
      <c r="J18" s="12">
        <f>+J12</f>
        <v>2634019.778099373</v>
      </c>
      <c r="K18" s="307"/>
      <c r="L18" s="309"/>
      <c r="M18" s="311"/>
      <c r="N18" s="305"/>
      <c r="O18" s="12">
        <f>+O12</f>
        <v>1348723.4490983936</v>
      </c>
      <c r="P18" s="307"/>
      <c r="Q18" s="309"/>
      <c r="R18" s="311"/>
      <c r="S18" s="305"/>
      <c r="T18" s="12">
        <f>+T12</f>
        <v>1056744.785635201</v>
      </c>
      <c r="U18" s="307"/>
      <c r="V18" s="309"/>
      <c r="W18" s="311"/>
      <c r="X18" s="305"/>
      <c r="Y18" s="12">
        <f>+Y12</f>
        <v>1435780.6975102983</v>
      </c>
      <c r="Z18" s="307"/>
      <c r="AA18" s="309"/>
      <c r="AB18" s="311"/>
      <c r="AC18" s="305"/>
      <c r="AD18" s="12">
        <f>+AD12</f>
        <v>1139646.9441218986</v>
      </c>
      <c r="AE18" s="307"/>
      <c r="AF18" s="309"/>
      <c r="AG18" s="311"/>
      <c r="AH18" s="305"/>
      <c r="AI18" s="12">
        <f>+AI12</f>
        <v>1113270.3754271546</v>
      </c>
      <c r="AJ18" s="307"/>
      <c r="AK18" s="309"/>
      <c r="AL18" s="311"/>
      <c r="AM18" s="305"/>
      <c r="AN18" s="12">
        <f>+AN12</f>
        <v>1178692.5444474781</v>
      </c>
      <c r="AO18" s="307"/>
      <c r="AP18" s="309"/>
      <c r="AQ18" s="311"/>
      <c r="AR18" s="305"/>
      <c r="AS18" s="12">
        <f>+AS12</f>
        <v>1123776.1018134595</v>
      </c>
      <c r="AT18" s="307"/>
      <c r="AU18" s="309"/>
      <c r="AV18" s="311"/>
      <c r="AW18" s="305"/>
      <c r="AX18" s="12">
        <f>+AX12</f>
        <v>2145264.2362076058</v>
      </c>
      <c r="AY18" s="307"/>
      <c r="AZ18" s="309"/>
      <c r="BA18" s="311"/>
      <c r="BB18" s="305"/>
      <c r="BC18" s="12">
        <f>+BC12</f>
        <v>1635288.0735911727</v>
      </c>
      <c r="BD18" s="307"/>
      <c r="BE18" s="309"/>
      <c r="BF18" s="311"/>
      <c r="BG18" s="305"/>
      <c r="BH18" s="12">
        <f>+BH12</f>
        <v>1532630.3077977516</v>
      </c>
      <c r="BI18" s="307"/>
      <c r="BJ18" s="309"/>
      <c r="BK18" s="311"/>
      <c r="BL18" s="305"/>
      <c r="BM18" s="12">
        <f>+BM12</f>
        <v>1688215.9641749286</v>
      </c>
      <c r="BN18" s="307"/>
      <c r="BO18" s="309"/>
      <c r="BP18" s="311"/>
      <c r="BQ18" s="305"/>
      <c r="BR18" s="12">
        <f>+BR12</f>
        <v>1799739.0706540067</v>
      </c>
      <c r="BS18" s="307"/>
      <c r="BT18" s="309"/>
      <c r="BU18" s="311"/>
      <c r="BV18" s="305"/>
      <c r="BW18" s="12">
        <f>+BW12</f>
        <v>1500599.2514027345</v>
      </c>
      <c r="BX18" s="307"/>
      <c r="BY18" s="309"/>
      <c r="BZ18" s="311"/>
      <c r="CA18" s="305"/>
      <c r="CB18" s="12">
        <f>+CB12</f>
        <v>1620330.270631151</v>
      </c>
      <c r="CC18" s="307"/>
      <c r="CD18" s="309"/>
      <c r="CE18" s="311"/>
      <c r="CF18" s="305"/>
      <c r="CG18" s="12">
        <f>+CG12</f>
        <v>1662799.7204881951</v>
      </c>
      <c r="CH18" s="307"/>
      <c r="CI18" s="309"/>
      <c r="CJ18" s="311"/>
      <c r="CK18" s="305"/>
      <c r="CL18" s="12">
        <f>+CL12</f>
        <v>1460414.3403063128</v>
      </c>
      <c r="CM18" s="307"/>
      <c r="CN18" s="309"/>
      <c r="CO18" s="311"/>
      <c r="CP18" s="305"/>
      <c r="CQ18" s="12">
        <f>+CQ12</f>
        <v>1506041.9205020922</v>
      </c>
      <c r="CR18" s="307"/>
      <c r="CS18" s="309"/>
      <c r="CT18" s="311"/>
    </row>
    <row r="19" spans="1:98" ht="18" customHeight="1" x14ac:dyDescent="0.2">
      <c r="A19" s="17"/>
      <c r="B19" s="320" t="s">
        <v>127</v>
      </c>
      <c r="C19" s="322" t="s">
        <v>117</v>
      </c>
      <c r="D19" s="304"/>
      <c r="E19" s="10">
        <f>+PL!K16</f>
        <v>243915.203204377</v>
      </c>
      <c r="F19" s="306" t="s">
        <v>123</v>
      </c>
      <c r="G19" s="308">
        <v>100</v>
      </c>
      <c r="H19" s="310">
        <f>IF(E20=0,"-",(E19/E20)*G19)</f>
        <v>20.338748625296123</v>
      </c>
      <c r="I19" s="304"/>
      <c r="J19" s="10">
        <f>+PL!L16</f>
        <v>344179.45007235894</v>
      </c>
      <c r="K19" s="306" t="s">
        <v>111</v>
      </c>
      <c r="L19" s="308">
        <v>100</v>
      </c>
      <c r="M19" s="310">
        <f>IF(J20=0,"-",(J19/J20)*L19)</f>
        <v>13.066699534075182</v>
      </c>
      <c r="N19" s="304"/>
      <c r="O19" s="10">
        <f>+PL!M16</f>
        <v>246785.45854977885</v>
      </c>
      <c r="P19" s="306" t="s">
        <v>111</v>
      </c>
      <c r="Q19" s="308">
        <v>100</v>
      </c>
      <c r="R19" s="310">
        <f>IF(O20=0,"-",(O19/O20)*Q19)</f>
        <v>18.297706524992368</v>
      </c>
      <c r="S19" s="304"/>
      <c r="T19" s="10">
        <f>+PL!N16</f>
        <v>221627.68438829738</v>
      </c>
      <c r="U19" s="306" t="s">
        <v>111</v>
      </c>
      <c r="V19" s="308">
        <v>100</v>
      </c>
      <c r="W19" s="310">
        <f>IF(T20=0,"-",(T19/T20)*V19)</f>
        <v>20.972678304258555</v>
      </c>
      <c r="X19" s="304"/>
      <c r="Y19" s="10">
        <f>+PL!O16</f>
        <v>236501.12896263838</v>
      </c>
      <c r="Z19" s="306" t="s">
        <v>111</v>
      </c>
      <c r="AA19" s="308">
        <v>100</v>
      </c>
      <c r="AB19" s="310">
        <f>IF(Y20=0,"-",(Y19/Y20)*AA19)</f>
        <v>16.471953507436123</v>
      </c>
      <c r="AC19" s="304"/>
      <c r="AD19" s="10">
        <f>+PL!P16</f>
        <v>228718.69193690867</v>
      </c>
      <c r="AE19" s="306" t="s">
        <v>111</v>
      </c>
      <c r="AF19" s="308">
        <v>100</v>
      </c>
      <c r="AG19" s="310">
        <f>IF(AD20=0,"-",(AD19/AD20)*AF19)</f>
        <v>20.069258564382594</v>
      </c>
      <c r="AH19" s="304"/>
      <c r="AI19" s="10">
        <f>+PL!Q16</f>
        <v>231320.76325311724</v>
      </c>
      <c r="AJ19" s="306" t="s">
        <v>123</v>
      </c>
      <c r="AK19" s="308">
        <v>100</v>
      </c>
      <c r="AL19" s="310">
        <f>IF(AI20=0,"-",(AI19/AI20)*AK19)</f>
        <v>20.778489067793704</v>
      </c>
      <c r="AM19" s="304"/>
      <c r="AN19" s="10">
        <f>+PL!R16</f>
        <v>201306.71769991543</v>
      </c>
      <c r="AO19" s="306" t="s">
        <v>123</v>
      </c>
      <c r="AP19" s="308">
        <v>100</v>
      </c>
      <c r="AQ19" s="310">
        <f>IF(AN20=0,"-",(AN19/AN20)*AP19)</f>
        <v>17.078814882491653</v>
      </c>
      <c r="AR19" s="304"/>
      <c r="AS19" s="10">
        <f>+PL!S16</f>
        <v>249577.74255158723</v>
      </c>
      <c r="AT19" s="306" t="s">
        <v>111</v>
      </c>
      <c r="AU19" s="308">
        <v>100</v>
      </c>
      <c r="AV19" s="310">
        <f>IF(AS20=0,"-",(AS19/AS20)*AU19)</f>
        <v>22.208849445084191</v>
      </c>
      <c r="AW19" s="304"/>
      <c r="AX19" s="10">
        <f>+PL!T16</f>
        <v>220935.58022074652</v>
      </c>
      <c r="AY19" s="306" t="s">
        <v>111</v>
      </c>
      <c r="AZ19" s="308">
        <v>100</v>
      </c>
      <c r="BA19" s="310">
        <f>IF(AX20=0,"-",(AX19/AX20)*AZ19)</f>
        <v>10.298758376325521</v>
      </c>
      <c r="BB19" s="304"/>
      <c r="BC19" s="10">
        <f>+PL!U16</f>
        <v>300116.64519531187</v>
      </c>
      <c r="BD19" s="306" t="s">
        <v>111</v>
      </c>
      <c r="BE19" s="308">
        <v>100</v>
      </c>
      <c r="BF19" s="310">
        <f>IF(BC20=0,"-",(BC19/BC20)*BE19)</f>
        <v>18.352524551606432</v>
      </c>
      <c r="BG19" s="304"/>
      <c r="BH19" s="10">
        <f>+PL!V16</f>
        <v>278369.60010137164</v>
      </c>
      <c r="BI19" s="306" t="s">
        <v>111</v>
      </c>
      <c r="BJ19" s="308">
        <v>100</v>
      </c>
      <c r="BK19" s="310">
        <f>IF(BH20=0,"-",(BH19/BH20)*BJ19)</f>
        <v>18.162866719069591</v>
      </c>
      <c r="BL19" s="304"/>
      <c r="BM19" s="10">
        <f>+PL!W16</f>
        <v>328426.16278186813</v>
      </c>
      <c r="BN19" s="306" t="s">
        <v>111</v>
      </c>
      <c r="BO19" s="308">
        <v>100</v>
      </c>
      <c r="BP19" s="310">
        <f>IF(BM20=0,"-",(BM19/BM20)*BO19)</f>
        <v>19.45403726485775</v>
      </c>
      <c r="BQ19" s="304"/>
      <c r="BR19" s="10">
        <f>+PL!X16</f>
        <v>346408.57375615137</v>
      </c>
      <c r="BS19" s="306" t="s">
        <v>111</v>
      </c>
      <c r="BT19" s="308">
        <v>100</v>
      </c>
      <c r="BU19" s="310">
        <f>IF(BR20=0,"-",(BR19/BR20)*BT19)</f>
        <v>19.24771092679952</v>
      </c>
      <c r="BV19" s="304"/>
      <c r="BW19" s="10">
        <f>+PL!Y16</f>
        <v>253465.99448435858</v>
      </c>
      <c r="BX19" s="306" t="s">
        <v>111</v>
      </c>
      <c r="BY19" s="308">
        <v>100</v>
      </c>
      <c r="BZ19" s="310">
        <f>IF(BW20=0,"-",(BW19/BW20)*BY19)</f>
        <v>16.890985001320168</v>
      </c>
      <c r="CA19" s="304"/>
      <c r="CB19" s="10">
        <f>+PL!Z16</f>
        <v>248838.70924587102</v>
      </c>
      <c r="CC19" s="306" t="s">
        <v>111</v>
      </c>
      <c r="CD19" s="308">
        <v>100</v>
      </c>
      <c r="CE19" s="310">
        <f>IF(CB20=0,"-",(CB19/CB20)*CD19)</f>
        <v>15.357283249972451</v>
      </c>
      <c r="CF19" s="304"/>
      <c r="CG19" s="10">
        <f>+PL!AA16</f>
        <v>280815.85694277711</v>
      </c>
      <c r="CH19" s="306" t="s">
        <v>123</v>
      </c>
      <c r="CI19" s="308">
        <v>100</v>
      </c>
      <c r="CJ19" s="310">
        <f>IF(CG20=0,"-",(CG19/CG20)*CI19)</f>
        <v>16.888134721380037</v>
      </c>
      <c r="CK19" s="304"/>
      <c r="CL19" s="10">
        <f>+PL!AB16</f>
        <v>244810.28502054539</v>
      </c>
      <c r="CM19" s="306" t="s">
        <v>111</v>
      </c>
      <c r="CN19" s="308">
        <v>100</v>
      </c>
      <c r="CO19" s="310">
        <f>IF(CL20=0,"-",(CL19/CL20)*CN19)</f>
        <v>16.763070470069334</v>
      </c>
      <c r="CP19" s="304"/>
      <c r="CQ19" s="10">
        <f>+PL!AC16</f>
        <v>250033.41186101511</v>
      </c>
      <c r="CR19" s="306" t="s">
        <v>111</v>
      </c>
      <c r="CS19" s="308">
        <v>100</v>
      </c>
      <c r="CT19" s="310">
        <f>IF(CQ20=0,"-",(CQ19/CQ20)*CS19)</f>
        <v>16.602022059097639</v>
      </c>
    </row>
    <row r="20" spans="1:98" ht="18" customHeight="1" x14ac:dyDescent="0.2">
      <c r="A20" s="17"/>
      <c r="B20" s="321"/>
      <c r="C20" s="323"/>
      <c r="D20" s="305"/>
      <c r="E20" s="12">
        <f>+E12</f>
        <v>1199263.5717076999</v>
      </c>
      <c r="F20" s="307"/>
      <c r="G20" s="309"/>
      <c r="H20" s="311"/>
      <c r="I20" s="305"/>
      <c r="J20" s="12">
        <f>+J12</f>
        <v>2634019.778099373</v>
      </c>
      <c r="K20" s="307"/>
      <c r="L20" s="309"/>
      <c r="M20" s="311"/>
      <c r="N20" s="305"/>
      <c r="O20" s="12">
        <f>+O12</f>
        <v>1348723.4490983936</v>
      </c>
      <c r="P20" s="307"/>
      <c r="Q20" s="309"/>
      <c r="R20" s="311"/>
      <c r="S20" s="305"/>
      <c r="T20" s="12">
        <f>+T12</f>
        <v>1056744.785635201</v>
      </c>
      <c r="U20" s="307"/>
      <c r="V20" s="309"/>
      <c r="W20" s="311"/>
      <c r="X20" s="305"/>
      <c r="Y20" s="12">
        <f>+Y12</f>
        <v>1435780.6975102983</v>
      </c>
      <c r="Z20" s="307"/>
      <c r="AA20" s="309"/>
      <c r="AB20" s="311"/>
      <c r="AC20" s="305"/>
      <c r="AD20" s="12">
        <f>+AD12</f>
        <v>1139646.9441218986</v>
      </c>
      <c r="AE20" s="307"/>
      <c r="AF20" s="309"/>
      <c r="AG20" s="311"/>
      <c r="AH20" s="305"/>
      <c r="AI20" s="12">
        <f>+AI12</f>
        <v>1113270.3754271546</v>
      </c>
      <c r="AJ20" s="307"/>
      <c r="AK20" s="309"/>
      <c r="AL20" s="311"/>
      <c r="AM20" s="305"/>
      <c r="AN20" s="12">
        <f>+AN12</f>
        <v>1178692.5444474781</v>
      </c>
      <c r="AO20" s="307"/>
      <c r="AP20" s="309"/>
      <c r="AQ20" s="311"/>
      <c r="AR20" s="305"/>
      <c r="AS20" s="12">
        <f>+AS12</f>
        <v>1123776.1018134595</v>
      </c>
      <c r="AT20" s="307"/>
      <c r="AU20" s="309"/>
      <c r="AV20" s="311"/>
      <c r="AW20" s="305"/>
      <c r="AX20" s="12">
        <f>+AX12</f>
        <v>2145264.2362076058</v>
      </c>
      <c r="AY20" s="307"/>
      <c r="AZ20" s="309"/>
      <c r="BA20" s="311"/>
      <c r="BB20" s="305"/>
      <c r="BC20" s="12">
        <f>+BC12</f>
        <v>1635288.0735911727</v>
      </c>
      <c r="BD20" s="307"/>
      <c r="BE20" s="309"/>
      <c r="BF20" s="311"/>
      <c r="BG20" s="305"/>
      <c r="BH20" s="12">
        <f>+BH12</f>
        <v>1532630.3077977516</v>
      </c>
      <c r="BI20" s="307"/>
      <c r="BJ20" s="309"/>
      <c r="BK20" s="311"/>
      <c r="BL20" s="305"/>
      <c r="BM20" s="12">
        <f>+BM12</f>
        <v>1688215.9641749286</v>
      </c>
      <c r="BN20" s="307"/>
      <c r="BO20" s="309"/>
      <c r="BP20" s="311"/>
      <c r="BQ20" s="305"/>
      <c r="BR20" s="12">
        <f>+BR12</f>
        <v>1799739.0706540067</v>
      </c>
      <c r="BS20" s="307"/>
      <c r="BT20" s="309"/>
      <c r="BU20" s="311"/>
      <c r="BV20" s="305"/>
      <c r="BW20" s="12">
        <f>+BW12</f>
        <v>1500599.2514027345</v>
      </c>
      <c r="BX20" s="307"/>
      <c r="BY20" s="309"/>
      <c r="BZ20" s="311"/>
      <c r="CA20" s="305"/>
      <c r="CB20" s="12">
        <f>+CB12</f>
        <v>1620330.270631151</v>
      </c>
      <c r="CC20" s="307"/>
      <c r="CD20" s="309"/>
      <c r="CE20" s="311"/>
      <c r="CF20" s="305"/>
      <c r="CG20" s="12">
        <f>+CG12</f>
        <v>1662799.7204881951</v>
      </c>
      <c r="CH20" s="307"/>
      <c r="CI20" s="309"/>
      <c r="CJ20" s="311"/>
      <c r="CK20" s="305"/>
      <c r="CL20" s="12">
        <f>+CL12</f>
        <v>1460414.3403063128</v>
      </c>
      <c r="CM20" s="307"/>
      <c r="CN20" s="309"/>
      <c r="CO20" s="311"/>
      <c r="CP20" s="305"/>
      <c r="CQ20" s="12">
        <f>+CQ12</f>
        <v>1506041.9205020922</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499558.57756936306</v>
      </c>
      <c r="F22" s="306"/>
      <c r="G22" s="308"/>
      <c r="H22" s="314">
        <f>IF(E23=0,"-",(E22/E23))</f>
        <v>1065318.4055470699</v>
      </c>
      <c r="I22" s="304"/>
      <c r="J22" s="10">
        <f>+PL!L45</f>
        <v>872328.50940665707</v>
      </c>
      <c r="K22" s="306"/>
      <c r="L22" s="308"/>
      <c r="M22" s="314">
        <f>IF(J23=0,"-",(J22/J23))</f>
        <v>1931750.1000587186</v>
      </c>
      <c r="N22" s="304"/>
      <c r="O22" s="10">
        <f>+PL!M45</f>
        <v>390939.52561472892</v>
      </c>
      <c r="P22" s="306"/>
      <c r="Q22" s="308"/>
      <c r="R22" s="314">
        <f>IF(O23=0,"-",(O22/O23))</f>
        <v>1158790.3326974236</v>
      </c>
      <c r="S22" s="304"/>
      <c r="T22" s="10">
        <f>+PL!N45</f>
        <v>445441.32257973077</v>
      </c>
      <c r="U22" s="306"/>
      <c r="V22" s="308"/>
      <c r="W22" s="314">
        <f>IF(T23=0,"-",(T22/T23))</f>
        <v>1016626.249695387</v>
      </c>
      <c r="X22" s="304"/>
      <c r="Y22" s="10">
        <f>+PL!O45</f>
        <v>533558.6275141089</v>
      </c>
      <c r="Z22" s="306"/>
      <c r="AA22" s="308"/>
      <c r="AB22" s="314">
        <f>IF(Y23=0,"-",(Y22/Y23))</f>
        <v>1238757.4604967418</v>
      </c>
      <c r="AC22" s="304"/>
      <c r="AD22" s="10">
        <f>+PL!P45</f>
        <v>557411.68190251535</v>
      </c>
      <c r="AE22" s="306"/>
      <c r="AF22" s="308"/>
      <c r="AG22" s="314">
        <f>IF(AD23=0,"-",(AD22/AD23))</f>
        <v>1074287.5341937623</v>
      </c>
      <c r="AH22" s="304"/>
      <c r="AI22" s="10">
        <f>+PL!Q45</f>
        <v>507691.78441514715</v>
      </c>
      <c r="AJ22" s="306"/>
      <c r="AK22" s="308"/>
      <c r="AL22" s="314">
        <f>IF(AI23=0,"-",(AI22/AI23))</f>
        <v>1008476.0730903219</v>
      </c>
      <c r="AM22" s="304"/>
      <c r="AN22" s="10">
        <f>+PL!R45</f>
        <v>453156.95143737341</v>
      </c>
      <c r="AO22" s="306"/>
      <c r="AP22" s="308"/>
      <c r="AQ22" s="314">
        <f>IF(AN23=0,"-",(AN22/AN23))</f>
        <v>1012047.757884496</v>
      </c>
      <c r="AR22" s="304"/>
      <c r="AS22" s="10">
        <f>+PL!S45</f>
        <v>505488.03302558966</v>
      </c>
      <c r="AT22" s="306"/>
      <c r="AU22" s="308"/>
      <c r="AV22" s="314">
        <f>IF(AS23=0,"-",(AS22/AS23))</f>
        <v>995749.84964332939</v>
      </c>
      <c r="AW22" s="304"/>
      <c r="AX22" s="10">
        <f>+PL!T45</f>
        <v>1473846.2719403263</v>
      </c>
      <c r="AY22" s="306"/>
      <c r="AZ22" s="308"/>
      <c r="BA22" s="314">
        <f>IF(AX23=0,"-",(AX22/AX23))</f>
        <v>1958977.5994785542</v>
      </c>
      <c r="BB22" s="304"/>
      <c r="BC22" s="10">
        <f>+PL!U45</f>
        <v>815120.50912814238</v>
      </c>
      <c r="BD22" s="306"/>
      <c r="BE22" s="308"/>
      <c r="BF22" s="314">
        <f>IF(BC23=0,"-",(BC22/BC23))</f>
        <v>1472305.6789649618</v>
      </c>
      <c r="BG22" s="304"/>
      <c r="BH22" s="10">
        <f>+PL!V45</f>
        <v>641580.78865722171</v>
      </c>
      <c r="BI22" s="306"/>
      <c r="BJ22" s="308"/>
      <c r="BK22" s="314">
        <f>IF(BH23=0,"-",(BH22/BH23))</f>
        <v>1366092.2709243852</v>
      </c>
      <c r="BL22" s="304"/>
      <c r="BM22" s="10">
        <f>+PL!W45</f>
        <v>754757.78581102053</v>
      </c>
      <c r="BN22" s="306"/>
      <c r="BO22" s="308"/>
      <c r="BP22" s="314">
        <f>IF(BM23=0,"-",(BM22/BM23))</f>
        <v>1499359.1097719274</v>
      </c>
      <c r="BQ22" s="304"/>
      <c r="BR22" s="10">
        <f>+PL!X45</f>
        <v>761210.27489415533</v>
      </c>
      <c r="BS22" s="306"/>
      <c r="BT22" s="308"/>
      <c r="BU22" s="314">
        <f>IF(BR23=0,"-",(BR22/BR23))</f>
        <v>1502558.1650043824</v>
      </c>
      <c r="BV22" s="304"/>
      <c r="BW22" s="10">
        <f>+PL!Y45</f>
        <v>591906.78225798265</v>
      </c>
      <c r="BX22" s="306"/>
      <c r="BY22" s="308"/>
      <c r="BZ22" s="314">
        <f>IF(BW23=0,"-",(BW22/BW23))</f>
        <v>1269276.3873288943</v>
      </c>
      <c r="CA22" s="304"/>
      <c r="CB22" s="10">
        <f>+PL!Z45</f>
        <v>727386.62662568211</v>
      </c>
      <c r="CC22" s="306"/>
      <c r="CD22" s="308"/>
      <c r="CE22" s="314">
        <f>IF(CB23=0,"-",(CB22/CB23))</f>
        <v>1414306.8021932049</v>
      </c>
      <c r="CF22" s="304"/>
      <c r="CG22" s="10">
        <f>+PL!AA45</f>
        <v>717130.51700680295</v>
      </c>
      <c r="CH22" s="306"/>
      <c r="CI22" s="308"/>
      <c r="CJ22" s="314">
        <f>IF(CG23=0,"-",(CG22/CG23))</f>
        <v>1447120.8134589919</v>
      </c>
      <c r="CK22" s="304"/>
      <c r="CL22" s="10">
        <f>+PL!AB45</f>
        <v>628665.88737392589</v>
      </c>
      <c r="CM22" s="306"/>
      <c r="CN22" s="308"/>
      <c r="CO22" s="314">
        <f>IF(CL23=0,"-",(CL22/CL23))</f>
        <v>1233104.2797918427</v>
      </c>
      <c r="CP22" s="304"/>
      <c r="CQ22" s="10">
        <f>+PL!AC45</f>
        <v>598702.48044387845</v>
      </c>
      <c r="CR22" s="306"/>
      <c r="CS22" s="308"/>
      <c r="CT22" s="314">
        <f>IF(CQ23=0,"-",(CQ22/CQ23))</f>
        <v>1295158.6839182945</v>
      </c>
    </row>
    <row r="23" spans="1:98" ht="18" customHeight="1" x14ac:dyDescent="0.2">
      <c r="A23" s="11"/>
      <c r="B23" s="321"/>
      <c r="C23" s="323"/>
      <c r="D23" s="305"/>
      <c r="E23" s="19">
        <f>PL!K44/PL!K6</f>
        <v>0.46892889014981981</v>
      </c>
      <c r="F23" s="307"/>
      <c r="G23" s="309"/>
      <c r="H23" s="315"/>
      <c r="I23" s="305"/>
      <c r="J23" s="19">
        <f>PL!L44/PL!L6</f>
        <v>0.45157420174594076</v>
      </c>
      <c r="K23" s="307"/>
      <c r="L23" s="309"/>
      <c r="M23" s="315"/>
      <c r="N23" s="305"/>
      <c r="O23" s="19">
        <f>PL!M44/PL!M6</f>
        <v>0.33736864606447203</v>
      </c>
      <c r="P23" s="307"/>
      <c r="Q23" s="309"/>
      <c r="R23" s="315"/>
      <c r="S23" s="305"/>
      <c r="T23" s="19">
        <f>PL!N44/PL!N6</f>
        <v>0.43815642446100417</v>
      </c>
      <c r="U23" s="307"/>
      <c r="V23" s="309"/>
      <c r="W23" s="315"/>
      <c r="X23" s="305"/>
      <c r="Y23" s="19">
        <f>PL!O44/PL!O6</f>
        <v>0.4307208186662721</v>
      </c>
      <c r="Z23" s="307"/>
      <c r="AA23" s="309"/>
      <c r="AB23" s="315"/>
      <c r="AC23" s="305"/>
      <c r="AD23" s="19">
        <f>PL!P44/PL!P6</f>
        <v>0.5188663780975965</v>
      </c>
      <c r="AE23" s="307"/>
      <c r="AF23" s="309"/>
      <c r="AG23" s="315"/>
      <c r="AH23" s="305"/>
      <c r="AI23" s="19">
        <f>PL!Q44/PL!Q6</f>
        <v>0.50342471969553304</v>
      </c>
      <c r="AJ23" s="307"/>
      <c r="AK23" s="309"/>
      <c r="AL23" s="315"/>
      <c r="AM23" s="305"/>
      <c r="AN23" s="19">
        <f>PL!R44/PL!R6</f>
        <v>0.44776241823272905</v>
      </c>
      <c r="AO23" s="307"/>
      <c r="AP23" s="309"/>
      <c r="AQ23" s="315"/>
      <c r="AR23" s="305"/>
      <c r="AS23" s="19">
        <f>PL!S44/PL!S6</f>
        <v>0.50764560316695195</v>
      </c>
      <c r="AT23" s="307"/>
      <c r="AU23" s="309"/>
      <c r="AV23" s="315"/>
      <c r="AW23" s="305"/>
      <c r="AX23" s="19">
        <f>PL!T44/PL!T6</f>
        <v>0.75235483669269043</v>
      </c>
      <c r="AY23" s="307"/>
      <c r="AZ23" s="309"/>
      <c r="BA23" s="315"/>
      <c r="BB23" s="305"/>
      <c r="BC23" s="19">
        <f>PL!U44/PL!U6</f>
        <v>0.55363537665709217</v>
      </c>
      <c r="BD23" s="307"/>
      <c r="BE23" s="309"/>
      <c r="BF23" s="315"/>
      <c r="BG23" s="305"/>
      <c r="BH23" s="19">
        <f>PL!V44/PL!V6</f>
        <v>0.46964674518148558</v>
      </c>
      <c r="BI23" s="307"/>
      <c r="BJ23" s="309"/>
      <c r="BK23" s="315"/>
      <c r="BL23" s="305"/>
      <c r="BM23" s="19">
        <f>PL!W44/PL!W6</f>
        <v>0.50338693438547177</v>
      </c>
      <c r="BN23" s="307"/>
      <c r="BO23" s="309"/>
      <c r="BP23" s="315"/>
      <c r="BQ23" s="305"/>
      <c r="BR23" s="19">
        <f>PL!X44/PL!X6</f>
        <v>0.50660952276142679</v>
      </c>
      <c r="BS23" s="307"/>
      <c r="BT23" s="309"/>
      <c r="BU23" s="315"/>
      <c r="BV23" s="305"/>
      <c r="BW23" s="19">
        <f>PL!Y44/PL!Y6</f>
        <v>0.46633403738299278</v>
      </c>
      <c r="BX23" s="307"/>
      <c r="BY23" s="309"/>
      <c r="BZ23" s="315"/>
      <c r="CA23" s="305"/>
      <c r="CB23" s="19">
        <f>PL!Z44/PL!Z6</f>
        <v>0.51430610776792096</v>
      </c>
      <c r="CC23" s="307"/>
      <c r="CD23" s="309"/>
      <c r="CE23" s="315"/>
      <c r="CF23" s="305"/>
      <c r="CG23" s="19">
        <f>PL!AA44/PL!AA6</f>
        <v>0.49555677061452535</v>
      </c>
      <c r="CH23" s="307"/>
      <c r="CI23" s="309"/>
      <c r="CJ23" s="315"/>
      <c r="CK23" s="305"/>
      <c r="CL23" s="19">
        <f>PL!AB44/PL!AB6</f>
        <v>0.50982378187840649</v>
      </c>
      <c r="CM23" s="307"/>
      <c r="CN23" s="309"/>
      <c r="CO23" s="315"/>
      <c r="CP23" s="305"/>
      <c r="CQ23" s="19">
        <f>PL!AC44/PL!AC6</f>
        <v>0.4622618740682804</v>
      </c>
      <c r="CR23" s="307"/>
      <c r="CS23" s="309"/>
      <c r="CT23" s="315"/>
    </row>
    <row r="24" spans="1:98" ht="18" customHeight="1" x14ac:dyDescent="0.2">
      <c r="A24" s="20"/>
      <c r="B24" s="320" t="s">
        <v>131</v>
      </c>
      <c r="C24" s="322" t="s">
        <v>132</v>
      </c>
      <c r="D24" s="304"/>
      <c r="E24" s="10">
        <f>+H22</f>
        <v>1065318.4055470699</v>
      </c>
      <c r="F24" s="306" t="s">
        <v>133</v>
      </c>
      <c r="G24" s="308">
        <v>100</v>
      </c>
      <c r="H24" s="310">
        <f>IF(E25=0,"-",(E24/E25)*G24)</f>
        <v>88.831048543407533</v>
      </c>
      <c r="I24" s="304"/>
      <c r="J24" s="10">
        <f>+M22</f>
        <v>1931750.1000587186</v>
      </c>
      <c r="K24" s="306" t="s">
        <v>111</v>
      </c>
      <c r="L24" s="308">
        <v>100</v>
      </c>
      <c r="M24" s="310">
        <f>IF(J25=0,"-",(J24/J25)*L24)</f>
        <v>73.338481211124744</v>
      </c>
      <c r="N24" s="304"/>
      <c r="O24" s="10">
        <f>+R22</f>
        <v>1158790.3326974236</v>
      </c>
      <c r="P24" s="306" t="s">
        <v>111</v>
      </c>
      <c r="Q24" s="308">
        <v>100</v>
      </c>
      <c r="R24" s="310">
        <f>IF(O25=0,"-",(O24/O25)*Q24)</f>
        <v>85.917564010031995</v>
      </c>
      <c r="S24" s="304"/>
      <c r="T24" s="10">
        <f>+W22</f>
        <v>1016626.249695387</v>
      </c>
      <c r="U24" s="306" t="s">
        <v>111</v>
      </c>
      <c r="V24" s="308">
        <v>100</v>
      </c>
      <c r="W24" s="310">
        <f>IF(T25=0,"-",(T24/T25)*V24)</f>
        <v>96.203573797082981</v>
      </c>
      <c r="X24" s="304"/>
      <c r="Y24" s="10">
        <f>+AB22</f>
        <v>1238757.4604967418</v>
      </c>
      <c r="Z24" s="306" t="s">
        <v>111</v>
      </c>
      <c r="AA24" s="308">
        <v>100</v>
      </c>
      <c r="AB24" s="310">
        <f>IF(Y25=0,"-",(Y24/Y25)*AA24)</f>
        <v>86.277623222320599</v>
      </c>
      <c r="AC24" s="304"/>
      <c r="AD24" s="10">
        <f>+AG22</f>
        <v>1074287.5341937623</v>
      </c>
      <c r="AE24" s="306" t="s">
        <v>111</v>
      </c>
      <c r="AF24" s="308">
        <v>100</v>
      </c>
      <c r="AG24" s="310">
        <f>IF(AD25=0,"-",(AD24/AD25)*AF24)</f>
        <v>94.264942290658624</v>
      </c>
      <c r="AH24" s="304"/>
      <c r="AI24" s="10">
        <f>+AL22</f>
        <v>1008476.0730903219</v>
      </c>
      <c r="AJ24" s="306" t="s">
        <v>133</v>
      </c>
      <c r="AK24" s="308">
        <v>100</v>
      </c>
      <c r="AL24" s="310">
        <f>IF(AI25=0,"-",(AI24/AI25)*AK24)</f>
        <v>90.586805806574716</v>
      </c>
      <c r="AM24" s="304"/>
      <c r="AN24" s="10">
        <f>+AQ22</f>
        <v>1012047.757884496</v>
      </c>
      <c r="AO24" s="306" t="s">
        <v>133</v>
      </c>
      <c r="AP24" s="308">
        <v>100</v>
      </c>
      <c r="AQ24" s="310">
        <f>IF(AN25=0,"-",(AN24/AN25)*AP24)</f>
        <v>85.861895254364384</v>
      </c>
      <c r="AR24" s="304"/>
      <c r="AS24" s="10">
        <f>+AV22</f>
        <v>995749.84964332939</v>
      </c>
      <c r="AT24" s="306" t="s">
        <v>111</v>
      </c>
      <c r="AU24" s="308">
        <v>100</v>
      </c>
      <c r="AV24" s="310">
        <f>IF(AS25=0,"-",(AS24/AS25)*AU24)</f>
        <v>88.60749468123305</v>
      </c>
      <c r="AW24" s="304"/>
      <c r="AX24" s="10">
        <f>+BA22</f>
        <v>1958977.5994785542</v>
      </c>
      <c r="AY24" s="306" t="s">
        <v>111</v>
      </c>
      <c r="AZ24" s="308">
        <v>100</v>
      </c>
      <c r="BA24" s="310">
        <f>IF(AX25=0,"-",(AX24/AX25)*AZ24)</f>
        <v>91.31637802071559</v>
      </c>
      <c r="BB24" s="304"/>
      <c r="BC24" s="10">
        <f>+BF22</f>
        <v>1472305.6789649618</v>
      </c>
      <c r="BD24" s="306" t="s">
        <v>111</v>
      </c>
      <c r="BE24" s="308">
        <v>100</v>
      </c>
      <c r="BF24" s="310">
        <f>IF(BC25=0,"-",(BC24/BC25)*BE24)</f>
        <v>90.033413851769026</v>
      </c>
      <c r="BG24" s="304"/>
      <c r="BH24" s="10">
        <f>+BK22</f>
        <v>1366092.2709243852</v>
      </c>
      <c r="BI24" s="306" t="s">
        <v>111</v>
      </c>
      <c r="BJ24" s="308">
        <v>100</v>
      </c>
      <c r="BK24" s="310">
        <f>IF(BH25=0,"-",(BH24/BH25)*BJ24)</f>
        <v>89.133841603806843</v>
      </c>
      <c r="BL24" s="304"/>
      <c r="BM24" s="10">
        <f>+BP22</f>
        <v>1499359.1097719274</v>
      </c>
      <c r="BN24" s="306" t="s">
        <v>111</v>
      </c>
      <c r="BO24" s="308">
        <v>100</v>
      </c>
      <c r="BP24" s="310">
        <f>IF(BM25=0,"-",(BM24/BM25)*BO24)</f>
        <v>88.813228970068408</v>
      </c>
      <c r="BQ24" s="304"/>
      <c r="BR24" s="10">
        <f>+BU22</f>
        <v>1502558.1650043824</v>
      </c>
      <c r="BS24" s="306" t="s">
        <v>111</v>
      </c>
      <c r="BT24" s="308">
        <v>100</v>
      </c>
      <c r="BU24" s="310">
        <f>IF(BR25=0,"-",(BR24/BR25)*BT24)</f>
        <v>83.4875560299065</v>
      </c>
      <c r="BV24" s="304"/>
      <c r="BW24" s="10">
        <f>+BZ22</f>
        <v>1269276.3873288943</v>
      </c>
      <c r="BX24" s="306" t="s">
        <v>111</v>
      </c>
      <c r="BY24" s="308">
        <v>100</v>
      </c>
      <c r="BZ24" s="310">
        <f>IF(BW25=0,"-",(BW24/BW25)*BY24)</f>
        <v>84.584634181470932</v>
      </c>
      <c r="CA24" s="304"/>
      <c r="CB24" s="10">
        <f>+CE22</f>
        <v>1414306.8021932049</v>
      </c>
      <c r="CC24" s="306" t="s">
        <v>111</v>
      </c>
      <c r="CD24" s="308">
        <v>100</v>
      </c>
      <c r="CE24" s="310">
        <f>IF(CB25=0,"-",(CB24/CB25)*CD24)</f>
        <v>87.285094145794375</v>
      </c>
      <c r="CF24" s="304"/>
      <c r="CG24" s="10">
        <f>+CJ22</f>
        <v>1447120.8134589919</v>
      </c>
      <c r="CH24" s="306" t="s">
        <v>126</v>
      </c>
      <c r="CI24" s="308">
        <v>100</v>
      </c>
      <c r="CJ24" s="310">
        <f>IF(CG25=0,"-",(CG24/CG25)*CI24)</f>
        <v>87.029171079853185</v>
      </c>
      <c r="CK24" s="304"/>
      <c r="CL24" s="10">
        <f>+CO22</f>
        <v>1233104.2797918427</v>
      </c>
      <c r="CM24" s="306" t="s">
        <v>111</v>
      </c>
      <c r="CN24" s="308">
        <v>100</v>
      </c>
      <c r="CO24" s="310">
        <f>IF(CL25=0,"-",(CL24/CL25)*CN24)</f>
        <v>84.435234971275804</v>
      </c>
      <c r="CP24" s="304"/>
      <c r="CQ24" s="10">
        <f>+CT22</f>
        <v>1295158.6839182945</v>
      </c>
      <c r="CR24" s="306" t="s">
        <v>111</v>
      </c>
      <c r="CS24" s="308">
        <v>100</v>
      </c>
      <c r="CT24" s="310">
        <f>IF(CQ25=0,"-",(CQ24/CQ25)*CS24)</f>
        <v>85.997518813188663</v>
      </c>
    </row>
    <row r="25" spans="1:98" ht="18" customHeight="1" x14ac:dyDescent="0.2">
      <c r="A25" s="20"/>
      <c r="B25" s="321"/>
      <c r="C25" s="323"/>
      <c r="D25" s="305"/>
      <c r="E25" s="12">
        <f>+E12</f>
        <v>1199263.5717076999</v>
      </c>
      <c r="F25" s="307"/>
      <c r="G25" s="309"/>
      <c r="H25" s="311"/>
      <c r="I25" s="305"/>
      <c r="J25" s="12">
        <f>+J12</f>
        <v>2634019.778099373</v>
      </c>
      <c r="K25" s="307"/>
      <c r="L25" s="309"/>
      <c r="M25" s="311"/>
      <c r="N25" s="305"/>
      <c r="O25" s="12">
        <f>+O12</f>
        <v>1348723.4490983936</v>
      </c>
      <c r="P25" s="307"/>
      <c r="Q25" s="309"/>
      <c r="R25" s="311"/>
      <c r="S25" s="305"/>
      <c r="T25" s="12">
        <f>+T12</f>
        <v>1056744.785635201</v>
      </c>
      <c r="U25" s="307"/>
      <c r="V25" s="309"/>
      <c r="W25" s="311"/>
      <c r="X25" s="305"/>
      <c r="Y25" s="12">
        <f>+Y12</f>
        <v>1435780.6975102983</v>
      </c>
      <c r="Z25" s="307"/>
      <c r="AA25" s="309"/>
      <c r="AB25" s="311"/>
      <c r="AC25" s="305"/>
      <c r="AD25" s="12">
        <f>+AD12</f>
        <v>1139646.9441218986</v>
      </c>
      <c r="AE25" s="307"/>
      <c r="AF25" s="309"/>
      <c r="AG25" s="311"/>
      <c r="AH25" s="305"/>
      <c r="AI25" s="12">
        <f>+AI12</f>
        <v>1113270.3754271546</v>
      </c>
      <c r="AJ25" s="307"/>
      <c r="AK25" s="309"/>
      <c r="AL25" s="311"/>
      <c r="AM25" s="305"/>
      <c r="AN25" s="12">
        <f>+AN12</f>
        <v>1178692.5444474781</v>
      </c>
      <c r="AO25" s="307"/>
      <c r="AP25" s="309"/>
      <c r="AQ25" s="311"/>
      <c r="AR25" s="305"/>
      <c r="AS25" s="12">
        <f>+AS12</f>
        <v>1123776.1018134595</v>
      </c>
      <c r="AT25" s="307"/>
      <c r="AU25" s="309"/>
      <c r="AV25" s="311"/>
      <c r="AW25" s="305"/>
      <c r="AX25" s="12">
        <f>+AX12</f>
        <v>2145264.2362076058</v>
      </c>
      <c r="AY25" s="307"/>
      <c r="AZ25" s="309"/>
      <c r="BA25" s="311"/>
      <c r="BB25" s="305"/>
      <c r="BC25" s="12">
        <f>+BC12</f>
        <v>1635288.0735911727</v>
      </c>
      <c r="BD25" s="307"/>
      <c r="BE25" s="309"/>
      <c r="BF25" s="311"/>
      <c r="BG25" s="305"/>
      <c r="BH25" s="12">
        <f>+BH12</f>
        <v>1532630.3077977516</v>
      </c>
      <c r="BI25" s="307"/>
      <c r="BJ25" s="309"/>
      <c r="BK25" s="311"/>
      <c r="BL25" s="305"/>
      <c r="BM25" s="12">
        <f>+BM12</f>
        <v>1688215.9641749286</v>
      </c>
      <c r="BN25" s="307"/>
      <c r="BO25" s="309"/>
      <c r="BP25" s="311"/>
      <c r="BQ25" s="305"/>
      <c r="BR25" s="12">
        <f>+BR12</f>
        <v>1799739.0706540067</v>
      </c>
      <c r="BS25" s="307"/>
      <c r="BT25" s="309"/>
      <c r="BU25" s="311"/>
      <c r="BV25" s="305"/>
      <c r="BW25" s="12">
        <f>+BW12</f>
        <v>1500599.2514027345</v>
      </c>
      <c r="BX25" s="307"/>
      <c r="BY25" s="309"/>
      <c r="BZ25" s="311"/>
      <c r="CA25" s="305"/>
      <c r="CB25" s="12">
        <f>+CB12</f>
        <v>1620330.270631151</v>
      </c>
      <c r="CC25" s="307"/>
      <c r="CD25" s="309"/>
      <c r="CE25" s="311"/>
      <c r="CF25" s="305"/>
      <c r="CG25" s="12">
        <f>+CG12</f>
        <v>1662799.7204881951</v>
      </c>
      <c r="CH25" s="307"/>
      <c r="CI25" s="309"/>
      <c r="CJ25" s="311"/>
      <c r="CK25" s="305"/>
      <c r="CL25" s="12">
        <f>+CL12</f>
        <v>1460414.3403063128</v>
      </c>
      <c r="CM25" s="307"/>
      <c r="CN25" s="309"/>
      <c r="CO25" s="311"/>
      <c r="CP25" s="305"/>
      <c r="CQ25" s="12">
        <f>+CQ12</f>
        <v>1506041.9205020922</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1199263.5717076999</v>
      </c>
      <c r="F27" s="306"/>
      <c r="G27" s="308"/>
      <c r="H27" s="310">
        <f>IF(E28=0,"-",(E27/E28))</f>
        <v>0.93690278396621585</v>
      </c>
      <c r="I27" s="304"/>
      <c r="J27" s="10">
        <f>+J12</f>
        <v>2634019.778099373</v>
      </c>
      <c r="K27" s="306"/>
      <c r="L27" s="308"/>
      <c r="M27" s="310">
        <f>IF(J28=0,"-",(J27/J28))</f>
        <v>1.1457674057688283</v>
      </c>
      <c r="N27" s="304"/>
      <c r="O27" s="10">
        <f>+O12</f>
        <v>1348723.4490983936</v>
      </c>
      <c r="P27" s="306"/>
      <c r="Q27" s="308"/>
      <c r="R27" s="310">
        <f>IF(O28=0,"-",(O27/O28))</f>
        <v>1.0841697064024434</v>
      </c>
      <c r="S27" s="304"/>
      <c r="T27" s="10">
        <f>+T12</f>
        <v>1056744.785635201</v>
      </c>
      <c r="U27" s="306"/>
      <c r="V27" s="308"/>
      <c r="W27" s="310">
        <f>IF(T28=0,"-",(T27/T28))</f>
        <v>0.98549110094848702</v>
      </c>
      <c r="X27" s="304"/>
      <c r="Y27" s="10">
        <f>+Y12</f>
        <v>1435780.6975102983</v>
      </c>
      <c r="Z27" s="306"/>
      <c r="AA27" s="308"/>
      <c r="AB27" s="310">
        <f>IF(Y28=0,"-",(Y27/Y28))</f>
        <v>0.95419762253387053</v>
      </c>
      <c r="AC27" s="304"/>
      <c r="AD27" s="10">
        <f>+AD12</f>
        <v>1139646.9441218986</v>
      </c>
      <c r="AE27" s="306"/>
      <c r="AF27" s="308"/>
      <c r="AG27" s="310">
        <f>IF(AD28=0,"-",(AD27/AD28))</f>
        <v>0.96169356678978735</v>
      </c>
      <c r="AH27" s="304"/>
      <c r="AI27" s="10">
        <f>+AI12</f>
        <v>1113270.3754271546</v>
      </c>
      <c r="AJ27" s="306"/>
      <c r="AK27" s="308"/>
      <c r="AL27" s="310">
        <f>IF(AI28=0,"-",(AI27/AI28))</f>
        <v>0.89058065837709477</v>
      </c>
      <c r="AM27" s="304"/>
      <c r="AN27" s="10">
        <f>+AN12</f>
        <v>1178692.5444474781</v>
      </c>
      <c r="AO27" s="306"/>
      <c r="AP27" s="308"/>
      <c r="AQ27" s="310">
        <f>IF(AN28=0,"-",(AN27/AN28))</f>
        <v>0.91334141536996527</v>
      </c>
      <c r="AR27" s="304"/>
      <c r="AS27" s="10">
        <f>+AS12</f>
        <v>1123776.1018134595</v>
      </c>
      <c r="AT27" s="306"/>
      <c r="AU27" s="308"/>
      <c r="AV27" s="310">
        <f>IF(AS28=0,"-",(AS27/AS28))</f>
        <v>0.80204235370380494</v>
      </c>
      <c r="AW27" s="304"/>
      <c r="AX27" s="10">
        <f>+AX12</f>
        <v>2145264.2362076058</v>
      </c>
      <c r="AY27" s="306"/>
      <c r="AZ27" s="308"/>
      <c r="BA27" s="310">
        <f>IF(AX28=0,"-",(AX27/AX28))</f>
        <v>1.2582778216830832</v>
      </c>
      <c r="BB27" s="304"/>
      <c r="BC27" s="10">
        <f>+BC12</f>
        <v>1635288.0735911727</v>
      </c>
      <c r="BD27" s="306"/>
      <c r="BE27" s="308"/>
      <c r="BF27" s="310">
        <f>IF(BC28=0,"-",(BC27/BC28))</f>
        <v>0.97058798210870001</v>
      </c>
      <c r="BG27" s="304"/>
      <c r="BH27" s="10">
        <f>+BH12</f>
        <v>1532630.3077977516</v>
      </c>
      <c r="BI27" s="306"/>
      <c r="BJ27" s="308"/>
      <c r="BK27" s="310">
        <f>IF(BH28=0,"-",(BH27/BH28))</f>
        <v>0.82513574049205396</v>
      </c>
      <c r="BL27" s="304"/>
      <c r="BM27" s="10">
        <f>+BM12</f>
        <v>1688215.9641749286</v>
      </c>
      <c r="BN27" s="306"/>
      <c r="BO27" s="308"/>
      <c r="BP27" s="310">
        <f>IF(BM28=0,"-",(BM27/BM28))</f>
        <v>0.78351971158071043</v>
      </c>
      <c r="BQ27" s="304"/>
      <c r="BR27" s="10">
        <f>+BR12</f>
        <v>1799739.0706540067</v>
      </c>
      <c r="BS27" s="306"/>
      <c r="BT27" s="308"/>
      <c r="BU27" s="310">
        <f>IF(BR28=0,"-",(BR27/BR28))</f>
        <v>0.81875362774452976</v>
      </c>
      <c r="BV27" s="304"/>
      <c r="BW27" s="10">
        <f>+BW12</f>
        <v>1500599.2514027345</v>
      </c>
      <c r="BX27" s="306"/>
      <c r="BY27" s="308"/>
      <c r="BZ27" s="310">
        <f>IF(BW28=0,"-",(BW27/BW28))</f>
        <v>0.82807027275526024</v>
      </c>
      <c r="CA27" s="304"/>
      <c r="CB27" s="10">
        <f>+CB12</f>
        <v>1620330.270631151</v>
      </c>
      <c r="CC27" s="306"/>
      <c r="CD27" s="308"/>
      <c r="CE27" s="310">
        <f>IF(CB28=0,"-",(CB27/CB28))</f>
        <v>0.85863477894459583</v>
      </c>
      <c r="CF27" s="304"/>
      <c r="CG27" s="10">
        <f>+CG12</f>
        <v>1662799.7204881951</v>
      </c>
      <c r="CH27" s="306"/>
      <c r="CI27" s="308"/>
      <c r="CJ27" s="310">
        <f>IF(CG28=0,"-",(CG27/CG28))</f>
        <v>0.79974675580224441</v>
      </c>
      <c r="CK27" s="304"/>
      <c r="CL27" s="10">
        <f>+CL12</f>
        <v>1460414.3403063128</v>
      </c>
      <c r="CM27" s="306"/>
      <c r="CN27" s="308"/>
      <c r="CO27" s="310">
        <f>IF(CL28=0,"-",(CL27/CL28))</f>
        <v>0.73296301010735365</v>
      </c>
      <c r="CP27" s="304"/>
      <c r="CQ27" s="10">
        <f>+CQ12</f>
        <v>1506041.9205020922</v>
      </c>
      <c r="CR27" s="306"/>
      <c r="CS27" s="308"/>
      <c r="CT27" s="310">
        <f>IF(CQ28=0,"-",(CQ27/CQ28))</f>
        <v>0.85040314094013014</v>
      </c>
    </row>
    <row r="28" spans="1:98" ht="18" customHeight="1" x14ac:dyDescent="0.2">
      <c r="A28" s="17"/>
      <c r="B28" s="321"/>
      <c r="C28" s="323"/>
      <c r="D28" s="305"/>
      <c r="E28" s="12">
        <f>+E7</f>
        <v>1280029.8944900399</v>
      </c>
      <c r="F28" s="307"/>
      <c r="G28" s="309"/>
      <c r="H28" s="311"/>
      <c r="I28" s="305"/>
      <c r="J28" s="12">
        <f>+J7</f>
        <v>2298913.1693198266</v>
      </c>
      <c r="K28" s="307"/>
      <c r="L28" s="309"/>
      <c r="M28" s="311"/>
      <c r="N28" s="305"/>
      <c r="O28" s="12">
        <f>+O7</f>
        <v>1244015.0662148716</v>
      </c>
      <c r="P28" s="307"/>
      <c r="Q28" s="309"/>
      <c r="R28" s="311"/>
      <c r="S28" s="305"/>
      <c r="T28" s="12">
        <f>+T7</f>
        <v>1072302.7175163082</v>
      </c>
      <c r="U28" s="307"/>
      <c r="V28" s="309"/>
      <c r="W28" s="311"/>
      <c r="X28" s="305"/>
      <c r="Y28" s="12">
        <f>+Y7</f>
        <v>1504699.5125575608</v>
      </c>
      <c r="Z28" s="307"/>
      <c r="AA28" s="309"/>
      <c r="AB28" s="311"/>
      <c r="AC28" s="305"/>
      <c r="AD28" s="12">
        <f>+AD7</f>
        <v>1185041.6634543312</v>
      </c>
      <c r="AE28" s="307"/>
      <c r="AF28" s="309"/>
      <c r="AG28" s="311"/>
      <c r="AH28" s="305"/>
      <c r="AI28" s="12">
        <f>+AI7</f>
        <v>1250050.0263006692</v>
      </c>
      <c r="AJ28" s="307"/>
      <c r="AK28" s="309"/>
      <c r="AL28" s="311"/>
      <c r="AM28" s="305"/>
      <c r="AN28" s="12">
        <f>+AN7</f>
        <v>1290527.8624314081</v>
      </c>
      <c r="AO28" s="307"/>
      <c r="AP28" s="309"/>
      <c r="AQ28" s="311"/>
      <c r="AR28" s="305"/>
      <c r="AS28" s="12">
        <f>+AS7</f>
        <v>1401143.0900424384</v>
      </c>
      <c r="AT28" s="307"/>
      <c r="AU28" s="309"/>
      <c r="AV28" s="311"/>
      <c r="AW28" s="305"/>
      <c r="AX28" s="12">
        <f>+AX7</f>
        <v>1704920.9635898073</v>
      </c>
      <c r="AY28" s="307"/>
      <c r="AZ28" s="309"/>
      <c r="BA28" s="311"/>
      <c r="BB28" s="305"/>
      <c r="BC28" s="12">
        <f>+BC7</f>
        <v>1684842.6971435859</v>
      </c>
      <c r="BD28" s="307"/>
      <c r="BE28" s="309"/>
      <c r="BF28" s="311"/>
      <c r="BG28" s="305"/>
      <c r="BH28" s="12">
        <f>+BH7</f>
        <v>1857428.0964775525</v>
      </c>
      <c r="BI28" s="307"/>
      <c r="BJ28" s="309"/>
      <c r="BK28" s="311"/>
      <c r="BL28" s="305"/>
      <c r="BM28" s="12">
        <f>+BM7</f>
        <v>2154656.6592039405</v>
      </c>
      <c r="BN28" s="307"/>
      <c r="BO28" s="309"/>
      <c r="BP28" s="311"/>
      <c r="BQ28" s="305"/>
      <c r="BR28" s="12">
        <f>+BR7</f>
        <v>2198144.850498992</v>
      </c>
      <c r="BS28" s="307"/>
      <c r="BT28" s="309"/>
      <c r="BU28" s="311"/>
      <c r="BV28" s="305"/>
      <c r="BW28" s="12">
        <f>+BW7</f>
        <v>1812164.1372413367</v>
      </c>
      <c r="BX28" s="307"/>
      <c r="BY28" s="309"/>
      <c r="BZ28" s="311"/>
      <c r="CA28" s="305"/>
      <c r="CB28" s="12">
        <f>+CB7</f>
        <v>1887100.6746579786</v>
      </c>
      <c r="CC28" s="307"/>
      <c r="CD28" s="309"/>
      <c r="CE28" s="311"/>
      <c r="CF28" s="305"/>
      <c r="CG28" s="12">
        <f>+CG7</f>
        <v>2079157.8189275709</v>
      </c>
      <c r="CH28" s="307"/>
      <c r="CI28" s="309"/>
      <c r="CJ28" s="311"/>
      <c r="CK28" s="305"/>
      <c r="CL28" s="12">
        <f>+CL7</f>
        <v>1992480.2754949569</v>
      </c>
      <c r="CM28" s="307"/>
      <c r="CN28" s="309"/>
      <c r="CO28" s="311"/>
      <c r="CP28" s="305"/>
      <c r="CQ28" s="12">
        <f>+CQ7</f>
        <v>1770974.0804074949</v>
      </c>
      <c r="CR28" s="307"/>
      <c r="CS28" s="309"/>
      <c r="CT28" s="311"/>
    </row>
    <row r="29" spans="1:98" ht="18" customHeight="1" x14ac:dyDescent="0.2">
      <c r="A29" s="17"/>
      <c r="B29" s="320" t="s">
        <v>137</v>
      </c>
      <c r="C29" s="322" t="s">
        <v>136</v>
      </c>
      <c r="D29" s="304"/>
      <c r="E29" s="10">
        <f>+E12</f>
        <v>1199263.5717076999</v>
      </c>
      <c r="F29" s="306"/>
      <c r="G29" s="308"/>
      <c r="H29" s="310">
        <f>IF(E30=0,"-",(E29/E30))</f>
        <v>2.1709068401365008</v>
      </c>
      <c r="I29" s="304"/>
      <c r="J29" s="10">
        <f>+J12</f>
        <v>2634019.778099373</v>
      </c>
      <c r="K29" s="306"/>
      <c r="L29" s="308"/>
      <c r="M29" s="310">
        <f>IF(J30=0,"-",(J29/J30))</f>
        <v>3.1105436635251653</v>
      </c>
      <c r="N29" s="304"/>
      <c r="O29" s="10">
        <f>+O12</f>
        <v>1348723.4490983936</v>
      </c>
      <c r="P29" s="306"/>
      <c r="Q29" s="308"/>
      <c r="R29" s="310">
        <f>IF(O30=0,"-",(O29/O30))</f>
        <v>2.650558174731549</v>
      </c>
      <c r="S29" s="304"/>
      <c r="T29" s="10">
        <f>+T12</f>
        <v>1056744.785635201</v>
      </c>
      <c r="U29" s="306"/>
      <c r="V29" s="308"/>
      <c r="W29" s="310">
        <f>IF(T30=0,"-",(T29/T30))</f>
        <v>2.1588746824836114</v>
      </c>
      <c r="X29" s="304"/>
      <c r="Y29" s="10">
        <f>+Y12</f>
        <v>1435780.6975102983</v>
      </c>
      <c r="Z29" s="306"/>
      <c r="AA29" s="308"/>
      <c r="AB29" s="310">
        <f>IF(Y30=0,"-",(Y29/Y30))</f>
        <v>2.3737839829317369</v>
      </c>
      <c r="AC29" s="304"/>
      <c r="AD29" s="10">
        <f>+AD12</f>
        <v>1139646.9441218986</v>
      </c>
      <c r="AE29" s="306"/>
      <c r="AF29" s="308"/>
      <c r="AG29" s="310">
        <f>IF(AD30=0,"-",(AD29/AD30))</f>
        <v>2.5373465599709624</v>
      </c>
      <c r="AH29" s="304"/>
      <c r="AI29" s="10">
        <f>+AI12</f>
        <v>1113270.3754271546</v>
      </c>
      <c r="AJ29" s="306"/>
      <c r="AK29" s="308"/>
      <c r="AL29" s="310">
        <f>IF(AI30=0,"-",(AI29/AI30))</f>
        <v>2.0930206997899394</v>
      </c>
      <c r="AM29" s="304"/>
      <c r="AN29" s="10">
        <f>+AN12</f>
        <v>1178692.5444474781</v>
      </c>
      <c r="AO29" s="306"/>
      <c r="AP29" s="308"/>
      <c r="AQ29" s="310">
        <f>IF(AN30=0,"-",(AN29/AN30))</f>
        <v>2.3733831326883164</v>
      </c>
      <c r="AR29" s="304"/>
      <c r="AS29" s="10">
        <f>+AS12</f>
        <v>1123776.1018134595</v>
      </c>
      <c r="AT29" s="306"/>
      <c r="AU29" s="308"/>
      <c r="AV29" s="310">
        <f>IF(AS30=0,"-",(AS29/AS30))</f>
        <v>2.1886199407110305</v>
      </c>
      <c r="AW29" s="304"/>
      <c r="AX29" s="10">
        <f>+AX12</f>
        <v>2145264.2362076058</v>
      </c>
      <c r="AY29" s="306"/>
      <c r="AZ29" s="308"/>
      <c r="BA29" s="310">
        <f>IF(AX30=0,"-",(AX29/AX30))</f>
        <v>3.5763865185543078</v>
      </c>
      <c r="BB29" s="304"/>
      <c r="BC29" s="10">
        <f>+BC12</f>
        <v>1635288.0735911727</v>
      </c>
      <c r="BD29" s="306"/>
      <c r="BE29" s="308"/>
      <c r="BF29" s="310">
        <f>IF(BC30=0,"-",(BC29/BC30))</f>
        <v>2.4299481450004814</v>
      </c>
      <c r="BG29" s="304"/>
      <c r="BH29" s="10">
        <f>+BH12</f>
        <v>1532630.3077977516</v>
      </c>
      <c r="BI29" s="306"/>
      <c r="BJ29" s="308"/>
      <c r="BK29" s="310">
        <f>IF(BH30=0,"-",(BH29/BH30))</f>
        <v>2.0099925601188176</v>
      </c>
      <c r="BL29" s="304"/>
      <c r="BM29" s="10">
        <f>+BM12</f>
        <v>1688215.9641749286</v>
      </c>
      <c r="BN29" s="306"/>
      <c r="BO29" s="308"/>
      <c r="BP29" s="310">
        <f>IF(BM30=0,"-",(BM29/BM30))</f>
        <v>2.280379083865296</v>
      </c>
      <c r="BQ29" s="304"/>
      <c r="BR29" s="10">
        <f>+BR12</f>
        <v>1799739.0706540067</v>
      </c>
      <c r="BS29" s="306"/>
      <c r="BT29" s="308"/>
      <c r="BU29" s="310">
        <f>IF(BR30=0,"-",(BR29/BR30))</f>
        <v>2.2669375428545968</v>
      </c>
      <c r="BV29" s="304"/>
      <c r="BW29" s="10">
        <f>+BW12</f>
        <v>1500599.2514027345</v>
      </c>
      <c r="BX29" s="306"/>
      <c r="BY29" s="308"/>
      <c r="BZ29" s="310">
        <f>IF(BW30=0,"-",(BW29/BW30))</f>
        <v>1.9679787639941067</v>
      </c>
      <c r="CA29" s="304"/>
      <c r="CB29" s="10">
        <f>+CB12</f>
        <v>1620330.270631151</v>
      </c>
      <c r="CC29" s="306"/>
      <c r="CD29" s="308"/>
      <c r="CE29" s="310">
        <f>IF(CB30=0,"-",(CB29/CB30))</f>
        <v>1.9468909446383764</v>
      </c>
      <c r="CF29" s="304"/>
      <c r="CG29" s="10">
        <f>+CG12</f>
        <v>1662799.7204881951</v>
      </c>
      <c r="CH29" s="306"/>
      <c r="CI29" s="308"/>
      <c r="CJ29" s="310">
        <f>IF(CG30=0,"-",(CG29/CG30))</f>
        <v>1.8746475782724856</v>
      </c>
      <c r="CK29" s="304"/>
      <c r="CL29" s="10">
        <f>+CL12</f>
        <v>1460414.3403063128</v>
      </c>
      <c r="CM29" s="306"/>
      <c r="CN29" s="308"/>
      <c r="CO29" s="310">
        <f>IF(CL30=0,"-",(CL29/CL30))</f>
        <v>1.6891742956056921</v>
      </c>
      <c r="CP29" s="304"/>
      <c r="CQ29" s="10">
        <f>+CQ12</f>
        <v>1506041.9205020922</v>
      </c>
      <c r="CR29" s="306"/>
      <c r="CS29" s="308"/>
      <c r="CT29" s="310">
        <f>IF(CQ30=0,"-",(CQ29/CQ30))</f>
        <v>2.1030950241724438</v>
      </c>
    </row>
    <row r="30" spans="1:98" ht="18" customHeight="1" x14ac:dyDescent="0.2">
      <c r="A30" s="17"/>
      <c r="B30" s="321"/>
      <c r="C30" s="323"/>
      <c r="D30" s="305"/>
      <c r="E30" s="12">
        <f>+BS!K15</f>
        <v>552425.1660805</v>
      </c>
      <c r="F30" s="307"/>
      <c r="G30" s="309"/>
      <c r="H30" s="311"/>
      <c r="I30" s="305"/>
      <c r="J30" s="12">
        <f>+BS!L15</f>
        <v>846803.66618427401</v>
      </c>
      <c r="K30" s="307"/>
      <c r="L30" s="309"/>
      <c r="M30" s="311"/>
      <c r="N30" s="305"/>
      <c r="O30" s="12">
        <f>+BS!M15</f>
        <v>508845.06590201269</v>
      </c>
      <c r="P30" s="307"/>
      <c r="Q30" s="309"/>
      <c r="R30" s="311"/>
      <c r="S30" s="305"/>
      <c r="T30" s="12">
        <f>+BS!N15</f>
        <v>489488.71104435821</v>
      </c>
      <c r="U30" s="307"/>
      <c r="V30" s="309"/>
      <c r="W30" s="311"/>
      <c r="X30" s="305"/>
      <c r="Y30" s="12">
        <f>+BS!O15</f>
        <v>604848.92805496161</v>
      </c>
      <c r="Z30" s="307"/>
      <c r="AA30" s="309"/>
      <c r="AB30" s="311"/>
      <c r="AC30" s="305"/>
      <c r="AD30" s="12">
        <f>+BS!P15</f>
        <v>449149.10800948722</v>
      </c>
      <c r="AE30" s="307"/>
      <c r="AF30" s="309"/>
      <c r="AG30" s="311"/>
      <c r="AH30" s="305"/>
      <c r="AI30" s="12">
        <f>+BS!Q15</f>
        <v>531896.49559552141</v>
      </c>
      <c r="AJ30" s="307"/>
      <c r="AK30" s="309"/>
      <c r="AL30" s="311"/>
      <c r="AM30" s="305"/>
      <c r="AN30" s="12">
        <f>+BS!R15</f>
        <v>496629.69632398983</v>
      </c>
      <c r="AO30" s="307"/>
      <c r="AP30" s="309"/>
      <c r="AQ30" s="311"/>
      <c r="AR30" s="305"/>
      <c r="AS30" s="12">
        <f>+BS!S15</f>
        <v>513463.3386591422</v>
      </c>
      <c r="AT30" s="307"/>
      <c r="AU30" s="309"/>
      <c r="AV30" s="311"/>
      <c r="AW30" s="305"/>
      <c r="AX30" s="12">
        <f>+BS!T15</f>
        <v>599841.27137208637</v>
      </c>
      <c r="AY30" s="307"/>
      <c r="AZ30" s="309"/>
      <c r="BA30" s="311"/>
      <c r="BB30" s="305"/>
      <c r="BC30" s="12">
        <f>+BS!U15</f>
        <v>672972.41587468062</v>
      </c>
      <c r="BD30" s="307"/>
      <c r="BE30" s="309"/>
      <c r="BF30" s="311"/>
      <c r="BG30" s="305"/>
      <c r="BH30" s="12">
        <f>+BS!V15</f>
        <v>762505.46305860591</v>
      </c>
      <c r="BI30" s="307"/>
      <c r="BJ30" s="309"/>
      <c r="BK30" s="311"/>
      <c r="BL30" s="305"/>
      <c r="BM30" s="12">
        <f>+BS!W15</f>
        <v>740322.5087091059</v>
      </c>
      <c r="BN30" s="307"/>
      <c r="BO30" s="309"/>
      <c r="BP30" s="311"/>
      <c r="BQ30" s="305"/>
      <c r="BR30" s="12">
        <f>+BS!X15</f>
        <v>793907.65587115404</v>
      </c>
      <c r="BS30" s="307"/>
      <c r="BT30" s="309"/>
      <c r="BU30" s="311"/>
      <c r="BV30" s="305"/>
      <c r="BW30" s="12">
        <f>+BS!Y15</f>
        <v>762507.84757310944</v>
      </c>
      <c r="BX30" s="307"/>
      <c r="BY30" s="309"/>
      <c r="BZ30" s="311"/>
      <c r="CA30" s="305"/>
      <c r="CB30" s="12">
        <f>+BS!Z15</f>
        <v>832265.55400724709</v>
      </c>
      <c r="CC30" s="307"/>
      <c r="CD30" s="309"/>
      <c r="CE30" s="311"/>
      <c r="CF30" s="305"/>
      <c r="CG30" s="12">
        <f>+BS!AA15</f>
        <v>886993.23529411783</v>
      </c>
      <c r="CH30" s="307"/>
      <c r="CI30" s="309"/>
      <c r="CJ30" s="311"/>
      <c r="CK30" s="305"/>
      <c r="CL30" s="12">
        <f>+BS!AB15</f>
        <v>864572.91240194242</v>
      </c>
      <c r="CM30" s="307"/>
      <c r="CN30" s="309"/>
      <c r="CO30" s="311"/>
      <c r="CP30" s="305"/>
      <c r="CQ30" s="12">
        <f>+BS!AC15</f>
        <v>716107.40513007087</v>
      </c>
      <c r="CR30" s="307"/>
      <c r="CS30" s="309"/>
      <c r="CT30" s="311"/>
    </row>
    <row r="31" spans="1:98" ht="18" customHeight="1" x14ac:dyDescent="0.2">
      <c r="A31" s="17"/>
      <c r="B31" s="320" t="s">
        <v>138</v>
      </c>
      <c r="C31" s="322" t="s">
        <v>139</v>
      </c>
      <c r="D31" s="304"/>
      <c r="E31" s="10">
        <f>+BS!K11</f>
        <v>312960.92223524803</v>
      </c>
      <c r="F31" s="306" t="s">
        <v>121</v>
      </c>
      <c r="G31" s="308">
        <v>365</v>
      </c>
      <c r="H31" s="310">
        <f>IF(E32=0,"-",(E31/E32)*G31)</f>
        <v>95.250734959960354</v>
      </c>
      <c r="I31" s="304"/>
      <c r="J31" s="10">
        <f>+BS!L11</f>
        <v>569337.19247467432</v>
      </c>
      <c r="K31" s="306" t="s">
        <v>111</v>
      </c>
      <c r="L31" s="308">
        <v>365</v>
      </c>
      <c r="M31" s="310">
        <f>IF(J32=0,"-",(J31/J32)*L31)</f>
        <v>78.893893273346634</v>
      </c>
      <c r="N31" s="304"/>
      <c r="O31" s="10">
        <f>+BS!M11</f>
        <v>411673.60794815019</v>
      </c>
      <c r="P31" s="306" t="s">
        <v>111</v>
      </c>
      <c r="Q31" s="308">
        <v>365</v>
      </c>
      <c r="R31" s="310">
        <f>IF(O32=0,"-",(O31/O32)*Q31)</f>
        <v>111.40969410854576</v>
      </c>
      <c r="S31" s="304"/>
      <c r="T31" s="10">
        <f>+BS!N11</f>
        <v>239987.40818996413</v>
      </c>
      <c r="U31" s="306" t="s">
        <v>111</v>
      </c>
      <c r="V31" s="308">
        <v>365</v>
      </c>
      <c r="W31" s="310">
        <f>IF(T32=0,"-",(T31/T32)*V31)</f>
        <v>82.891730510583017</v>
      </c>
      <c r="X31" s="304"/>
      <c r="Y31" s="10">
        <f>+BS!O11</f>
        <v>350314.50339612231</v>
      </c>
      <c r="Z31" s="306" t="s">
        <v>111</v>
      </c>
      <c r="AA31" s="308">
        <v>365</v>
      </c>
      <c r="AB31" s="310">
        <f>IF(Y32=0,"-",(Y31/Y32)*AA31)</f>
        <v>89.055935883040746</v>
      </c>
      <c r="AC31" s="304"/>
      <c r="AD31" s="10">
        <f>+BS!P11</f>
        <v>312392.33846218232</v>
      </c>
      <c r="AE31" s="306" t="s">
        <v>111</v>
      </c>
      <c r="AF31" s="308">
        <v>365</v>
      </c>
      <c r="AG31" s="310">
        <f>IF(AD32=0,"-",(AD31/AD32)*AF31)</f>
        <v>100.0513396949893</v>
      </c>
      <c r="AH31" s="304"/>
      <c r="AI31" s="10">
        <f>+BS!Q11</f>
        <v>277993.09352705744</v>
      </c>
      <c r="AJ31" s="306" t="s">
        <v>121</v>
      </c>
      <c r="AK31" s="308">
        <v>365</v>
      </c>
      <c r="AL31" s="310">
        <f>IF(AI32=0,"-",(AI31/AI32)*AK31)</f>
        <v>91.143608396516939</v>
      </c>
      <c r="AM31" s="304"/>
      <c r="AN31" s="10">
        <f>+BS!R11</f>
        <v>243525.53814181488</v>
      </c>
      <c r="AO31" s="306" t="s">
        <v>118</v>
      </c>
      <c r="AP31" s="308">
        <v>365</v>
      </c>
      <c r="AQ31" s="310">
        <f>IF(AN32=0,"-",(AN31/AN32)*AP31)</f>
        <v>75.411371557821184</v>
      </c>
      <c r="AR31" s="304"/>
      <c r="AS31" s="10">
        <f>+BS!S11</f>
        <v>255093.43225517398</v>
      </c>
      <c r="AT31" s="306" t="s">
        <v>111</v>
      </c>
      <c r="AU31" s="308">
        <v>365</v>
      </c>
      <c r="AV31" s="310">
        <f>IF(AS32=0,"-",(AS31/AS32)*AU31)</f>
        <v>82.853784328467668</v>
      </c>
      <c r="AW31" s="304"/>
      <c r="AX31" s="10">
        <f>+BS!T11</f>
        <v>484921.38685299264</v>
      </c>
      <c r="AY31" s="306" t="s">
        <v>111</v>
      </c>
      <c r="AZ31" s="308">
        <v>365</v>
      </c>
      <c r="BA31" s="310">
        <f>IF(AX32=0,"-",(AX31/AX32)*AZ31)</f>
        <v>82.505596846305536</v>
      </c>
      <c r="BB31" s="304"/>
      <c r="BC31" s="10">
        <f>+BS!U11</f>
        <v>345056.90277364803</v>
      </c>
      <c r="BD31" s="306" t="s">
        <v>111</v>
      </c>
      <c r="BE31" s="308">
        <v>365</v>
      </c>
      <c r="BF31" s="310">
        <f>IF(BC32=0,"-",(BC31/BC32)*BE31)</f>
        <v>77.017481840859062</v>
      </c>
      <c r="BG31" s="304"/>
      <c r="BH31" s="10">
        <f>+BS!V11</f>
        <v>378227.58770964138</v>
      </c>
      <c r="BI31" s="306" t="s">
        <v>111</v>
      </c>
      <c r="BJ31" s="308">
        <v>365</v>
      </c>
      <c r="BK31" s="310">
        <f>IF(BH32=0,"-",(BH31/BH32)*BJ31)</f>
        <v>90.075909899229799</v>
      </c>
      <c r="BL31" s="304"/>
      <c r="BM31" s="10">
        <f>+BS!W11</f>
        <v>342501.24550482811</v>
      </c>
      <c r="BN31" s="306" t="s">
        <v>111</v>
      </c>
      <c r="BO31" s="308">
        <v>365</v>
      </c>
      <c r="BP31" s="310">
        <f>IF(BM32=0,"-",(BM31/BM32)*BO31)</f>
        <v>74.050333169523768</v>
      </c>
      <c r="BQ31" s="304"/>
      <c r="BR31" s="10">
        <f>+BS!X11</f>
        <v>399723.89041481505</v>
      </c>
      <c r="BS31" s="306" t="s">
        <v>111</v>
      </c>
      <c r="BT31" s="308">
        <v>365</v>
      </c>
      <c r="BU31" s="310">
        <f>IF(BR32=0,"-",(BR31/BR32)*BT31)</f>
        <v>81.066873737640876</v>
      </c>
      <c r="BV31" s="304"/>
      <c r="BW31" s="10">
        <f>+BS!Y11</f>
        <v>302090.48588500376</v>
      </c>
      <c r="BX31" s="306" t="s">
        <v>111</v>
      </c>
      <c r="BY31" s="308">
        <v>365</v>
      </c>
      <c r="BZ31" s="310">
        <f>IF(BW32=0,"-",(BW31/BW32)*BY31)</f>
        <v>73.479329837699424</v>
      </c>
      <c r="CA31" s="304"/>
      <c r="CB31" s="10">
        <f>+BS!Z11</f>
        <v>300878.15896599734</v>
      </c>
      <c r="CC31" s="306" t="s">
        <v>111</v>
      </c>
      <c r="CD31" s="308">
        <v>365</v>
      </c>
      <c r="CE31" s="310">
        <f>IF(CB32=0,"-",(CB31/CB32)*CD31)</f>
        <v>67.776631723242275</v>
      </c>
      <c r="CF31" s="304"/>
      <c r="CG31" s="10">
        <f>+BS!AA11</f>
        <v>376550.76430572226</v>
      </c>
      <c r="CH31" s="306" t="s">
        <v>111</v>
      </c>
      <c r="CI31" s="308">
        <v>365</v>
      </c>
      <c r="CJ31" s="310">
        <f>IF(CG32=0,"-",(CG31/CG32)*CI31)</f>
        <v>82.656394079279835</v>
      </c>
      <c r="CK31" s="304"/>
      <c r="CL31" s="10">
        <f>+BS!AB11</f>
        <v>295634.67407545762</v>
      </c>
      <c r="CM31" s="306" t="s">
        <v>111</v>
      </c>
      <c r="CN31" s="308">
        <v>365</v>
      </c>
      <c r="CO31" s="310">
        <f>IF(CL32=0,"-",(CL31/CL32)*CN31)</f>
        <v>73.887699579086089</v>
      </c>
      <c r="CP31" s="304"/>
      <c r="CQ31" s="10">
        <f>+BS!AC11</f>
        <v>312004.35801346193</v>
      </c>
      <c r="CR31" s="306" t="s">
        <v>111</v>
      </c>
      <c r="CS31" s="308">
        <v>365</v>
      </c>
      <c r="CT31" s="310">
        <f>IF(CQ32=0,"-",(CQ31/CQ32)*CS31)</f>
        <v>75.616481270951056</v>
      </c>
    </row>
    <row r="32" spans="1:98" ht="18" customHeight="1" x14ac:dyDescent="0.2">
      <c r="A32" s="17"/>
      <c r="B32" s="321"/>
      <c r="C32" s="323"/>
      <c r="D32" s="305"/>
      <c r="E32" s="12">
        <f>+E12</f>
        <v>1199263.5717076999</v>
      </c>
      <c r="F32" s="307"/>
      <c r="G32" s="309"/>
      <c r="H32" s="311"/>
      <c r="I32" s="305"/>
      <c r="J32" s="12">
        <f>+J12</f>
        <v>2634019.778099373</v>
      </c>
      <c r="K32" s="307"/>
      <c r="L32" s="309"/>
      <c r="M32" s="311"/>
      <c r="N32" s="305"/>
      <c r="O32" s="12">
        <f>+O12</f>
        <v>1348723.4490983936</v>
      </c>
      <c r="P32" s="307"/>
      <c r="Q32" s="309"/>
      <c r="R32" s="311"/>
      <c r="S32" s="305"/>
      <c r="T32" s="12">
        <f>+T12</f>
        <v>1056744.785635201</v>
      </c>
      <c r="U32" s="307"/>
      <c r="V32" s="309"/>
      <c r="W32" s="311"/>
      <c r="X32" s="305"/>
      <c r="Y32" s="12">
        <f>+Y12</f>
        <v>1435780.6975102983</v>
      </c>
      <c r="Z32" s="307"/>
      <c r="AA32" s="309"/>
      <c r="AB32" s="311"/>
      <c r="AC32" s="305"/>
      <c r="AD32" s="12">
        <f>+AD12</f>
        <v>1139646.9441218986</v>
      </c>
      <c r="AE32" s="307"/>
      <c r="AF32" s="309"/>
      <c r="AG32" s="311"/>
      <c r="AH32" s="305"/>
      <c r="AI32" s="12">
        <f>+AI12</f>
        <v>1113270.3754271546</v>
      </c>
      <c r="AJ32" s="307"/>
      <c r="AK32" s="309"/>
      <c r="AL32" s="311"/>
      <c r="AM32" s="305"/>
      <c r="AN32" s="12">
        <f>+AN12</f>
        <v>1178692.5444474781</v>
      </c>
      <c r="AO32" s="307"/>
      <c r="AP32" s="309"/>
      <c r="AQ32" s="311"/>
      <c r="AR32" s="305"/>
      <c r="AS32" s="12">
        <f>+AS12</f>
        <v>1123776.1018134595</v>
      </c>
      <c r="AT32" s="307"/>
      <c r="AU32" s="309"/>
      <c r="AV32" s="311"/>
      <c r="AW32" s="305"/>
      <c r="AX32" s="12">
        <f>+AX12</f>
        <v>2145264.2362076058</v>
      </c>
      <c r="AY32" s="307"/>
      <c r="AZ32" s="309"/>
      <c r="BA32" s="311"/>
      <c r="BB32" s="305"/>
      <c r="BC32" s="12">
        <f>+BC12</f>
        <v>1635288.0735911727</v>
      </c>
      <c r="BD32" s="307"/>
      <c r="BE32" s="309"/>
      <c r="BF32" s="311"/>
      <c r="BG32" s="305"/>
      <c r="BH32" s="12">
        <f>+BH12</f>
        <v>1532630.3077977516</v>
      </c>
      <c r="BI32" s="307"/>
      <c r="BJ32" s="309"/>
      <c r="BK32" s="311"/>
      <c r="BL32" s="305"/>
      <c r="BM32" s="12">
        <f>+BM12</f>
        <v>1688215.9641749286</v>
      </c>
      <c r="BN32" s="307"/>
      <c r="BO32" s="309"/>
      <c r="BP32" s="311"/>
      <c r="BQ32" s="305"/>
      <c r="BR32" s="12">
        <f>+BR12</f>
        <v>1799739.0706540067</v>
      </c>
      <c r="BS32" s="307"/>
      <c r="BT32" s="309"/>
      <c r="BU32" s="311"/>
      <c r="BV32" s="305"/>
      <c r="BW32" s="12">
        <f>+BW12</f>
        <v>1500599.2514027345</v>
      </c>
      <c r="BX32" s="307"/>
      <c r="BY32" s="309"/>
      <c r="BZ32" s="311"/>
      <c r="CA32" s="305"/>
      <c r="CB32" s="12">
        <f>+CB12</f>
        <v>1620330.270631151</v>
      </c>
      <c r="CC32" s="307"/>
      <c r="CD32" s="309"/>
      <c r="CE32" s="311"/>
      <c r="CF32" s="305"/>
      <c r="CG32" s="12">
        <f>+CG12</f>
        <v>1662799.7204881951</v>
      </c>
      <c r="CH32" s="307"/>
      <c r="CI32" s="309"/>
      <c r="CJ32" s="311"/>
      <c r="CK32" s="305"/>
      <c r="CL32" s="12">
        <f>+CL12</f>
        <v>1460414.3403063128</v>
      </c>
      <c r="CM32" s="307"/>
      <c r="CN32" s="309"/>
      <c r="CO32" s="311"/>
      <c r="CP32" s="305"/>
      <c r="CQ32" s="12">
        <f>+CQ12</f>
        <v>1506041.9205020922</v>
      </c>
      <c r="CR32" s="307"/>
      <c r="CS32" s="309"/>
      <c r="CT32" s="311"/>
    </row>
    <row r="33" spans="1:98" ht="18" customHeight="1" x14ac:dyDescent="0.2">
      <c r="A33" s="17"/>
      <c r="B33" s="320" t="s">
        <v>140</v>
      </c>
      <c r="C33" s="322" t="s">
        <v>139</v>
      </c>
      <c r="D33" s="304"/>
      <c r="E33" s="10">
        <f>+BS!K13</f>
        <v>146817.506838609</v>
      </c>
      <c r="F33" s="306" t="s">
        <v>111</v>
      </c>
      <c r="G33" s="308">
        <v>365</v>
      </c>
      <c r="H33" s="310">
        <f>IF(E34=0,"-",(E33/E34)*G33)</f>
        <v>44.684414052354406</v>
      </c>
      <c r="I33" s="304"/>
      <c r="J33" s="10">
        <f>+BS!L13</f>
        <v>249029.66714905933</v>
      </c>
      <c r="K33" s="306" t="s">
        <v>111</v>
      </c>
      <c r="L33" s="308">
        <v>365</v>
      </c>
      <c r="M33" s="310">
        <f>IF(J34=0,"-",(J33/J34)*L33)</f>
        <v>34.508407744377024</v>
      </c>
      <c r="N33" s="304"/>
      <c r="O33" s="10">
        <f>+BS!M13</f>
        <v>87394.217100967275</v>
      </c>
      <c r="P33" s="306" t="s">
        <v>111</v>
      </c>
      <c r="Q33" s="308">
        <v>365</v>
      </c>
      <c r="R33" s="310">
        <f>IF(O34=0,"-",(O33/O34)*Q33)</f>
        <v>23.651171233937621</v>
      </c>
      <c r="S33" s="304"/>
      <c r="T33" s="10">
        <f>+BS!N13</f>
        <v>133302.85016852024</v>
      </c>
      <c r="U33" s="306" t="s">
        <v>111</v>
      </c>
      <c r="V33" s="308">
        <v>365</v>
      </c>
      <c r="W33" s="310">
        <f>IF(T34=0,"-",(T33/T34)*V33)</f>
        <v>46.042848730276368</v>
      </c>
      <c r="X33" s="304"/>
      <c r="Y33" s="10">
        <f>+BS!O13</f>
        <v>202751.41413407659</v>
      </c>
      <c r="Z33" s="306" t="s">
        <v>111</v>
      </c>
      <c r="AA33" s="308">
        <v>365</v>
      </c>
      <c r="AB33" s="310">
        <f>IF(Y34=0,"-",(Y33/Y34)*AA33)</f>
        <v>51.542875793820286</v>
      </c>
      <c r="AC33" s="304"/>
      <c r="AD33" s="10">
        <f>+BS!P13</f>
        <v>143930.44826369695</v>
      </c>
      <c r="AE33" s="306" t="s">
        <v>111</v>
      </c>
      <c r="AF33" s="308">
        <v>365</v>
      </c>
      <c r="AG33" s="310">
        <f>IF(AD34=0,"-",(AD33/AD34)*AF33)</f>
        <v>46.09727063913418</v>
      </c>
      <c r="AH33" s="304"/>
      <c r="AI33" s="10">
        <f>+BS!Q13</f>
        <v>154020.80199351933</v>
      </c>
      <c r="AJ33" s="306" t="s">
        <v>111</v>
      </c>
      <c r="AK33" s="308">
        <v>365</v>
      </c>
      <c r="AL33" s="310">
        <f>IF(AI34=0,"-",(AI33/AI34)*AK33)</f>
        <v>50.49769936262269</v>
      </c>
      <c r="AM33" s="304"/>
      <c r="AN33" s="10">
        <f>+BS!R13</f>
        <v>177794.22112354735</v>
      </c>
      <c r="AO33" s="306" t="s">
        <v>141</v>
      </c>
      <c r="AP33" s="308">
        <v>365</v>
      </c>
      <c r="AQ33" s="310">
        <f>IF(AN34=0,"-",(AN33/AN34)*AP33)</f>
        <v>55.05667361331686</v>
      </c>
      <c r="AR33" s="304"/>
      <c r="AS33" s="10">
        <f>+BS!S13</f>
        <v>188219.73659023334</v>
      </c>
      <c r="AT33" s="306" t="s">
        <v>111</v>
      </c>
      <c r="AU33" s="308">
        <v>365</v>
      </c>
      <c r="AV33" s="310">
        <f>IF(AS34=0,"-",(AS33/AS34)*AU33)</f>
        <v>61.133355429584512</v>
      </c>
      <c r="AW33" s="304"/>
      <c r="AX33" s="10">
        <f>+BS!T13</f>
        <v>348653.12312717707</v>
      </c>
      <c r="AY33" s="306" t="s">
        <v>111</v>
      </c>
      <c r="AZ33" s="308">
        <v>365</v>
      </c>
      <c r="BA33" s="310">
        <f>IF(AX34=0,"-",(AX33/AX34)*AZ33)</f>
        <v>59.320613187672762</v>
      </c>
      <c r="BB33" s="304"/>
      <c r="BC33" s="10">
        <f>+BS!U13</f>
        <v>264669.31826332217</v>
      </c>
      <c r="BD33" s="306" t="s">
        <v>111</v>
      </c>
      <c r="BE33" s="308">
        <v>365</v>
      </c>
      <c r="BF33" s="310">
        <f>IF(BC34=0,"-",(BC33/BC34)*BE33)</f>
        <v>59.074790996282886</v>
      </c>
      <c r="BG33" s="304"/>
      <c r="BH33" s="10">
        <f>+BS!V13</f>
        <v>240576.03920827073</v>
      </c>
      <c r="BI33" s="306" t="s">
        <v>111</v>
      </c>
      <c r="BJ33" s="308">
        <v>365</v>
      </c>
      <c r="BK33" s="310">
        <f>IF(BH34=0,"-",(BH33/BH34)*BJ33)</f>
        <v>57.293826087253912</v>
      </c>
      <c r="BL33" s="304"/>
      <c r="BM33" s="10">
        <f>+BS!W13</f>
        <v>136762.73058497193</v>
      </c>
      <c r="BN33" s="306" t="s">
        <v>111</v>
      </c>
      <c r="BO33" s="308">
        <v>365</v>
      </c>
      <c r="BP33" s="310">
        <f>IF(BM34=0,"-",(BM33/BM34)*BO33)</f>
        <v>29.568726823354655</v>
      </c>
      <c r="BQ33" s="304"/>
      <c r="BR33" s="10">
        <f>+BS!X13</f>
        <v>224694.03187425592</v>
      </c>
      <c r="BS33" s="306" t="s">
        <v>111</v>
      </c>
      <c r="BT33" s="308">
        <v>365</v>
      </c>
      <c r="BU33" s="310">
        <f>IF(BR34=0,"-",(BR33/BR34)*BT33)</f>
        <v>45.569562261211907</v>
      </c>
      <c r="BV33" s="304"/>
      <c r="BW33" s="10">
        <f>+BS!Y13</f>
        <v>160832.46273875737</v>
      </c>
      <c r="BX33" s="306" t="s">
        <v>111</v>
      </c>
      <c r="BY33" s="308">
        <v>365</v>
      </c>
      <c r="BZ33" s="310">
        <f>IF(BW34=0,"-",(BW33/BW34)*BY33)</f>
        <v>39.120270681710046</v>
      </c>
      <c r="CA33" s="304"/>
      <c r="CB33" s="10">
        <f>+BS!Z13</f>
        <v>232886.52594646084</v>
      </c>
      <c r="CC33" s="306" t="s">
        <v>111</v>
      </c>
      <c r="CD33" s="308">
        <v>365</v>
      </c>
      <c r="CE33" s="310">
        <f>IF(CB34=0,"-",(CB33/CB34)*CD33)</f>
        <v>52.460651702413493</v>
      </c>
      <c r="CF33" s="304"/>
      <c r="CG33" s="10">
        <f>+BS!AA13</f>
        <v>292273.57242897159</v>
      </c>
      <c r="CH33" s="306" t="s">
        <v>126</v>
      </c>
      <c r="CI33" s="308">
        <v>365</v>
      </c>
      <c r="CJ33" s="310">
        <f>IF(CG34=0,"-",(CG33/CG34)*CI33)</f>
        <v>64.156766820512587</v>
      </c>
      <c r="CK33" s="304"/>
      <c r="CL33" s="10">
        <f>+BS!AB13</f>
        <v>259266.44378035114</v>
      </c>
      <c r="CM33" s="306" t="s">
        <v>111</v>
      </c>
      <c r="CN33" s="308">
        <v>365</v>
      </c>
      <c r="CO33" s="310">
        <f>IF(CL34=0,"-",(CL33/CL34)*CN33)</f>
        <v>64.798221551275404</v>
      </c>
      <c r="CP33" s="304"/>
      <c r="CQ33" s="10">
        <f>+BS!AC13</f>
        <v>182418.65362925234</v>
      </c>
      <c r="CR33" s="306" t="s">
        <v>111</v>
      </c>
      <c r="CS33" s="308">
        <v>365</v>
      </c>
      <c r="CT33" s="310">
        <f>IF(CQ34=0,"-",(CQ33/CQ34)*CS33)</f>
        <v>44.210461653337894</v>
      </c>
    </row>
    <row r="34" spans="1:98" ht="18" customHeight="1" x14ac:dyDescent="0.2">
      <c r="A34" s="17"/>
      <c r="B34" s="321"/>
      <c r="C34" s="323"/>
      <c r="D34" s="305"/>
      <c r="E34" s="12">
        <f>+E12</f>
        <v>1199263.5717076999</v>
      </c>
      <c r="F34" s="307"/>
      <c r="G34" s="309"/>
      <c r="H34" s="311"/>
      <c r="I34" s="305"/>
      <c r="J34" s="12">
        <f>+J12</f>
        <v>2634019.778099373</v>
      </c>
      <c r="K34" s="307"/>
      <c r="L34" s="309"/>
      <c r="M34" s="311"/>
      <c r="N34" s="305"/>
      <c r="O34" s="12">
        <f>+O12</f>
        <v>1348723.4490983936</v>
      </c>
      <c r="P34" s="307"/>
      <c r="Q34" s="309"/>
      <c r="R34" s="311"/>
      <c r="S34" s="305"/>
      <c r="T34" s="12">
        <f>+T12</f>
        <v>1056744.785635201</v>
      </c>
      <c r="U34" s="307"/>
      <c r="V34" s="309"/>
      <c r="W34" s="311"/>
      <c r="X34" s="305"/>
      <c r="Y34" s="12">
        <f>+Y12</f>
        <v>1435780.6975102983</v>
      </c>
      <c r="Z34" s="307"/>
      <c r="AA34" s="309"/>
      <c r="AB34" s="311"/>
      <c r="AC34" s="305"/>
      <c r="AD34" s="12">
        <f>+AD12</f>
        <v>1139646.9441218986</v>
      </c>
      <c r="AE34" s="307"/>
      <c r="AF34" s="309"/>
      <c r="AG34" s="311"/>
      <c r="AH34" s="305"/>
      <c r="AI34" s="12">
        <f>+AI12</f>
        <v>1113270.3754271546</v>
      </c>
      <c r="AJ34" s="307"/>
      <c r="AK34" s="309"/>
      <c r="AL34" s="311"/>
      <c r="AM34" s="305"/>
      <c r="AN34" s="12">
        <f>+AN12</f>
        <v>1178692.5444474781</v>
      </c>
      <c r="AO34" s="307"/>
      <c r="AP34" s="309"/>
      <c r="AQ34" s="311"/>
      <c r="AR34" s="305"/>
      <c r="AS34" s="12">
        <f>+AS12</f>
        <v>1123776.1018134595</v>
      </c>
      <c r="AT34" s="307"/>
      <c r="AU34" s="309"/>
      <c r="AV34" s="311"/>
      <c r="AW34" s="305"/>
      <c r="AX34" s="12">
        <f>+AX12</f>
        <v>2145264.2362076058</v>
      </c>
      <c r="AY34" s="307"/>
      <c r="AZ34" s="309"/>
      <c r="BA34" s="311"/>
      <c r="BB34" s="305"/>
      <c r="BC34" s="12">
        <f>+BC12</f>
        <v>1635288.0735911727</v>
      </c>
      <c r="BD34" s="307"/>
      <c r="BE34" s="309"/>
      <c r="BF34" s="311"/>
      <c r="BG34" s="305"/>
      <c r="BH34" s="12">
        <f>+BH12</f>
        <v>1532630.3077977516</v>
      </c>
      <c r="BI34" s="307"/>
      <c r="BJ34" s="309"/>
      <c r="BK34" s="311"/>
      <c r="BL34" s="305"/>
      <c r="BM34" s="12">
        <f>+BM12</f>
        <v>1688215.9641749286</v>
      </c>
      <c r="BN34" s="307"/>
      <c r="BO34" s="309"/>
      <c r="BP34" s="311"/>
      <c r="BQ34" s="305"/>
      <c r="BR34" s="12">
        <f>+BR12</f>
        <v>1799739.0706540067</v>
      </c>
      <c r="BS34" s="307"/>
      <c r="BT34" s="309"/>
      <c r="BU34" s="311"/>
      <c r="BV34" s="305"/>
      <c r="BW34" s="12">
        <f>+BW12</f>
        <v>1500599.2514027345</v>
      </c>
      <c r="BX34" s="307"/>
      <c r="BY34" s="309"/>
      <c r="BZ34" s="311"/>
      <c r="CA34" s="305"/>
      <c r="CB34" s="12">
        <f>+CB12</f>
        <v>1620330.270631151</v>
      </c>
      <c r="CC34" s="307"/>
      <c r="CD34" s="309"/>
      <c r="CE34" s="311"/>
      <c r="CF34" s="305"/>
      <c r="CG34" s="12">
        <f>+CG12</f>
        <v>1662799.7204881951</v>
      </c>
      <c r="CH34" s="307"/>
      <c r="CI34" s="309"/>
      <c r="CJ34" s="311"/>
      <c r="CK34" s="305"/>
      <c r="CL34" s="12">
        <f>+CL12</f>
        <v>1460414.3403063128</v>
      </c>
      <c r="CM34" s="307"/>
      <c r="CN34" s="309"/>
      <c r="CO34" s="311"/>
      <c r="CP34" s="305"/>
      <c r="CQ34" s="12">
        <f>+CQ12</f>
        <v>1506041.9205020922</v>
      </c>
      <c r="CR34" s="307"/>
      <c r="CS34" s="309"/>
      <c r="CT34" s="311"/>
    </row>
    <row r="35" spans="1:98" ht="18" customHeight="1" x14ac:dyDescent="0.2">
      <c r="A35" s="17"/>
      <c r="B35" s="320" t="s">
        <v>142</v>
      </c>
      <c r="C35" s="322" t="s">
        <v>139</v>
      </c>
      <c r="D35" s="304"/>
      <c r="E35" s="10">
        <f>+BS!K32</f>
        <v>221854.63071512297</v>
      </c>
      <c r="F35" s="306" t="s">
        <v>143</v>
      </c>
      <c r="G35" s="308">
        <v>365</v>
      </c>
      <c r="H35" s="310">
        <f>IF(E36=0,"-",(E35/E36)*G35)</f>
        <v>67.522221237581817</v>
      </c>
      <c r="I35" s="304"/>
      <c r="J35" s="10">
        <f>+BS!L32</f>
        <v>344533.28509406658</v>
      </c>
      <c r="K35" s="306" t="s">
        <v>111</v>
      </c>
      <c r="L35" s="308">
        <v>365</v>
      </c>
      <c r="M35" s="310">
        <f>IF(J36=0,"-",(J35/J36)*L35)</f>
        <v>47.74248473945589</v>
      </c>
      <c r="N35" s="304"/>
      <c r="O35" s="10">
        <f>+BS!M32</f>
        <v>279997.98318656458</v>
      </c>
      <c r="P35" s="306" t="s">
        <v>111</v>
      </c>
      <c r="Q35" s="308">
        <v>365</v>
      </c>
      <c r="R35" s="310">
        <f>IF(O36=0,"-",(O35/O36)*Q35)</f>
        <v>75.774810567292448</v>
      </c>
      <c r="S35" s="304"/>
      <c r="T35" s="10">
        <f>+BS!N32</f>
        <v>176002.45352979595</v>
      </c>
      <c r="U35" s="306" t="s">
        <v>111</v>
      </c>
      <c r="V35" s="308">
        <v>365</v>
      </c>
      <c r="W35" s="310">
        <f>IF(T36=0,"-",(T35/T36)*V35)</f>
        <v>60.791305915704918</v>
      </c>
      <c r="X35" s="304"/>
      <c r="Y35" s="10">
        <f>+BS!O32</f>
        <v>255668.60579326755</v>
      </c>
      <c r="Z35" s="306" t="s">
        <v>111</v>
      </c>
      <c r="AA35" s="308">
        <v>365</v>
      </c>
      <c r="AB35" s="310">
        <f>IF(Y36=0,"-",(Y35/Y36)*AA35)</f>
        <v>64.995330607495731</v>
      </c>
      <c r="AC35" s="304"/>
      <c r="AD35" s="10">
        <f>+BS!P32</f>
        <v>154735.07870002009</v>
      </c>
      <c r="AE35" s="306" t="s">
        <v>111</v>
      </c>
      <c r="AF35" s="308">
        <v>365</v>
      </c>
      <c r="AG35" s="310">
        <f>IF(AD36=0,"-",(AD35/AD36)*AF35)</f>
        <v>49.557719622566125</v>
      </c>
      <c r="AH35" s="304"/>
      <c r="AI35" s="10">
        <f>+BS!Q32</f>
        <v>147202.74524100902</v>
      </c>
      <c r="AJ35" s="306" t="s">
        <v>143</v>
      </c>
      <c r="AK35" s="308">
        <v>365</v>
      </c>
      <c r="AL35" s="310">
        <f>IF(AI36=0,"-",(AI35/AI36)*AK35)</f>
        <v>48.262311832696369</v>
      </c>
      <c r="AM35" s="304"/>
      <c r="AN35" s="10">
        <f>+BS!R32</f>
        <v>177502.83197297991</v>
      </c>
      <c r="AO35" s="306" t="s">
        <v>143</v>
      </c>
      <c r="AP35" s="308">
        <v>365</v>
      </c>
      <c r="AQ35" s="310">
        <f>IF(AN36=0,"-",(AN35/AN36)*AP35)</f>
        <v>54.966440549183098</v>
      </c>
      <c r="AR35" s="304"/>
      <c r="AS35" s="10">
        <f>+BS!S32</f>
        <v>169065.45068558052</v>
      </c>
      <c r="AT35" s="306" t="s">
        <v>111</v>
      </c>
      <c r="AU35" s="308">
        <v>365</v>
      </c>
      <c r="AV35" s="310">
        <f>IF(AS36=0,"-",(AS35/AS36)*AU35)</f>
        <v>54.912085601977161</v>
      </c>
      <c r="AW35" s="304"/>
      <c r="AX35" s="10">
        <f>+BS!T32</f>
        <v>452721.28110792168</v>
      </c>
      <c r="AY35" s="306" t="s">
        <v>111</v>
      </c>
      <c r="AZ35" s="308">
        <v>365</v>
      </c>
      <c r="BA35" s="310">
        <f>IF(AX36=0,"-",(AX35/AX36)*AZ35)</f>
        <v>77.026999665322421</v>
      </c>
      <c r="BB35" s="304"/>
      <c r="BC35" s="10">
        <f>+BS!U32</f>
        <v>215966.96604366618</v>
      </c>
      <c r="BD35" s="306" t="s">
        <v>111</v>
      </c>
      <c r="BE35" s="308">
        <v>365</v>
      </c>
      <c r="BF35" s="310">
        <f>IF(BC36=0,"-",(BC35/BC36)*BE35)</f>
        <v>48.204315728193464</v>
      </c>
      <c r="BG35" s="304"/>
      <c r="BH35" s="10">
        <f>+BS!V32</f>
        <v>229028.18934019085</v>
      </c>
      <c r="BI35" s="306" t="s">
        <v>111</v>
      </c>
      <c r="BJ35" s="308">
        <v>365</v>
      </c>
      <c r="BK35" s="310">
        <f>IF(BH36=0,"-",(BH35/BH36)*BJ35)</f>
        <v>54.543674807846109</v>
      </c>
      <c r="BL35" s="304"/>
      <c r="BM35" s="10">
        <f>+BS!W32</f>
        <v>207975.74151727682</v>
      </c>
      <c r="BN35" s="306" t="s">
        <v>111</v>
      </c>
      <c r="BO35" s="308">
        <v>365</v>
      </c>
      <c r="BP35" s="310">
        <f>IF(BM36=0,"-",(BM35/BM36)*BO35)</f>
        <v>44.965304951908585</v>
      </c>
      <c r="BQ35" s="304"/>
      <c r="BR35" s="10">
        <f>+BS!X32</f>
        <v>236455.34293059475</v>
      </c>
      <c r="BS35" s="306" t="s">
        <v>111</v>
      </c>
      <c r="BT35" s="308">
        <v>365</v>
      </c>
      <c r="BU35" s="310">
        <f>IF(BR36=0,"-",(BR35/BR36)*BT35)</f>
        <v>47.954840552694286</v>
      </c>
      <c r="BV35" s="304"/>
      <c r="BW35" s="10">
        <f>+BS!Y32</f>
        <v>193901.31551370901</v>
      </c>
      <c r="BX35" s="306" t="s">
        <v>111</v>
      </c>
      <c r="BY35" s="308">
        <v>365</v>
      </c>
      <c r="BZ35" s="310">
        <f>IF(BW36=0,"-",(BW35/BW36)*BY35)</f>
        <v>47.163811454887423</v>
      </c>
      <c r="CA35" s="304"/>
      <c r="CB35" s="10">
        <f>+BS!Z32</f>
        <v>256744.22797625602</v>
      </c>
      <c r="CC35" s="306" t="s">
        <v>111</v>
      </c>
      <c r="CD35" s="308">
        <v>365</v>
      </c>
      <c r="CE35" s="310">
        <f>IF(CB36=0,"-",(CB35/CB36)*CD35)</f>
        <v>57.834902494804894</v>
      </c>
      <c r="CF35" s="304"/>
      <c r="CG35" s="10">
        <f>+BS!AA32</f>
        <v>228008.54361744694</v>
      </c>
      <c r="CH35" s="306" t="s">
        <v>143</v>
      </c>
      <c r="CI35" s="308">
        <v>365</v>
      </c>
      <c r="CJ35" s="310">
        <f>IF(CG36=0,"-",(CG35/CG36)*CI35)</f>
        <v>50.049995435369667</v>
      </c>
      <c r="CK35" s="304"/>
      <c r="CL35" s="10">
        <f>+BS!AB32</f>
        <v>182902.77754949572</v>
      </c>
      <c r="CM35" s="306" t="s">
        <v>111</v>
      </c>
      <c r="CN35" s="308">
        <v>365</v>
      </c>
      <c r="CO35" s="310">
        <f>IF(CL36=0,"-",(CL35/CL36)*CN35)</f>
        <v>45.712721357942534</v>
      </c>
      <c r="CP35" s="304"/>
      <c r="CQ35" s="10">
        <f>+BS!AC32</f>
        <v>250876.03019828995</v>
      </c>
      <c r="CR35" s="306" t="s">
        <v>111</v>
      </c>
      <c r="CS35" s="308">
        <v>365</v>
      </c>
      <c r="CT35" s="310">
        <f>IF(CQ36=0,"-",(CQ35/CQ36)*CS35)</f>
        <v>60.801595079005388</v>
      </c>
    </row>
    <row r="36" spans="1:98" ht="18" customHeight="1" x14ac:dyDescent="0.2">
      <c r="A36" s="21"/>
      <c r="B36" s="321"/>
      <c r="C36" s="323"/>
      <c r="D36" s="305"/>
      <c r="E36" s="12">
        <f>+E12</f>
        <v>1199263.5717076999</v>
      </c>
      <c r="F36" s="307"/>
      <c r="G36" s="309"/>
      <c r="H36" s="311"/>
      <c r="I36" s="305"/>
      <c r="J36" s="12">
        <f>+J12</f>
        <v>2634019.778099373</v>
      </c>
      <c r="K36" s="307"/>
      <c r="L36" s="309"/>
      <c r="M36" s="311"/>
      <c r="N36" s="305"/>
      <c r="O36" s="12">
        <f>+O12</f>
        <v>1348723.4490983936</v>
      </c>
      <c r="P36" s="307"/>
      <c r="Q36" s="309"/>
      <c r="R36" s="311"/>
      <c r="S36" s="305"/>
      <c r="T36" s="12">
        <f>+T12</f>
        <v>1056744.785635201</v>
      </c>
      <c r="U36" s="307"/>
      <c r="V36" s="309"/>
      <c r="W36" s="311"/>
      <c r="X36" s="305"/>
      <c r="Y36" s="12">
        <f>+Y12</f>
        <v>1435780.6975102983</v>
      </c>
      <c r="Z36" s="307"/>
      <c r="AA36" s="309"/>
      <c r="AB36" s="311"/>
      <c r="AC36" s="305"/>
      <c r="AD36" s="12">
        <f>+AD12</f>
        <v>1139646.9441218986</v>
      </c>
      <c r="AE36" s="307"/>
      <c r="AF36" s="309"/>
      <c r="AG36" s="311"/>
      <c r="AH36" s="305"/>
      <c r="AI36" s="12">
        <f>+AI12</f>
        <v>1113270.3754271546</v>
      </c>
      <c r="AJ36" s="307"/>
      <c r="AK36" s="309"/>
      <c r="AL36" s="311"/>
      <c r="AM36" s="305"/>
      <c r="AN36" s="12">
        <f>+AN12</f>
        <v>1178692.5444474781</v>
      </c>
      <c r="AO36" s="307"/>
      <c r="AP36" s="309"/>
      <c r="AQ36" s="311"/>
      <c r="AR36" s="305"/>
      <c r="AS36" s="12">
        <f>+AS12</f>
        <v>1123776.1018134595</v>
      </c>
      <c r="AT36" s="307"/>
      <c r="AU36" s="309"/>
      <c r="AV36" s="311"/>
      <c r="AW36" s="305"/>
      <c r="AX36" s="12">
        <f>+AX12</f>
        <v>2145264.2362076058</v>
      </c>
      <c r="AY36" s="307"/>
      <c r="AZ36" s="309"/>
      <c r="BA36" s="311"/>
      <c r="BB36" s="305"/>
      <c r="BC36" s="12">
        <f>+BC12</f>
        <v>1635288.0735911727</v>
      </c>
      <c r="BD36" s="307"/>
      <c r="BE36" s="309"/>
      <c r="BF36" s="311"/>
      <c r="BG36" s="305"/>
      <c r="BH36" s="12">
        <f>+BH12</f>
        <v>1532630.3077977516</v>
      </c>
      <c r="BI36" s="307"/>
      <c r="BJ36" s="309"/>
      <c r="BK36" s="311"/>
      <c r="BL36" s="305"/>
      <c r="BM36" s="12">
        <f>+BM12</f>
        <v>1688215.9641749286</v>
      </c>
      <c r="BN36" s="307"/>
      <c r="BO36" s="309"/>
      <c r="BP36" s="311"/>
      <c r="BQ36" s="305"/>
      <c r="BR36" s="12">
        <f>+BR12</f>
        <v>1799739.0706540067</v>
      </c>
      <c r="BS36" s="307"/>
      <c r="BT36" s="309"/>
      <c r="BU36" s="311"/>
      <c r="BV36" s="305"/>
      <c r="BW36" s="12">
        <f>+BW12</f>
        <v>1500599.2514027345</v>
      </c>
      <c r="BX36" s="307"/>
      <c r="BY36" s="309"/>
      <c r="BZ36" s="311"/>
      <c r="CA36" s="305"/>
      <c r="CB36" s="12">
        <f>+CB12</f>
        <v>1620330.270631151</v>
      </c>
      <c r="CC36" s="307"/>
      <c r="CD36" s="309"/>
      <c r="CE36" s="311"/>
      <c r="CF36" s="305"/>
      <c r="CG36" s="12">
        <f>+CG12</f>
        <v>1662799.7204881951</v>
      </c>
      <c r="CH36" s="307"/>
      <c r="CI36" s="309"/>
      <c r="CJ36" s="311"/>
      <c r="CK36" s="305"/>
      <c r="CL36" s="12">
        <f>+CL12</f>
        <v>1460414.3403063128</v>
      </c>
      <c r="CM36" s="307"/>
      <c r="CN36" s="309"/>
      <c r="CO36" s="311"/>
      <c r="CP36" s="305"/>
      <c r="CQ36" s="12">
        <f>+CQ12</f>
        <v>1506041.9205020922</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1199263.5717076999</v>
      </c>
      <c r="F38" s="306"/>
      <c r="G38" s="308"/>
      <c r="H38" s="312">
        <f>IF(E39=0,"-",(E38/E39))</f>
        <v>27052.488738838056</v>
      </c>
      <c r="I38" s="304"/>
      <c r="J38" s="10">
        <f>+J12</f>
        <v>2634019.778099373</v>
      </c>
      <c r="K38" s="306"/>
      <c r="L38" s="308"/>
      <c r="M38" s="312">
        <f>IF(J39=0,"-",(J38/J39))</f>
        <v>48399.609989584955</v>
      </c>
      <c r="N38" s="304"/>
      <c r="O38" s="10">
        <f>+O12</f>
        <v>1348723.4490983936</v>
      </c>
      <c r="P38" s="306"/>
      <c r="Q38" s="308"/>
      <c r="R38" s="312">
        <f>IF(O39=0,"-",(O38/O39))</f>
        <v>31071.2197238439</v>
      </c>
      <c r="S38" s="304"/>
      <c r="T38" s="10">
        <f>+T12</f>
        <v>1056744.785635201</v>
      </c>
      <c r="U38" s="306"/>
      <c r="V38" s="308"/>
      <c r="W38" s="312">
        <f>IF(T39=0,"-",(T38/T39))</f>
        <v>26748.306135938674</v>
      </c>
      <c r="X38" s="304"/>
      <c r="Y38" s="10">
        <f>+Y12</f>
        <v>1435780.6975102983</v>
      </c>
      <c r="Z38" s="306"/>
      <c r="AA38" s="308"/>
      <c r="AB38" s="312">
        <f>IF(Y39=0,"-",(Y38/Y39))</f>
        <v>28918.845930712705</v>
      </c>
      <c r="AC38" s="304"/>
      <c r="AD38" s="10">
        <f>+AD12</f>
        <v>1139646.9441218986</v>
      </c>
      <c r="AE38" s="306"/>
      <c r="AF38" s="308"/>
      <c r="AG38" s="312">
        <f>IF(AD39=0,"-",(AD38/AD39))</f>
        <v>28197.572489842576</v>
      </c>
      <c r="AH38" s="304"/>
      <c r="AI38" s="10">
        <f>+AI12</f>
        <v>1113270.3754271546</v>
      </c>
      <c r="AJ38" s="306"/>
      <c r="AK38" s="308"/>
      <c r="AL38" s="312">
        <f>IF(AI39=0,"-",(AI38/AI39))</f>
        <v>25103.872976391423</v>
      </c>
      <c r="AM38" s="304"/>
      <c r="AN38" s="10">
        <f>+AN12</f>
        <v>1178692.5444474781</v>
      </c>
      <c r="AO38" s="306"/>
      <c r="AP38" s="308"/>
      <c r="AQ38" s="312">
        <f>IF(AN39=0,"-",(AN38/AN39))</f>
        <v>30426.780433195876</v>
      </c>
      <c r="AR38" s="304"/>
      <c r="AS38" s="10">
        <f>+AS12</f>
        <v>1123776.1018134595</v>
      </c>
      <c r="AT38" s="306"/>
      <c r="AU38" s="308"/>
      <c r="AV38" s="312">
        <f>IF(AS39=0,"-",(AS38/AS39))</f>
        <v>27140.123753159882</v>
      </c>
      <c r="AW38" s="304"/>
      <c r="AX38" s="10">
        <f>+AX12</f>
        <v>2145264.2362076058</v>
      </c>
      <c r="AY38" s="306"/>
      <c r="AZ38" s="308"/>
      <c r="BA38" s="312">
        <f>IF(AX39=0,"-",(AX38/AX39))</f>
        <v>37629.329198678199</v>
      </c>
      <c r="BB38" s="304"/>
      <c r="BC38" s="10">
        <f>+BC12</f>
        <v>1635288.0735911727</v>
      </c>
      <c r="BD38" s="306"/>
      <c r="BE38" s="308"/>
      <c r="BF38" s="312">
        <f>IF(BC39=0,"-",(BC38/BC39))</f>
        <v>32921.50798227678</v>
      </c>
      <c r="BG38" s="304"/>
      <c r="BH38" s="10">
        <f>+BH12</f>
        <v>1532630.3077977516</v>
      </c>
      <c r="BI38" s="306"/>
      <c r="BJ38" s="308"/>
      <c r="BK38" s="312">
        <f>IF(BH39=0,"-",(BH38/BH39))</f>
        <v>30178.218636759808</v>
      </c>
      <c r="BL38" s="304"/>
      <c r="BM38" s="10">
        <f>+BM12</f>
        <v>1688215.9641749286</v>
      </c>
      <c r="BN38" s="306"/>
      <c r="BO38" s="308"/>
      <c r="BP38" s="312">
        <f>IF(BM39=0,"-",(BM38/BM39))</f>
        <v>29813.529246651258</v>
      </c>
      <c r="BQ38" s="304"/>
      <c r="BR38" s="10">
        <f>+BR12</f>
        <v>1799739.0706540067</v>
      </c>
      <c r="BS38" s="306"/>
      <c r="BT38" s="308"/>
      <c r="BU38" s="312">
        <f>IF(BR39=0,"-",(BR38/BR39))</f>
        <v>29788.23427050437</v>
      </c>
      <c r="BV38" s="304"/>
      <c r="BW38" s="10">
        <f>+BW12</f>
        <v>1500599.2514027345</v>
      </c>
      <c r="BX38" s="306"/>
      <c r="BY38" s="308"/>
      <c r="BZ38" s="312">
        <f>IF(BW39=0,"-",(BW38/BW39))</f>
        <v>27796.623511508536</v>
      </c>
      <c r="CA38" s="304"/>
      <c r="CB38" s="10">
        <f>+CB12</f>
        <v>1620330.270631151</v>
      </c>
      <c r="CC38" s="306"/>
      <c r="CD38" s="308"/>
      <c r="CE38" s="312">
        <f>IF(CB39=0,"-",(CB38/CB39))</f>
        <v>33128.551254157108</v>
      </c>
      <c r="CF38" s="304"/>
      <c r="CG38" s="10">
        <f>+CG12</f>
        <v>1662799.7204881951</v>
      </c>
      <c r="CH38" s="306"/>
      <c r="CI38" s="308"/>
      <c r="CJ38" s="312">
        <f>IF(CG39=0,"-",(CG38/CG39))</f>
        <v>32013.008335805051</v>
      </c>
      <c r="CK38" s="304"/>
      <c r="CL38" s="10">
        <f>+CL12</f>
        <v>1460414.3403063128</v>
      </c>
      <c r="CM38" s="306"/>
      <c r="CN38" s="308"/>
      <c r="CO38" s="312">
        <f>IF(CL39=0,"-",(CL38/CL39))</f>
        <v>29495.974476496565</v>
      </c>
      <c r="CP38" s="304"/>
      <c r="CQ38" s="10">
        <f>+CQ12</f>
        <v>1506041.9205020922</v>
      </c>
      <c r="CR38" s="306"/>
      <c r="CS38" s="308"/>
      <c r="CT38" s="312">
        <f>IF(CQ39=0,"-",(CQ38/CQ39))</f>
        <v>31498.713743260778</v>
      </c>
    </row>
    <row r="39" spans="1:98" ht="18" customHeight="1" x14ac:dyDescent="0.2">
      <c r="A39" s="20"/>
      <c r="B39" s="321"/>
      <c r="C39" s="323"/>
      <c r="D39" s="305"/>
      <c r="E39" s="12">
        <f>+PL!K5</f>
        <v>44.330988667448203</v>
      </c>
      <c r="F39" s="307"/>
      <c r="G39" s="309"/>
      <c r="H39" s="313"/>
      <c r="I39" s="305"/>
      <c r="J39" s="12">
        <f>+PL!L5</f>
        <v>54.422334780511335</v>
      </c>
      <c r="K39" s="307"/>
      <c r="L39" s="309"/>
      <c r="M39" s="313"/>
      <c r="N39" s="305"/>
      <c r="O39" s="12">
        <f>+PL!M5</f>
        <v>43.407483229999812</v>
      </c>
      <c r="P39" s="307"/>
      <c r="Q39" s="309"/>
      <c r="R39" s="313"/>
      <c r="S39" s="305"/>
      <c r="T39" s="12">
        <f>+PL!N5</f>
        <v>39.506979629464183</v>
      </c>
      <c r="U39" s="307"/>
      <c r="V39" s="309"/>
      <c r="W39" s="313"/>
      <c r="X39" s="305"/>
      <c r="Y39" s="12">
        <f>+PL!O5</f>
        <v>49.648616716943572</v>
      </c>
      <c r="Z39" s="307"/>
      <c r="AA39" s="309"/>
      <c r="AB39" s="313"/>
      <c r="AC39" s="305"/>
      <c r="AD39" s="12">
        <f>+PL!P5</f>
        <v>40.416491332096975</v>
      </c>
      <c r="AE39" s="307"/>
      <c r="AF39" s="309"/>
      <c r="AG39" s="313"/>
      <c r="AH39" s="305"/>
      <c r="AI39" s="12">
        <f>+PL!Q5</f>
        <v>44.346558655475739</v>
      </c>
      <c r="AJ39" s="307"/>
      <c r="AK39" s="309"/>
      <c r="AL39" s="313"/>
      <c r="AM39" s="305"/>
      <c r="AN39" s="12">
        <f>+PL!R5</f>
        <v>38.738654818750213</v>
      </c>
      <c r="AO39" s="307"/>
      <c r="AP39" s="309"/>
      <c r="AQ39" s="313"/>
      <c r="AR39" s="305"/>
      <c r="AS39" s="12">
        <f>+PL!S5</f>
        <v>41.406447223094183</v>
      </c>
      <c r="AT39" s="307"/>
      <c r="AU39" s="309"/>
      <c r="AV39" s="313"/>
      <c r="AW39" s="305"/>
      <c r="AX39" s="12">
        <f>+PL!T5</f>
        <v>57.010429946302693</v>
      </c>
      <c r="AY39" s="307"/>
      <c r="AZ39" s="309"/>
      <c r="BA39" s="313"/>
      <c r="BB39" s="305"/>
      <c r="BC39" s="12">
        <f>+PL!U5</f>
        <v>49.672331974328955</v>
      </c>
      <c r="BD39" s="307"/>
      <c r="BE39" s="309"/>
      <c r="BF39" s="313"/>
      <c r="BG39" s="305"/>
      <c r="BH39" s="12">
        <f>+PL!V5</f>
        <v>50.785976675603671</v>
      </c>
      <c r="BI39" s="307"/>
      <c r="BJ39" s="309"/>
      <c r="BK39" s="313"/>
      <c r="BL39" s="305"/>
      <c r="BM39" s="12">
        <f>+PL!W5</f>
        <v>56.625834204602057</v>
      </c>
      <c r="BN39" s="307"/>
      <c r="BO39" s="309"/>
      <c r="BP39" s="313"/>
      <c r="BQ39" s="305"/>
      <c r="BR39" s="12">
        <f>+PL!X5</f>
        <v>60.417782884031745</v>
      </c>
      <c r="BS39" s="307"/>
      <c r="BT39" s="309"/>
      <c r="BU39" s="313"/>
      <c r="BV39" s="305"/>
      <c r="BW39" s="12">
        <f>+PL!Y5</f>
        <v>53.984947156673428</v>
      </c>
      <c r="BX39" s="307"/>
      <c r="BY39" s="309"/>
      <c r="BZ39" s="313"/>
      <c r="CA39" s="305"/>
      <c r="CB39" s="12">
        <f>+PL!Z5</f>
        <v>48.910387242720894</v>
      </c>
      <c r="CC39" s="307"/>
      <c r="CD39" s="309"/>
      <c r="CE39" s="313"/>
      <c r="CF39" s="305"/>
      <c r="CG39" s="12">
        <f>+PL!AA5</f>
        <v>51.941376550620248</v>
      </c>
      <c r="CH39" s="307"/>
      <c r="CI39" s="309"/>
      <c r="CJ39" s="313"/>
      <c r="CK39" s="305"/>
      <c r="CL39" s="12">
        <f>+PL!AB5</f>
        <v>49.512327231976094</v>
      </c>
      <c r="CM39" s="307"/>
      <c r="CN39" s="309"/>
      <c r="CO39" s="313"/>
      <c r="CP39" s="305"/>
      <c r="CQ39" s="12">
        <f>+PL!AC5</f>
        <v>47.812806985628526</v>
      </c>
      <c r="CR39" s="307"/>
      <c r="CS39" s="309"/>
      <c r="CT39" s="313"/>
    </row>
    <row r="40" spans="1:98" ht="18" customHeight="1" x14ac:dyDescent="0.2">
      <c r="A40" s="20"/>
      <c r="B40" s="336" t="s">
        <v>146</v>
      </c>
      <c r="C40" s="322" t="s">
        <v>130</v>
      </c>
      <c r="D40" s="304"/>
      <c r="E40" s="10">
        <f>+E6</f>
        <v>38326.320828448603</v>
      </c>
      <c r="F40" s="306"/>
      <c r="G40" s="308"/>
      <c r="H40" s="312">
        <f>IF(E41=0,"-",(E40/E41))</f>
        <v>864.54920092028613</v>
      </c>
      <c r="I40" s="304"/>
      <c r="J40" s="10">
        <f>+J6</f>
        <v>188081.52436082973</v>
      </c>
      <c r="K40" s="306"/>
      <c r="L40" s="308"/>
      <c r="M40" s="312">
        <f>IF(J41=0,"-",(J40/J41))</f>
        <v>3455.9620626232636</v>
      </c>
      <c r="N40" s="304"/>
      <c r="O40" s="10">
        <f>+O6</f>
        <v>37626.65341626251</v>
      </c>
      <c r="P40" s="306"/>
      <c r="Q40" s="308"/>
      <c r="R40" s="312">
        <f>IF(O41=0,"-",(O40/O41))</f>
        <v>866.82411917072284</v>
      </c>
      <c r="S40" s="304"/>
      <c r="T40" s="10">
        <f>+T6</f>
        <v>-66559.98295911937</v>
      </c>
      <c r="U40" s="306"/>
      <c r="V40" s="308"/>
      <c r="W40" s="312">
        <f>IF(T41=0,"-",(T40/T41))</f>
        <v>-1684.7651625962096</v>
      </c>
      <c r="X40" s="304"/>
      <c r="Y40" s="10">
        <f>+Y6</f>
        <v>48925.206147699799</v>
      </c>
      <c r="Z40" s="306"/>
      <c r="AA40" s="308"/>
      <c r="AB40" s="312">
        <f>IF(Y41=0,"-",(Y40/Y41))</f>
        <v>985.42939124833879</v>
      </c>
      <c r="AC40" s="304"/>
      <c r="AD40" s="10">
        <f>+AD6</f>
        <v>9784.896796626912</v>
      </c>
      <c r="AE40" s="306"/>
      <c r="AF40" s="308"/>
      <c r="AG40" s="312">
        <f>IF(AD41=0,"-",(AD40/AD41))</f>
        <v>242.1015895770295</v>
      </c>
      <c r="AH40" s="304"/>
      <c r="AI40" s="10">
        <f>+AI6</f>
        <v>29490.480118135019</v>
      </c>
      <c r="AJ40" s="306"/>
      <c r="AK40" s="308"/>
      <c r="AL40" s="312">
        <f>IF(AI41=0,"-",(AI40/AI41))</f>
        <v>665.00041969984181</v>
      </c>
      <c r="AM40" s="304"/>
      <c r="AN40" s="10">
        <f>+AN6</f>
        <v>40646.889696761682</v>
      </c>
      <c r="AO40" s="306"/>
      <c r="AP40" s="308"/>
      <c r="AQ40" s="312">
        <f>IF(AN41=0,"-",(AN40/AN41))</f>
        <v>1049.2591930963965</v>
      </c>
      <c r="AR40" s="304"/>
      <c r="AS40" s="10">
        <f>+AS6</f>
        <v>35017.523582025831</v>
      </c>
      <c r="AT40" s="306"/>
      <c r="AU40" s="308"/>
      <c r="AV40" s="312">
        <f>IF(AS41=0,"-",(AS40/AS41))</f>
        <v>845.70220172125823</v>
      </c>
      <c r="AW40" s="304"/>
      <c r="AX40" s="10">
        <f>+AX6</f>
        <v>71632.75866834895</v>
      </c>
      <c r="AY40" s="306"/>
      <c r="AZ40" s="308"/>
      <c r="BA40" s="312">
        <f>IF(AX41=0,"-",(AX40/AX41))</f>
        <v>1256.4851508016834</v>
      </c>
      <c r="BB40" s="304"/>
      <c r="BC40" s="10">
        <f>+BC6</f>
        <v>56732.43026997034</v>
      </c>
      <c r="BD40" s="306"/>
      <c r="BE40" s="308"/>
      <c r="BF40" s="312">
        <f>IF(BC41=0,"-",(BC40/BC41))</f>
        <v>1142.1334174383055</v>
      </c>
      <c r="BG40" s="304"/>
      <c r="BH40" s="10">
        <f>+BH6</f>
        <v>45780.98743647369</v>
      </c>
      <c r="BI40" s="306"/>
      <c r="BJ40" s="308"/>
      <c r="BK40" s="312">
        <f>IF(BH41=0,"-",(BH40/BH41))</f>
        <v>901.44938491388211</v>
      </c>
      <c r="BL40" s="304"/>
      <c r="BM40" s="10">
        <f>+BM6</f>
        <v>63365.397796625366</v>
      </c>
      <c r="BN40" s="306"/>
      <c r="BO40" s="308"/>
      <c r="BP40" s="312">
        <f>IF(BM41=0,"-",(BM40/BM41))</f>
        <v>1119.0192371854819</v>
      </c>
      <c r="BQ40" s="304"/>
      <c r="BR40" s="10">
        <f>+BR6</f>
        <v>90907.121801878064</v>
      </c>
      <c r="BS40" s="306"/>
      <c r="BT40" s="308"/>
      <c r="BU40" s="312">
        <f>IF(BR41=0,"-",(BR40/BR41))</f>
        <v>1504.6418034963108</v>
      </c>
      <c r="BV40" s="304"/>
      <c r="BW40" s="10">
        <f>+BW6</f>
        <v>76839.41727238649</v>
      </c>
      <c r="BX40" s="306"/>
      <c r="BY40" s="308"/>
      <c r="BZ40" s="312">
        <f>IF(BW41=0,"-",(BW40/BW41))</f>
        <v>1423.3489392771939</v>
      </c>
      <c r="CA40" s="304"/>
      <c r="CB40" s="10">
        <f>+CB6</f>
        <v>82418.284699908851</v>
      </c>
      <c r="CC40" s="306"/>
      <c r="CD40" s="308"/>
      <c r="CE40" s="312">
        <f>IF(CB41=0,"-",(CB40/CB41))</f>
        <v>1685.0875518711985</v>
      </c>
      <c r="CF40" s="304"/>
      <c r="CG40" s="10">
        <f>+CG6</f>
        <v>73017.917567026816</v>
      </c>
      <c r="CH40" s="306"/>
      <c r="CI40" s="308"/>
      <c r="CJ40" s="312">
        <f>IF(CG41=0,"-",(CG40/CG41))</f>
        <v>1405.7755572932517</v>
      </c>
      <c r="CK40" s="304"/>
      <c r="CL40" s="10">
        <f>+CL6</f>
        <v>85285.503548748602</v>
      </c>
      <c r="CM40" s="306"/>
      <c r="CN40" s="308"/>
      <c r="CO40" s="312">
        <f>IF(CL41=0,"-",(CL40/CL41))</f>
        <v>1722.5105002470868</v>
      </c>
      <c r="CP40" s="304"/>
      <c r="CQ40" s="10">
        <f>+CQ6</f>
        <v>91139.5346552665</v>
      </c>
      <c r="CR40" s="306"/>
      <c r="CS40" s="308"/>
      <c r="CT40" s="312">
        <f>IF(CQ41=0,"-",(CQ40/CQ41))</f>
        <v>1906.1741069220436</v>
      </c>
    </row>
    <row r="41" spans="1:98" ht="18" customHeight="1" x14ac:dyDescent="0.2">
      <c r="A41" s="22"/>
      <c r="B41" s="337"/>
      <c r="C41" s="323"/>
      <c r="D41" s="305"/>
      <c r="E41" s="12">
        <f>+E39</f>
        <v>44.330988667448203</v>
      </c>
      <c r="F41" s="307"/>
      <c r="G41" s="309"/>
      <c r="H41" s="313"/>
      <c r="I41" s="305"/>
      <c r="J41" s="12">
        <f>+J39</f>
        <v>54.422334780511335</v>
      </c>
      <c r="K41" s="307"/>
      <c r="L41" s="309"/>
      <c r="M41" s="313"/>
      <c r="N41" s="305"/>
      <c r="O41" s="12">
        <f>+O39</f>
        <v>43.407483229999812</v>
      </c>
      <c r="P41" s="307"/>
      <c r="Q41" s="309"/>
      <c r="R41" s="313"/>
      <c r="S41" s="305"/>
      <c r="T41" s="12">
        <f>+T39</f>
        <v>39.506979629464183</v>
      </c>
      <c r="U41" s="307"/>
      <c r="V41" s="309"/>
      <c r="W41" s="313"/>
      <c r="X41" s="305"/>
      <c r="Y41" s="12">
        <f>+Y39</f>
        <v>49.648616716943572</v>
      </c>
      <c r="Z41" s="307"/>
      <c r="AA41" s="309"/>
      <c r="AB41" s="313"/>
      <c r="AC41" s="305"/>
      <c r="AD41" s="12">
        <f>+AD39</f>
        <v>40.416491332096975</v>
      </c>
      <c r="AE41" s="307"/>
      <c r="AF41" s="309"/>
      <c r="AG41" s="313"/>
      <c r="AH41" s="305"/>
      <c r="AI41" s="12">
        <f>+AI39</f>
        <v>44.346558655475739</v>
      </c>
      <c r="AJ41" s="307"/>
      <c r="AK41" s="309"/>
      <c r="AL41" s="313"/>
      <c r="AM41" s="305"/>
      <c r="AN41" s="12">
        <f>+AN39</f>
        <v>38.738654818750213</v>
      </c>
      <c r="AO41" s="307"/>
      <c r="AP41" s="309"/>
      <c r="AQ41" s="313"/>
      <c r="AR41" s="305"/>
      <c r="AS41" s="12">
        <f>+AS39</f>
        <v>41.406447223094183</v>
      </c>
      <c r="AT41" s="307"/>
      <c r="AU41" s="309"/>
      <c r="AV41" s="313"/>
      <c r="AW41" s="305"/>
      <c r="AX41" s="12">
        <f>+AX39</f>
        <v>57.010429946302693</v>
      </c>
      <c r="AY41" s="307"/>
      <c r="AZ41" s="309"/>
      <c r="BA41" s="313"/>
      <c r="BB41" s="305"/>
      <c r="BC41" s="12">
        <f>+BC39</f>
        <v>49.672331974328955</v>
      </c>
      <c r="BD41" s="307"/>
      <c r="BE41" s="309"/>
      <c r="BF41" s="313"/>
      <c r="BG41" s="305"/>
      <c r="BH41" s="12">
        <f>+BH39</f>
        <v>50.785976675603671</v>
      </c>
      <c r="BI41" s="307"/>
      <c r="BJ41" s="309"/>
      <c r="BK41" s="313"/>
      <c r="BL41" s="305"/>
      <c r="BM41" s="12">
        <f>+BM39</f>
        <v>56.625834204602057</v>
      </c>
      <c r="BN41" s="307"/>
      <c r="BO41" s="309"/>
      <c r="BP41" s="313"/>
      <c r="BQ41" s="305"/>
      <c r="BR41" s="12">
        <f>+BR39</f>
        <v>60.417782884031745</v>
      </c>
      <c r="BS41" s="307"/>
      <c r="BT41" s="309"/>
      <c r="BU41" s="313"/>
      <c r="BV41" s="305"/>
      <c r="BW41" s="12">
        <f>+BW39</f>
        <v>53.984947156673428</v>
      </c>
      <c r="BX41" s="307"/>
      <c r="BY41" s="309"/>
      <c r="BZ41" s="313"/>
      <c r="CA41" s="305"/>
      <c r="CB41" s="12">
        <f>+CB39</f>
        <v>48.910387242720894</v>
      </c>
      <c r="CC41" s="307"/>
      <c r="CD41" s="309"/>
      <c r="CE41" s="313"/>
      <c r="CF41" s="305"/>
      <c r="CG41" s="12">
        <f>+CG39</f>
        <v>51.941376550620248</v>
      </c>
      <c r="CH41" s="307"/>
      <c r="CI41" s="309"/>
      <c r="CJ41" s="313"/>
      <c r="CK41" s="305"/>
      <c r="CL41" s="12">
        <f>+CL39</f>
        <v>49.512327231976094</v>
      </c>
      <c r="CM41" s="307"/>
      <c r="CN41" s="309"/>
      <c r="CO41" s="313"/>
      <c r="CP41" s="305"/>
      <c r="CQ41" s="12">
        <f>+CQ39</f>
        <v>47.812806985628526</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723024.814380617</v>
      </c>
      <c r="F43" s="306" t="s">
        <v>150</v>
      </c>
      <c r="G43" s="308">
        <v>100</v>
      </c>
      <c r="H43" s="310">
        <f>IF(E44=0,"-",(E43/E44)*G43)</f>
        <v>164.89056136317046</v>
      </c>
      <c r="I43" s="304"/>
      <c r="J43" s="10">
        <f>+BS!L9</f>
        <v>1451698.7457790643</v>
      </c>
      <c r="K43" s="306" t="s">
        <v>111</v>
      </c>
      <c r="L43" s="308">
        <v>100</v>
      </c>
      <c r="M43" s="310">
        <f>IF(J44=0,"-",(J43/J44)*L43)</f>
        <v>224.68366929063902</v>
      </c>
      <c r="N43" s="304"/>
      <c r="O43" s="10">
        <f>+BS!M9</f>
        <v>730416.15619800403</v>
      </c>
      <c r="P43" s="306" t="s">
        <v>111</v>
      </c>
      <c r="Q43" s="308">
        <v>100</v>
      </c>
      <c r="R43" s="310">
        <f>IF(O44=0,"-",(O43/O44)*Q43)</f>
        <v>162.0807083570601</v>
      </c>
      <c r="S43" s="304"/>
      <c r="T43" s="10">
        <f>+BS!N9</f>
        <v>580910.38739962934</v>
      </c>
      <c r="U43" s="306" t="s">
        <v>111</v>
      </c>
      <c r="V43" s="308">
        <v>100</v>
      </c>
      <c r="W43" s="310">
        <f>IF(T44=0,"-",(T43/T44)*V43)</f>
        <v>152.19639267811772</v>
      </c>
      <c r="X43" s="304"/>
      <c r="Y43" s="10">
        <f>+BS!O9</f>
        <v>884972.01158426353</v>
      </c>
      <c r="Z43" s="306" t="s">
        <v>111</v>
      </c>
      <c r="AA43" s="308">
        <v>100</v>
      </c>
      <c r="AB43" s="310">
        <f>IF(Y44=0,"-",(Y43/Y44)*AA43)</f>
        <v>185.7594094584444</v>
      </c>
      <c r="AC43" s="304"/>
      <c r="AD43" s="10">
        <f>+BS!P9</f>
        <v>734966.63359350374</v>
      </c>
      <c r="AE43" s="306" t="s">
        <v>111</v>
      </c>
      <c r="AF43" s="308">
        <v>100</v>
      </c>
      <c r="AG43" s="310">
        <f>IF(AD44=0,"-",(AD43/AD44)*AF43)</f>
        <v>225.7986683085428</v>
      </c>
      <c r="AH43" s="304"/>
      <c r="AI43" s="10">
        <f>+BS!Q9</f>
        <v>714047.6083432727</v>
      </c>
      <c r="AJ43" s="306" t="s">
        <v>150</v>
      </c>
      <c r="AK43" s="308">
        <v>100</v>
      </c>
      <c r="AL43" s="310">
        <f>IF(AI44=0,"-",(AI43/AI44)*AK43)</f>
        <v>206.99043103710002</v>
      </c>
      <c r="AM43" s="304"/>
      <c r="AN43" s="10">
        <f>+BS!R9</f>
        <v>792999.32452253893</v>
      </c>
      <c r="AO43" s="306" t="s">
        <v>126</v>
      </c>
      <c r="AP43" s="308">
        <v>100</v>
      </c>
      <c r="AQ43" s="310">
        <f>IF(AN44=0,"-",(AN43/AN44)*AP43)</f>
        <v>189.15024701471438</v>
      </c>
      <c r="AR43" s="304"/>
      <c r="AS43" s="10">
        <f>+BS!S9</f>
        <v>886407.5082656322</v>
      </c>
      <c r="AT43" s="306" t="s">
        <v>111</v>
      </c>
      <c r="AU43" s="308">
        <v>100</v>
      </c>
      <c r="AV43" s="310">
        <f>IF(AS44=0,"-",(AS43/AS44)*AU43)</f>
        <v>215.31539960893892</v>
      </c>
      <c r="AW43" s="304"/>
      <c r="AX43" s="10">
        <f>+BS!T9</f>
        <v>1103741.0603727486</v>
      </c>
      <c r="AY43" s="306" t="s">
        <v>111</v>
      </c>
      <c r="AZ43" s="308">
        <v>100</v>
      </c>
      <c r="BA43" s="310">
        <f>IF(AX44=0,"-",(AX43/AX44)*AZ43)</f>
        <v>170.07122715887496</v>
      </c>
      <c r="BB43" s="304"/>
      <c r="BC43" s="10">
        <f>+BS!U9</f>
        <v>1007245.3291933706</v>
      </c>
      <c r="BD43" s="306" t="s">
        <v>111</v>
      </c>
      <c r="BE43" s="308">
        <v>100</v>
      </c>
      <c r="BF43" s="310">
        <f>IF(BC44=0,"-",(BC43/BC44)*BE43)</f>
        <v>221.44405104819316</v>
      </c>
      <c r="BG43" s="304"/>
      <c r="BH43" s="10">
        <f>+BS!V9</f>
        <v>1090288.4997005861</v>
      </c>
      <c r="BI43" s="306" t="s">
        <v>111</v>
      </c>
      <c r="BJ43" s="308">
        <v>100</v>
      </c>
      <c r="BK43" s="310">
        <f>IF(BH44=0,"-",(BH43/BH44)*BJ43)</f>
        <v>245.10523521245321</v>
      </c>
      <c r="BL43" s="304"/>
      <c r="BM43" s="10">
        <f>+BS!W9</f>
        <v>1413116.5461301659</v>
      </c>
      <c r="BN43" s="306" t="s">
        <v>111</v>
      </c>
      <c r="BO43" s="308">
        <v>100</v>
      </c>
      <c r="BP43" s="310">
        <f>IF(BM44=0,"-",(BM43/BM44)*BO43)</f>
        <v>263.06564672494125</v>
      </c>
      <c r="BQ43" s="304"/>
      <c r="BR43" s="10">
        <f>+BS!X9</f>
        <v>1401520.4539959265</v>
      </c>
      <c r="BS43" s="306" t="s">
        <v>111</v>
      </c>
      <c r="BT43" s="308">
        <v>100</v>
      </c>
      <c r="BU43" s="310">
        <f>IF(BR44=0,"-",(BR43/BR44)*BT43)</f>
        <v>273.82450019289234</v>
      </c>
      <c r="BV43" s="304"/>
      <c r="BW43" s="10">
        <f>+BS!Y9</f>
        <v>1047878.1784269899</v>
      </c>
      <c r="BX43" s="306" t="s">
        <v>111</v>
      </c>
      <c r="BY43" s="308">
        <v>100</v>
      </c>
      <c r="BZ43" s="310">
        <f>IF(BW44=0,"-",(BW43/BW44)*BY43)</f>
        <v>235.93996272049375</v>
      </c>
      <c r="CA43" s="304"/>
      <c r="CB43" s="10">
        <f>+BS!Z9</f>
        <v>1049164.9821349161</v>
      </c>
      <c r="CC43" s="306" t="s">
        <v>111</v>
      </c>
      <c r="CD43" s="308">
        <v>100</v>
      </c>
      <c r="CE43" s="310">
        <f>IF(CB44=0,"-",(CB43/CB44)*CD43)</f>
        <v>206.42890788668535</v>
      </c>
      <c r="CF43" s="304"/>
      <c r="CG43" s="10">
        <f>+BS!AA9</f>
        <v>1189437.9013605441</v>
      </c>
      <c r="CH43" s="306" t="s">
        <v>126</v>
      </c>
      <c r="CI43" s="308">
        <v>100</v>
      </c>
      <c r="CJ43" s="310">
        <f>IF(CG44=0,"-",(CG43/CG44)*CI43)</f>
        <v>229.43399963114945</v>
      </c>
      <c r="CK43" s="304"/>
      <c r="CL43" s="10">
        <f>+BS!AB9</f>
        <v>1125375.7250653717</v>
      </c>
      <c r="CM43" s="306" t="s">
        <v>111</v>
      </c>
      <c r="CN43" s="308">
        <v>100</v>
      </c>
      <c r="CO43" s="310">
        <f>IF(CL44=0,"-",(CL43/CL44)*CN43)</f>
        <v>255.70104725966846</v>
      </c>
      <c r="CP43" s="304"/>
      <c r="CQ43" s="10">
        <f>+BS!AC9</f>
        <v>1052124.488266327</v>
      </c>
      <c r="CR43" s="306" t="s">
        <v>111</v>
      </c>
      <c r="CS43" s="308">
        <v>100</v>
      </c>
      <c r="CT43" s="310">
        <f>IF(CQ44=0,"-",(CQ43/CQ44)*CS43)</f>
        <v>226.12291575145272</v>
      </c>
    </row>
    <row r="44" spans="1:98" ht="18" customHeight="1" x14ac:dyDescent="0.2">
      <c r="A44" s="17"/>
      <c r="B44" s="321"/>
      <c r="C44" s="323"/>
      <c r="D44" s="305"/>
      <c r="E44" s="12">
        <f>+BS!K31</f>
        <v>438487.69050410303</v>
      </c>
      <c r="F44" s="307"/>
      <c r="G44" s="309"/>
      <c r="H44" s="311"/>
      <c r="I44" s="305"/>
      <c r="J44" s="12">
        <f>+BS!L31</f>
        <v>646107.8147612157</v>
      </c>
      <c r="K44" s="307"/>
      <c r="L44" s="309"/>
      <c r="M44" s="311"/>
      <c r="N44" s="305"/>
      <c r="O44" s="12">
        <f>+BS!M31</f>
        <v>450649.65695295081</v>
      </c>
      <c r="P44" s="307"/>
      <c r="Q44" s="309"/>
      <c r="R44" s="311"/>
      <c r="S44" s="305"/>
      <c r="T44" s="12">
        <f>+BS!N31</f>
        <v>381684.727987085</v>
      </c>
      <c r="U44" s="307"/>
      <c r="V44" s="309"/>
      <c r="W44" s="311"/>
      <c r="X44" s="305"/>
      <c r="Y44" s="12">
        <f>+BS!O31</f>
        <v>476407.63618073281</v>
      </c>
      <c r="Z44" s="307"/>
      <c r="AA44" s="309"/>
      <c r="AB44" s="311"/>
      <c r="AC44" s="305"/>
      <c r="AD44" s="12">
        <f>+BS!P31</f>
        <v>325496.44295917987</v>
      </c>
      <c r="AE44" s="307"/>
      <c r="AF44" s="309"/>
      <c r="AG44" s="311"/>
      <c r="AH44" s="305"/>
      <c r="AI44" s="12">
        <f>+BS!Q31</f>
        <v>344966.48215360742</v>
      </c>
      <c r="AJ44" s="307"/>
      <c r="AK44" s="309"/>
      <c r="AL44" s="311"/>
      <c r="AM44" s="305"/>
      <c r="AN44" s="12">
        <f>+BS!R31</f>
        <v>419243.08164442942</v>
      </c>
      <c r="AO44" s="307"/>
      <c r="AP44" s="309"/>
      <c r="AQ44" s="311"/>
      <c r="AR44" s="305"/>
      <c r="AS44" s="12">
        <f>+BS!S31</f>
        <v>411678.63974223257</v>
      </c>
      <c r="AT44" s="307"/>
      <c r="AU44" s="309"/>
      <c r="AV44" s="311"/>
      <c r="AW44" s="305"/>
      <c r="AX44" s="12">
        <f>+BS!T31</f>
        <v>648987.53234823782</v>
      </c>
      <c r="AY44" s="307"/>
      <c r="AZ44" s="309"/>
      <c r="BA44" s="311"/>
      <c r="BB44" s="305"/>
      <c r="BC44" s="12">
        <f>+BS!U31</f>
        <v>454853.18951926258</v>
      </c>
      <c r="BD44" s="307"/>
      <c r="BE44" s="309"/>
      <c r="BF44" s="311"/>
      <c r="BG44" s="305"/>
      <c r="BH44" s="12">
        <f>+BS!V31</f>
        <v>444824.64797438617</v>
      </c>
      <c r="BI44" s="307"/>
      <c r="BJ44" s="309"/>
      <c r="BK44" s="311"/>
      <c r="BL44" s="305"/>
      <c r="BM44" s="12">
        <f>+BS!W31</f>
        <v>537172.58932243101</v>
      </c>
      <c r="BN44" s="307"/>
      <c r="BO44" s="309"/>
      <c r="BP44" s="311"/>
      <c r="BQ44" s="305"/>
      <c r="BR44" s="12">
        <f>+BS!X31</f>
        <v>511831.6487416731</v>
      </c>
      <c r="BS44" s="307"/>
      <c r="BT44" s="309"/>
      <c r="BU44" s="311"/>
      <c r="BV44" s="305"/>
      <c r="BW44" s="12">
        <f>+BS!Y31</f>
        <v>444129.16164963483</v>
      </c>
      <c r="BX44" s="307"/>
      <c r="BY44" s="309"/>
      <c r="BZ44" s="311"/>
      <c r="CA44" s="305"/>
      <c r="CB44" s="12">
        <f>+BS!Z31</f>
        <v>508245.18371759844</v>
      </c>
      <c r="CC44" s="307"/>
      <c r="CD44" s="309"/>
      <c r="CE44" s="311"/>
      <c r="CF44" s="305"/>
      <c r="CG44" s="12">
        <f>+BS!AA31</f>
        <v>518422.68507402955</v>
      </c>
      <c r="CH44" s="307"/>
      <c r="CI44" s="309"/>
      <c r="CJ44" s="311"/>
      <c r="CK44" s="305"/>
      <c r="CL44" s="12">
        <f>+BS!AB31</f>
        <v>440113.85057900636</v>
      </c>
      <c r="CM44" s="307"/>
      <c r="CN44" s="309"/>
      <c r="CO44" s="311"/>
      <c r="CP44" s="305"/>
      <c r="CQ44" s="12">
        <f>+BS!AC31</f>
        <v>465288.75004547939</v>
      </c>
      <c r="CR44" s="307"/>
      <c r="CS44" s="309"/>
      <c r="CT44" s="311"/>
    </row>
    <row r="45" spans="1:98" ht="18" customHeight="1" x14ac:dyDescent="0.2">
      <c r="A45" s="17"/>
      <c r="B45" s="320" t="s">
        <v>151</v>
      </c>
      <c r="C45" s="322" t="s">
        <v>152</v>
      </c>
      <c r="D45" s="304"/>
      <c r="E45" s="10">
        <f>+BS!K10+BS!K11+BS!K12</f>
        <v>536908.94880812778</v>
      </c>
      <c r="F45" s="306" t="s">
        <v>111</v>
      </c>
      <c r="G45" s="308">
        <v>100</v>
      </c>
      <c r="H45" s="310">
        <f>IF(E46=0,"-",(E45/E46)*G45)</f>
        <v>122.44561487937682</v>
      </c>
      <c r="I45" s="304"/>
      <c r="J45" s="10">
        <f>+BS!L10+BS!L11+BS!L12</f>
        <v>883344.18716835487</v>
      </c>
      <c r="K45" s="306" t="s">
        <v>111</v>
      </c>
      <c r="L45" s="308">
        <v>100</v>
      </c>
      <c r="M45" s="310">
        <f>IF(J46=0,"-",(J45/J46)*L45)</f>
        <v>136.71776861185549</v>
      </c>
      <c r="N45" s="304"/>
      <c r="O45" s="10">
        <f>+BS!M10+BS!M11+BS!M12</f>
        <v>598185.03930549009</v>
      </c>
      <c r="P45" s="306" t="s">
        <v>111</v>
      </c>
      <c r="Q45" s="308">
        <v>100</v>
      </c>
      <c r="R45" s="310">
        <f>IF(O46=0,"-",(O45/O46)*Q45)</f>
        <v>132.73837671376336</v>
      </c>
      <c r="S45" s="304"/>
      <c r="T45" s="10">
        <f>+BS!N10+BS!N11+BS!N12</f>
        <v>407431.86780273961</v>
      </c>
      <c r="U45" s="306" t="s">
        <v>111</v>
      </c>
      <c r="V45" s="308">
        <v>100</v>
      </c>
      <c r="W45" s="310">
        <f>IF(T46=0,"-",(T45/T46)*V45)</f>
        <v>106.74565627800696</v>
      </c>
      <c r="X45" s="304"/>
      <c r="Y45" s="10">
        <f>+BS!O10+BS!O11+BS!O12</f>
        <v>636033.69348621462</v>
      </c>
      <c r="Z45" s="306" t="s">
        <v>111</v>
      </c>
      <c r="AA45" s="308">
        <v>100</v>
      </c>
      <c r="AB45" s="310">
        <f>IF(Y46=0,"-",(Y45/Y46)*AA45)</f>
        <v>133.50619200505952</v>
      </c>
      <c r="AC45" s="304"/>
      <c r="AD45" s="10">
        <f>+BS!P10+BS!P11+BS!P12</f>
        <v>535029.96230469609</v>
      </c>
      <c r="AE45" s="306" t="s">
        <v>111</v>
      </c>
      <c r="AF45" s="308">
        <v>100</v>
      </c>
      <c r="AG45" s="310">
        <f>IF(AD46=0,"-",(AD45/AD46)*AF45)</f>
        <v>164.37352047247828</v>
      </c>
      <c r="AH45" s="304"/>
      <c r="AI45" s="10">
        <f>+BS!Q10+BS!Q11+BS!Q12</f>
        <v>514324.72489497851</v>
      </c>
      <c r="AJ45" s="306" t="s">
        <v>111</v>
      </c>
      <c r="AK45" s="308">
        <v>100</v>
      </c>
      <c r="AL45" s="310">
        <f>IF(AI46=0,"-",(AI45/AI46)*AK45)</f>
        <v>149.09411537146352</v>
      </c>
      <c r="AM45" s="304"/>
      <c r="AN45" s="10">
        <f>+BS!R10+BS!R11+BS!R12</f>
        <v>555648.4581917699</v>
      </c>
      <c r="AO45" s="306" t="s">
        <v>111</v>
      </c>
      <c r="AP45" s="308">
        <v>100</v>
      </c>
      <c r="AQ45" s="310">
        <f>IF(AN46=0,"-",(AN45/AN46)*AP45)</f>
        <v>132.53610674082137</v>
      </c>
      <c r="AR45" s="304"/>
      <c r="AS45" s="10">
        <f>+BS!S10+BS!S11+BS!S12</f>
        <v>611988.11126102193</v>
      </c>
      <c r="AT45" s="306" t="s">
        <v>111</v>
      </c>
      <c r="AU45" s="308">
        <v>100</v>
      </c>
      <c r="AV45" s="310">
        <f>IF(AS46=0,"-",(AS45/AS46)*AU45)</f>
        <v>148.65675606687066</v>
      </c>
      <c r="AW45" s="304"/>
      <c r="AX45" s="10">
        <f>+BS!T10+BS!T11+BS!T12</f>
        <v>660969.40730777103</v>
      </c>
      <c r="AY45" s="306" t="s">
        <v>111</v>
      </c>
      <c r="AZ45" s="308">
        <v>100</v>
      </c>
      <c r="BA45" s="310">
        <f>IF(AX46=0,"-",(AX45/AX46)*AZ45)</f>
        <v>101.84624116216519</v>
      </c>
      <c r="BB45" s="304"/>
      <c r="BC45" s="10">
        <f>+BS!U10+BS!U11+BS!U12</f>
        <v>593363.94949982245</v>
      </c>
      <c r="BD45" s="306" t="s">
        <v>111</v>
      </c>
      <c r="BE45" s="308">
        <v>100</v>
      </c>
      <c r="BF45" s="310">
        <f>IF(BC46=0,"-",(BC45/BC46)*BE45)</f>
        <v>130.45175084447641</v>
      </c>
      <c r="BG45" s="304"/>
      <c r="BH45" s="10">
        <f>+BS!V10+BS!V11+BS!V12</f>
        <v>759023.63982405455</v>
      </c>
      <c r="BI45" s="306" t="s">
        <v>111</v>
      </c>
      <c r="BJ45" s="308">
        <v>100</v>
      </c>
      <c r="BK45" s="310">
        <f>IF(BH46=0,"-",(BH45/BH46)*BJ45)</f>
        <v>170.63434845178824</v>
      </c>
      <c r="BL45" s="304"/>
      <c r="BM45" s="10">
        <f>+BS!W10+BS!W11+BS!W12</f>
        <v>965466.64698354388</v>
      </c>
      <c r="BN45" s="306" t="s">
        <v>111</v>
      </c>
      <c r="BO45" s="308">
        <v>100</v>
      </c>
      <c r="BP45" s="310">
        <f>IF(BM46=0,"-",(BM45/BM46)*BO45)</f>
        <v>179.73118252391595</v>
      </c>
      <c r="BQ45" s="304"/>
      <c r="BR45" s="10">
        <f>+BS!X10+BS!X11+BS!X12</f>
        <v>1108753.411888456</v>
      </c>
      <c r="BS45" s="306" t="s">
        <v>111</v>
      </c>
      <c r="BT45" s="308">
        <v>100</v>
      </c>
      <c r="BU45" s="310">
        <f>IF(BR46=0,"-",(BR45/BR46)*BT45)</f>
        <v>216.62462933159802</v>
      </c>
      <c r="BV45" s="304"/>
      <c r="BW45" s="10">
        <f>+BS!Y10+BS!Y11+BS!Y12</f>
        <v>819529.17193753598</v>
      </c>
      <c r="BX45" s="306" t="s">
        <v>111</v>
      </c>
      <c r="BY45" s="308">
        <v>100</v>
      </c>
      <c r="BZ45" s="310">
        <f>IF(BW46=0,"-",(BW45/BW46)*BY45)</f>
        <v>184.52496316466767</v>
      </c>
      <c r="CA45" s="304"/>
      <c r="CB45" s="10">
        <f>+BS!Z10+BS!Z11+BS!Z12</f>
        <v>715175.18018200202</v>
      </c>
      <c r="CC45" s="306" t="s">
        <v>111</v>
      </c>
      <c r="CD45" s="308">
        <v>100</v>
      </c>
      <c r="CE45" s="310">
        <f>IF(CB46=0,"-",(CB45/CB46)*CD45)</f>
        <v>140.71460056951219</v>
      </c>
      <c r="CF45" s="304"/>
      <c r="CG45" s="10">
        <f>+BS!AA10+BS!AA11+BS!AA12</f>
        <v>732764.65966386558</v>
      </c>
      <c r="CH45" s="306" t="s">
        <v>111</v>
      </c>
      <c r="CI45" s="308">
        <v>100</v>
      </c>
      <c r="CJ45" s="310">
        <f>IF(CG46=0,"-",(CG45/CG46)*CI45)</f>
        <v>141.34502226869731</v>
      </c>
      <c r="CK45" s="304"/>
      <c r="CL45" s="10">
        <f>+BS!AB10+BS!AB11+BS!AB12</f>
        <v>769261.16398954054</v>
      </c>
      <c r="CM45" s="306" t="s">
        <v>111</v>
      </c>
      <c r="CN45" s="308">
        <v>100</v>
      </c>
      <c r="CO45" s="310">
        <f>IF(CL46=0,"-",(CL45/CL46)*CN45)</f>
        <v>174.78685639579703</v>
      </c>
      <c r="CP45" s="304"/>
      <c r="CQ45" s="10">
        <f>+BS!AC10+BS!AC11+BS!AC12</f>
        <v>761677.53902128432</v>
      </c>
      <c r="CR45" s="306" t="s">
        <v>111</v>
      </c>
      <c r="CS45" s="308">
        <v>100</v>
      </c>
      <c r="CT45" s="310">
        <f>IF(CQ46=0,"-",(CQ45/CQ46)*CS45)</f>
        <v>163.69996887885952</v>
      </c>
    </row>
    <row r="46" spans="1:98" ht="18" customHeight="1" x14ac:dyDescent="0.2">
      <c r="A46" s="17"/>
      <c r="B46" s="321"/>
      <c r="C46" s="323"/>
      <c r="D46" s="305"/>
      <c r="E46" s="12">
        <f>+E44</f>
        <v>438487.69050410303</v>
      </c>
      <c r="F46" s="307"/>
      <c r="G46" s="309"/>
      <c r="H46" s="311"/>
      <c r="I46" s="305"/>
      <c r="J46" s="12">
        <f>+J44</f>
        <v>646107.8147612157</v>
      </c>
      <c r="K46" s="307"/>
      <c r="L46" s="309"/>
      <c r="M46" s="311"/>
      <c r="N46" s="305"/>
      <c r="O46" s="12">
        <f>+O44</f>
        <v>450649.65695295081</v>
      </c>
      <c r="P46" s="307"/>
      <c r="Q46" s="309"/>
      <c r="R46" s="311"/>
      <c r="S46" s="305"/>
      <c r="T46" s="12">
        <f>+T44</f>
        <v>381684.727987085</v>
      </c>
      <c r="U46" s="307"/>
      <c r="V46" s="309"/>
      <c r="W46" s="311"/>
      <c r="X46" s="305"/>
      <c r="Y46" s="12">
        <f>+Y44</f>
        <v>476407.63618073281</v>
      </c>
      <c r="Z46" s="307"/>
      <c r="AA46" s="309"/>
      <c r="AB46" s="311"/>
      <c r="AC46" s="305"/>
      <c r="AD46" s="12">
        <f>+AD44</f>
        <v>325496.44295917987</v>
      </c>
      <c r="AE46" s="307"/>
      <c r="AF46" s="309"/>
      <c r="AG46" s="311"/>
      <c r="AH46" s="305"/>
      <c r="AI46" s="12">
        <f>+AI44</f>
        <v>344966.48215360742</v>
      </c>
      <c r="AJ46" s="307"/>
      <c r="AK46" s="309"/>
      <c r="AL46" s="311"/>
      <c r="AM46" s="305"/>
      <c r="AN46" s="12">
        <f>+AN44</f>
        <v>419243.08164442942</v>
      </c>
      <c r="AO46" s="307"/>
      <c r="AP46" s="309"/>
      <c r="AQ46" s="311"/>
      <c r="AR46" s="305"/>
      <c r="AS46" s="12">
        <f>+AS44</f>
        <v>411678.63974223257</v>
      </c>
      <c r="AT46" s="307"/>
      <c r="AU46" s="309"/>
      <c r="AV46" s="311"/>
      <c r="AW46" s="305"/>
      <c r="AX46" s="12">
        <f>+AX44</f>
        <v>648987.53234823782</v>
      </c>
      <c r="AY46" s="307"/>
      <c r="AZ46" s="309"/>
      <c r="BA46" s="311"/>
      <c r="BB46" s="305"/>
      <c r="BC46" s="12">
        <f>+BC44</f>
        <v>454853.18951926258</v>
      </c>
      <c r="BD46" s="307"/>
      <c r="BE46" s="309"/>
      <c r="BF46" s="311"/>
      <c r="BG46" s="305"/>
      <c r="BH46" s="12">
        <f>+BH44</f>
        <v>444824.64797438617</v>
      </c>
      <c r="BI46" s="307"/>
      <c r="BJ46" s="309"/>
      <c r="BK46" s="311"/>
      <c r="BL46" s="305"/>
      <c r="BM46" s="12">
        <f>+BM44</f>
        <v>537172.58932243101</v>
      </c>
      <c r="BN46" s="307"/>
      <c r="BO46" s="309"/>
      <c r="BP46" s="311"/>
      <c r="BQ46" s="305"/>
      <c r="BR46" s="12">
        <f>+BR44</f>
        <v>511831.6487416731</v>
      </c>
      <c r="BS46" s="307"/>
      <c r="BT46" s="309"/>
      <c r="BU46" s="311"/>
      <c r="BV46" s="305"/>
      <c r="BW46" s="12">
        <f>+BW44</f>
        <v>444129.16164963483</v>
      </c>
      <c r="BX46" s="307"/>
      <c r="BY46" s="309"/>
      <c r="BZ46" s="311"/>
      <c r="CA46" s="305"/>
      <c r="CB46" s="12">
        <f>+CB44</f>
        <v>508245.18371759844</v>
      </c>
      <c r="CC46" s="307"/>
      <c r="CD46" s="309"/>
      <c r="CE46" s="311"/>
      <c r="CF46" s="305"/>
      <c r="CG46" s="12">
        <f>+CG44</f>
        <v>518422.68507402955</v>
      </c>
      <c r="CH46" s="307"/>
      <c r="CI46" s="309"/>
      <c r="CJ46" s="311"/>
      <c r="CK46" s="305"/>
      <c r="CL46" s="12">
        <f>+CL44</f>
        <v>440113.85057900636</v>
      </c>
      <c r="CM46" s="307"/>
      <c r="CN46" s="309"/>
      <c r="CO46" s="311"/>
      <c r="CP46" s="305"/>
      <c r="CQ46" s="12">
        <f>+CQ44</f>
        <v>465288.75004547939</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553550.01953888196</v>
      </c>
      <c r="F48" s="306" t="s">
        <v>150</v>
      </c>
      <c r="G48" s="308">
        <v>100</v>
      </c>
      <c r="H48" s="310">
        <f>IF(E49=0,"-",(E48/E49)*G48)</f>
        <v>43.24508528446632</v>
      </c>
      <c r="I48" s="304"/>
      <c r="J48" s="10">
        <f>+J9</f>
        <v>1393015.436565364</v>
      </c>
      <c r="K48" s="306" t="s">
        <v>111</v>
      </c>
      <c r="L48" s="308">
        <v>100</v>
      </c>
      <c r="M48" s="310">
        <f>IF(J49=0,"-",(J48/J49)*L48)</f>
        <v>60.594521583323299</v>
      </c>
      <c r="N48" s="304"/>
      <c r="O48" s="10">
        <f>+O9</f>
        <v>577381.50141734572</v>
      </c>
      <c r="P48" s="306" t="s">
        <v>111</v>
      </c>
      <c r="Q48" s="308">
        <v>100</v>
      </c>
      <c r="R48" s="310">
        <f>IF(O49=0,"-",(O48/O49)*Q48)</f>
        <v>46.412741862856016</v>
      </c>
      <c r="S48" s="304"/>
      <c r="T48" s="10">
        <f>+T9</f>
        <v>472632.12796949386</v>
      </c>
      <c r="U48" s="306" t="s">
        <v>111</v>
      </c>
      <c r="V48" s="308">
        <v>100</v>
      </c>
      <c r="W48" s="310">
        <f>IF(T49=0,"-",(T48/T49)*V48)</f>
        <v>44.076371368732062</v>
      </c>
      <c r="X48" s="304"/>
      <c r="Y48" s="10">
        <f>+Y9</f>
        <v>799333.19982824905</v>
      </c>
      <c r="Z48" s="306" t="s">
        <v>111</v>
      </c>
      <c r="AA48" s="308">
        <v>100</v>
      </c>
      <c r="AB48" s="310">
        <f>IF(Y49=0,"-",(Y48/Y49)*AA48)</f>
        <v>53.122446917631429</v>
      </c>
      <c r="AC48" s="304"/>
      <c r="AD48" s="10">
        <f>+AD9</f>
        <v>509334.51900716953</v>
      </c>
      <c r="AE48" s="306" t="s">
        <v>111</v>
      </c>
      <c r="AF48" s="308">
        <v>100</v>
      </c>
      <c r="AG48" s="310">
        <f>IF(AD49=0,"-",(AD48/AD49)*AF48)</f>
        <v>42.980304804008952</v>
      </c>
      <c r="AH48" s="304"/>
      <c r="AI48" s="10">
        <f>+AI9</f>
        <v>574129.00666448171</v>
      </c>
      <c r="AJ48" s="306" t="s">
        <v>150</v>
      </c>
      <c r="AK48" s="308">
        <v>100</v>
      </c>
      <c r="AL48" s="310">
        <f>IF(AI49=0,"-",(AI48/AI49)*AK48)</f>
        <v>45.928482427501578</v>
      </c>
      <c r="AM48" s="304"/>
      <c r="AN48" s="10">
        <f>+AN9</f>
        <v>545994.89917504345</v>
      </c>
      <c r="AO48" s="306" t="s">
        <v>111</v>
      </c>
      <c r="AP48" s="308">
        <v>100</v>
      </c>
      <c r="AQ48" s="310">
        <f>IF(AN49=0,"-",(AN48/AN49)*AP48)</f>
        <v>42.307873783241405</v>
      </c>
      <c r="AR48" s="304"/>
      <c r="AS48" s="10">
        <f>+AS9</f>
        <v>665027.34989371127</v>
      </c>
      <c r="AT48" s="306" t="s">
        <v>111</v>
      </c>
      <c r="AU48" s="308">
        <v>100</v>
      </c>
      <c r="AV48" s="310">
        <f>IF(AS49=0,"-",(AS48/AS49)*AU48)</f>
        <v>47.46320019845858</v>
      </c>
      <c r="AW48" s="304"/>
      <c r="AX48" s="10">
        <f>+AX9</f>
        <v>790118.18028685404</v>
      </c>
      <c r="AY48" s="306" t="s">
        <v>111</v>
      </c>
      <c r="AZ48" s="308">
        <v>100</v>
      </c>
      <c r="BA48" s="310">
        <f>IF(AX49=0,"-",(AX48/AX49)*AZ48)</f>
        <v>46.343390524286569</v>
      </c>
      <c r="BB48" s="304"/>
      <c r="BC48" s="10">
        <f>+BC9</f>
        <v>879802.16703996062</v>
      </c>
      <c r="BD48" s="306" t="s">
        <v>111</v>
      </c>
      <c r="BE48" s="308">
        <v>100</v>
      </c>
      <c r="BF48" s="310">
        <f>IF(BC49=0,"-",(BC48/BC49)*BE48)</f>
        <v>52.218653321852635</v>
      </c>
      <c r="BG48" s="304"/>
      <c r="BH48" s="10">
        <f>+BH9</f>
        <v>1086236.0459765396</v>
      </c>
      <c r="BI48" s="306" t="s">
        <v>111</v>
      </c>
      <c r="BJ48" s="308">
        <v>100</v>
      </c>
      <c r="BK48" s="310">
        <f>IF(BH49=0,"-",(BH48/BH49)*BJ48)</f>
        <v>58.480651177641263</v>
      </c>
      <c r="BL48" s="304"/>
      <c r="BM48" s="10">
        <f>+BM9</f>
        <v>1284116.5010116843</v>
      </c>
      <c r="BN48" s="306" t="s">
        <v>111</v>
      </c>
      <c r="BO48" s="308">
        <v>100</v>
      </c>
      <c r="BP48" s="310">
        <f>IF(BM49=0,"-",(BM48/BM49)*BO48)</f>
        <v>59.597267876827956</v>
      </c>
      <c r="BQ48" s="304"/>
      <c r="BR48" s="10">
        <f>+BR9</f>
        <v>1321960.3582554755</v>
      </c>
      <c r="BS48" s="306" t="s">
        <v>111</v>
      </c>
      <c r="BT48" s="308">
        <v>100</v>
      </c>
      <c r="BU48" s="310">
        <f>IF(BR49=0,"-",(BR48/BR49)*BT48)</f>
        <v>60.139820083075165</v>
      </c>
      <c r="BV48" s="304"/>
      <c r="BW48" s="10">
        <f>+BW9</f>
        <v>1021430.7274923503</v>
      </c>
      <c r="BX48" s="306" t="s">
        <v>111</v>
      </c>
      <c r="BY48" s="308">
        <v>100</v>
      </c>
      <c r="BZ48" s="310">
        <f>IF(BW49=0,"-",(BW48/BW49)*BY48)</f>
        <v>56.36524344021494</v>
      </c>
      <c r="CA48" s="304"/>
      <c r="CB48" s="10">
        <f>+CB9</f>
        <v>988445.62844990555</v>
      </c>
      <c r="CC48" s="306" t="s">
        <v>111</v>
      </c>
      <c r="CD48" s="308">
        <v>100</v>
      </c>
      <c r="CE48" s="310">
        <f>IF(CB49=0,"-",(CB48/CB49)*CD48)</f>
        <v>52.379061791658422</v>
      </c>
      <c r="CF48" s="304"/>
      <c r="CG48" s="10">
        <f>+CG9</f>
        <v>1243456.2378951579</v>
      </c>
      <c r="CH48" s="306" t="s">
        <v>111</v>
      </c>
      <c r="CI48" s="308">
        <v>100</v>
      </c>
      <c r="CJ48" s="310">
        <f>IF(CG49=0,"-",(CG48/CG49)*CI48)</f>
        <v>59.805764938831452</v>
      </c>
      <c r="CK48" s="304"/>
      <c r="CL48" s="10">
        <f>+CL9</f>
        <v>1242668.9340679867</v>
      </c>
      <c r="CM48" s="306" t="s">
        <v>111</v>
      </c>
      <c r="CN48" s="308">
        <v>100</v>
      </c>
      <c r="CO48" s="310">
        <f>IF(CL49=0,"-",(CL48/CL49)*CN48)</f>
        <v>62.36794157268595</v>
      </c>
      <c r="CP48" s="304"/>
      <c r="CQ48" s="10">
        <f>+CQ9</f>
        <v>1009884.574859014</v>
      </c>
      <c r="CR48" s="306" t="s">
        <v>111</v>
      </c>
      <c r="CS48" s="308">
        <v>100</v>
      </c>
      <c r="CT48" s="310">
        <f>IF(CQ49=0,"-",(CQ48/CQ49)*CS48)</f>
        <v>57.024243665194874</v>
      </c>
    </row>
    <row r="49" spans="1:98" ht="18" customHeight="1" x14ac:dyDescent="0.2">
      <c r="A49" s="20"/>
      <c r="B49" s="321"/>
      <c r="C49" s="323"/>
      <c r="D49" s="305"/>
      <c r="E49" s="12">
        <f>+E7</f>
        <v>1280029.8944900399</v>
      </c>
      <c r="F49" s="307"/>
      <c r="G49" s="309"/>
      <c r="H49" s="311"/>
      <c r="I49" s="305"/>
      <c r="J49" s="12">
        <f>+J7</f>
        <v>2298913.1693198266</v>
      </c>
      <c r="K49" s="307"/>
      <c r="L49" s="309"/>
      <c r="M49" s="311"/>
      <c r="N49" s="305"/>
      <c r="O49" s="12">
        <f>+O7</f>
        <v>1244015.0662148716</v>
      </c>
      <c r="P49" s="307"/>
      <c r="Q49" s="309"/>
      <c r="R49" s="311"/>
      <c r="S49" s="305"/>
      <c r="T49" s="12">
        <f>+T7</f>
        <v>1072302.7175163082</v>
      </c>
      <c r="U49" s="307"/>
      <c r="V49" s="309"/>
      <c r="W49" s="311"/>
      <c r="X49" s="305"/>
      <c r="Y49" s="12">
        <f>+Y7</f>
        <v>1504699.5125575608</v>
      </c>
      <c r="Z49" s="307"/>
      <c r="AA49" s="309"/>
      <c r="AB49" s="311"/>
      <c r="AC49" s="305"/>
      <c r="AD49" s="12">
        <f>+AD7</f>
        <v>1185041.6634543312</v>
      </c>
      <c r="AE49" s="307"/>
      <c r="AF49" s="309"/>
      <c r="AG49" s="311"/>
      <c r="AH49" s="305"/>
      <c r="AI49" s="12">
        <f>+AI7</f>
        <v>1250050.0263006692</v>
      </c>
      <c r="AJ49" s="307"/>
      <c r="AK49" s="309"/>
      <c r="AL49" s="311"/>
      <c r="AM49" s="305"/>
      <c r="AN49" s="12">
        <f>+AN7</f>
        <v>1290527.8624314081</v>
      </c>
      <c r="AO49" s="307"/>
      <c r="AP49" s="309"/>
      <c r="AQ49" s="311"/>
      <c r="AR49" s="305"/>
      <c r="AS49" s="12">
        <f>+AS7</f>
        <v>1401143.0900424384</v>
      </c>
      <c r="AT49" s="307"/>
      <c r="AU49" s="309"/>
      <c r="AV49" s="311"/>
      <c r="AW49" s="305"/>
      <c r="AX49" s="12">
        <f>+AX7</f>
        <v>1704920.9635898073</v>
      </c>
      <c r="AY49" s="307"/>
      <c r="AZ49" s="309"/>
      <c r="BA49" s="311"/>
      <c r="BB49" s="305"/>
      <c r="BC49" s="12">
        <f>+BC7</f>
        <v>1684842.6971435859</v>
      </c>
      <c r="BD49" s="307"/>
      <c r="BE49" s="309"/>
      <c r="BF49" s="311"/>
      <c r="BG49" s="305"/>
      <c r="BH49" s="12">
        <f>+BH7</f>
        <v>1857428.0964775525</v>
      </c>
      <c r="BI49" s="307"/>
      <c r="BJ49" s="309"/>
      <c r="BK49" s="311"/>
      <c r="BL49" s="305"/>
      <c r="BM49" s="12">
        <f>+BM7</f>
        <v>2154656.6592039405</v>
      </c>
      <c r="BN49" s="307"/>
      <c r="BO49" s="309"/>
      <c r="BP49" s="311"/>
      <c r="BQ49" s="305"/>
      <c r="BR49" s="12">
        <f>+BR7</f>
        <v>2198144.850498992</v>
      </c>
      <c r="BS49" s="307"/>
      <c r="BT49" s="309"/>
      <c r="BU49" s="311"/>
      <c r="BV49" s="305"/>
      <c r="BW49" s="12">
        <f>+BW7</f>
        <v>1812164.1372413367</v>
      </c>
      <c r="BX49" s="307"/>
      <c r="BY49" s="309"/>
      <c r="BZ49" s="311"/>
      <c r="CA49" s="305"/>
      <c r="CB49" s="12">
        <f>+CB7</f>
        <v>1887100.6746579786</v>
      </c>
      <c r="CC49" s="307"/>
      <c r="CD49" s="309"/>
      <c r="CE49" s="311"/>
      <c r="CF49" s="305"/>
      <c r="CG49" s="12">
        <f>+CG7</f>
        <v>2079157.8189275709</v>
      </c>
      <c r="CH49" s="307"/>
      <c r="CI49" s="309"/>
      <c r="CJ49" s="311"/>
      <c r="CK49" s="305"/>
      <c r="CL49" s="12">
        <f>+CL7</f>
        <v>1992480.2754949569</v>
      </c>
      <c r="CM49" s="307"/>
      <c r="CN49" s="309"/>
      <c r="CO49" s="311"/>
      <c r="CP49" s="305"/>
      <c r="CQ49" s="12">
        <f>+CQ7</f>
        <v>1770974.0804074949</v>
      </c>
      <c r="CR49" s="307"/>
      <c r="CS49" s="309"/>
      <c r="CT49" s="311"/>
    </row>
    <row r="50" spans="1:98" ht="18" customHeight="1" x14ac:dyDescent="0.2">
      <c r="A50" s="20"/>
      <c r="B50" s="320" t="s">
        <v>154</v>
      </c>
      <c r="C50" s="322" t="s">
        <v>152</v>
      </c>
      <c r="D50" s="304"/>
      <c r="E50" s="10">
        <f>+BS!K30</f>
        <v>726479.87495115306</v>
      </c>
      <c r="F50" s="306" t="s">
        <v>111</v>
      </c>
      <c r="G50" s="308">
        <v>100</v>
      </c>
      <c r="H50" s="310">
        <f>IF(E51=0,"-",(E50/E51)*G50)</f>
        <v>131.24014981633007</v>
      </c>
      <c r="I50" s="304"/>
      <c r="J50" s="10">
        <f>+BS!L30</f>
        <v>905897.73275446217</v>
      </c>
      <c r="K50" s="306" t="s">
        <v>111</v>
      </c>
      <c r="L50" s="308">
        <v>100</v>
      </c>
      <c r="M50" s="310">
        <f>IF(J51=0,"-",(J50/J51)*L50)</f>
        <v>65.03142097176287</v>
      </c>
      <c r="N50" s="304"/>
      <c r="O50" s="10">
        <f>+BS!M30</f>
        <v>666633.56479752599</v>
      </c>
      <c r="P50" s="306" t="s">
        <v>111</v>
      </c>
      <c r="Q50" s="308">
        <v>100</v>
      </c>
      <c r="R50" s="310">
        <f>IF(O51=0,"-",(O50/O51)*Q50)</f>
        <v>115.45807462848843</v>
      </c>
      <c r="S50" s="304"/>
      <c r="T50" s="10">
        <f>+BS!N30</f>
        <v>599670.58954681433</v>
      </c>
      <c r="U50" s="306" t="s">
        <v>111</v>
      </c>
      <c r="V50" s="308">
        <v>100</v>
      </c>
      <c r="W50" s="310">
        <f>IF(T51=0,"-",(T50/T51)*V50)</f>
        <v>126.87893058034349</v>
      </c>
      <c r="X50" s="304"/>
      <c r="Y50" s="10">
        <f>+BS!O30</f>
        <v>705366.31272931187</v>
      </c>
      <c r="Z50" s="306" t="s">
        <v>111</v>
      </c>
      <c r="AA50" s="308">
        <v>100</v>
      </c>
      <c r="AB50" s="310">
        <f>IF(Y51=0,"-",(Y50/Y51)*AA50)</f>
        <v>88.244340768139281</v>
      </c>
      <c r="AC50" s="304"/>
      <c r="AD50" s="10">
        <f>+BS!P30</f>
        <v>675707.14444716182</v>
      </c>
      <c r="AE50" s="306" t="s">
        <v>111</v>
      </c>
      <c r="AF50" s="308">
        <v>100</v>
      </c>
      <c r="AG50" s="310">
        <f>IF(AD51=0,"-",(AD50/AD51)*AF50)</f>
        <v>132.66470644171093</v>
      </c>
      <c r="AH50" s="304"/>
      <c r="AI50" s="10">
        <f>+BS!Q30</f>
        <v>675921.01963618735</v>
      </c>
      <c r="AJ50" s="306" t="s">
        <v>111</v>
      </c>
      <c r="AK50" s="308">
        <v>100</v>
      </c>
      <c r="AL50" s="310">
        <f>IF(AI51=0,"-",(AI50/AI51)*AK50)</f>
        <v>117.72981538819766</v>
      </c>
      <c r="AM50" s="304"/>
      <c r="AN50" s="10">
        <f>+BS!R30</f>
        <v>744532.96325636515</v>
      </c>
      <c r="AO50" s="306" t="s">
        <v>155</v>
      </c>
      <c r="AP50" s="308">
        <v>100</v>
      </c>
      <c r="AQ50" s="310">
        <f>IF(AN51=0,"-",(AN50/AN51)*AP50)</f>
        <v>136.36262250458705</v>
      </c>
      <c r="AR50" s="304"/>
      <c r="AS50" s="10">
        <f>+BS!S30</f>
        <v>736115.7401487265</v>
      </c>
      <c r="AT50" s="306" t="s">
        <v>111</v>
      </c>
      <c r="AU50" s="308">
        <v>100</v>
      </c>
      <c r="AV50" s="310">
        <f>IF(AS51=0,"-",(AS50/AS51)*AU50)</f>
        <v>110.68954386107232</v>
      </c>
      <c r="AW50" s="304"/>
      <c r="AX50" s="10">
        <f>+BS!T30</f>
        <v>914802.78330295486</v>
      </c>
      <c r="AY50" s="306" t="s">
        <v>111</v>
      </c>
      <c r="AZ50" s="308">
        <v>100</v>
      </c>
      <c r="BA50" s="310">
        <f>IF(AX51=0,"-",(AX50/AX51)*AZ50)</f>
        <v>115.78050045258215</v>
      </c>
      <c r="BB50" s="304"/>
      <c r="BC50" s="10">
        <f>+BS!U30</f>
        <v>805040.53010362666</v>
      </c>
      <c r="BD50" s="306" t="s">
        <v>111</v>
      </c>
      <c r="BE50" s="308">
        <v>100</v>
      </c>
      <c r="BF50" s="310">
        <f>IF(BC51=0,"-",(BC50/BC51)*BE50)</f>
        <v>91.502449103090427</v>
      </c>
      <c r="BG50" s="304"/>
      <c r="BH50" s="10">
        <f>+BS!V30</f>
        <v>771192.05050101352</v>
      </c>
      <c r="BI50" s="306" t="s">
        <v>111</v>
      </c>
      <c r="BJ50" s="308">
        <v>100</v>
      </c>
      <c r="BK50" s="310">
        <f>IF(BH51=0,"-",(BH50/BH51)*BJ50)</f>
        <v>70.996727954070266</v>
      </c>
      <c r="BL50" s="304"/>
      <c r="BM50" s="10">
        <f>+BS!W30</f>
        <v>870540.1581922567</v>
      </c>
      <c r="BN50" s="306" t="s">
        <v>111</v>
      </c>
      <c r="BO50" s="308">
        <v>100</v>
      </c>
      <c r="BP50" s="310">
        <f>IF(BM51=0,"-",(BM50/BM51)*BO50)</f>
        <v>67.792926693676648</v>
      </c>
      <c r="BQ50" s="304"/>
      <c r="BR50" s="10">
        <f>+BS!X30</f>
        <v>876184.49224351766</v>
      </c>
      <c r="BS50" s="306" t="s">
        <v>111</v>
      </c>
      <c r="BT50" s="308">
        <v>100</v>
      </c>
      <c r="BU50" s="310">
        <f>IF(BR51=0,"-",(BR50/BR51)*BT50)</f>
        <v>66.279180519435116</v>
      </c>
      <c r="BV50" s="304"/>
      <c r="BW50" s="10">
        <f>+BS!Y30</f>
        <v>790733.40974898566</v>
      </c>
      <c r="BX50" s="306" t="s">
        <v>111</v>
      </c>
      <c r="BY50" s="308">
        <v>100</v>
      </c>
      <c r="BZ50" s="310">
        <f>IF(BW51=0,"-",(BW50/BW51)*BY50)</f>
        <v>77.414296287156446</v>
      </c>
      <c r="CA50" s="304"/>
      <c r="CB50" s="10">
        <f>+BS!Z30</f>
        <v>898655.04620807245</v>
      </c>
      <c r="CC50" s="306" t="s">
        <v>111</v>
      </c>
      <c r="CD50" s="308">
        <v>100</v>
      </c>
      <c r="CE50" s="310">
        <f>IF(CB51=0,"-",(CB50/CB51)*CD50)</f>
        <v>90.915981652663689</v>
      </c>
      <c r="CF50" s="304"/>
      <c r="CG50" s="10">
        <f>+BS!AA30</f>
        <v>835701.58103241294</v>
      </c>
      <c r="CH50" s="306" t="s">
        <v>155</v>
      </c>
      <c r="CI50" s="308">
        <v>100</v>
      </c>
      <c r="CJ50" s="310">
        <f>IF(CG51=0,"-",(CG50/CG51)*CI50)</f>
        <v>67.207960808257667</v>
      </c>
      <c r="CK50" s="304"/>
      <c r="CL50" s="10">
        <f>+BS!AB30</f>
        <v>749811.34142697044</v>
      </c>
      <c r="CM50" s="306" t="s">
        <v>111</v>
      </c>
      <c r="CN50" s="308">
        <v>100</v>
      </c>
      <c r="CO50" s="310">
        <f>IF(CL51=0,"-",(CL50/CL51)*CN50)</f>
        <v>60.338785405409368</v>
      </c>
      <c r="CP50" s="304"/>
      <c r="CQ50" s="10">
        <f>+BS!AC30</f>
        <v>761089.50554848101</v>
      </c>
      <c r="CR50" s="306" t="s">
        <v>111</v>
      </c>
      <c r="CS50" s="308">
        <v>100</v>
      </c>
      <c r="CT50" s="310">
        <f>IF(CQ51=0,"-",(CQ50/CQ51)*CS50)</f>
        <v>75.364009362627769</v>
      </c>
    </row>
    <row r="51" spans="1:98" ht="18" customHeight="1" x14ac:dyDescent="0.2">
      <c r="A51" s="23"/>
      <c r="B51" s="321"/>
      <c r="C51" s="323"/>
      <c r="D51" s="305"/>
      <c r="E51" s="12">
        <f>+E9</f>
        <v>553550.01953888196</v>
      </c>
      <c r="F51" s="307"/>
      <c r="G51" s="309"/>
      <c r="H51" s="311"/>
      <c r="I51" s="305"/>
      <c r="J51" s="12">
        <f>+J9</f>
        <v>1393015.436565364</v>
      </c>
      <c r="K51" s="307"/>
      <c r="L51" s="309"/>
      <c r="M51" s="311"/>
      <c r="N51" s="305"/>
      <c r="O51" s="12">
        <f>+O9</f>
        <v>577381.50141734572</v>
      </c>
      <c r="P51" s="307"/>
      <c r="Q51" s="309"/>
      <c r="R51" s="311"/>
      <c r="S51" s="305"/>
      <c r="T51" s="12">
        <f>+T9</f>
        <v>472632.12796949386</v>
      </c>
      <c r="U51" s="307"/>
      <c r="V51" s="309"/>
      <c r="W51" s="311"/>
      <c r="X51" s="305"/>
      <c r="Y51" s="12">
        <f>+Y9</f>
        <v>799333.19982824905</v>
      </c>
      <c r="Z51" s="307"/>
      <c r="AA51" s="309"/>
      <c r="AB51" s="311"/>
      <c r="AC51" s="305"/>
      <c r="AD51" s="12">
        <f>+AD9</f>
        <v>509334.51900716953</v>
      </c>
      <c r="AE51" s="307"/>
      <c r="AF51" s="309"/>
      <c r="AG51" s="311"/>
      <c r="AH51" s="305"/>
      <c r="AI51" s="12">
        <f>+AI9</f>
        <v>574129.00666448171</v>
      </c>
      <c r="AJ51" s="307"/>
      <c r="AK51" s="309"/>
      <c r="AL51" s="311"/>
      <c r="AM51" s="305"/>
      <c r="AN51" s="12">
        <f>+AN9</f>
        <v>545994.89917504345</v>
      </c>
      <c r="AO51" s="307"/>
      <c r="AP51" s="309"/>
      <c r="AQ51" s="311"/>
      <c r="AR51" s="305"/>
      <c r="AS51" s="12">
        <f>+AS9</f>
        <v>665027.34989371127</v>
      </c>
      <c r="AT51" s="307"/>
      <c r="AU51" s="309"/>
      <c r="AV51" s="311"/>
      <c r="AW51" s="305"/>
      <c r="AX51" s="12">
        <f>+AX9</f>
        <v>790118.18028685404</v>
      </c>
      <c r="AY51" s="307"/>
      <c r="AZ51" s="309"/>
      <c r="BA51" s="311"/>
      <c r="BB51" s="305"/>
      <c r="BC51" s="12">
        <f>+BC9</f>
        <v>879802.16703996062</v>
      </c>
      <c r="BD51" s="307"/>
      <c r="BE51" s="309"/>
      <c r="BF51" s="311"/>
      <c r="BG51" s="305"/>
      <c r="BH51" s="12">
        <f>+BH9</f>
        <v>1086236.0459765396</v>
      </c>
      <c r="BI51" s="307"/>
      <c r="BJ51" s="309"/>
      <c r="BK51" s="311"/>
      <c r="BL51" s="305"/>
      <c r="BM51" s="12">
        <f>+BM9</f>
        <v>1284116.5010116843</v>
      </c>
      <c r="BN51" s="307"/>
      <c r="BO51" s="309"/>
      <c r="BP51" s="311"/>
      <c r="BQ51" s="305"/>
      <c r="BR51" s="12">
        <f>+BR9</f>
        <v>1321960.3582554755</v>
      </c>
      <c r="BS51" s="307"/>
      <c r="BT51" s="309"/>
      <c r="BU51" s="311"/>
      <c r="BV51" s="305"/>
      <c r="BW51" s="12">
        <f>+BW9</f>
        <v>1021430.7274923503</v>
      </c>
      <c r="BX51" s="307"/>
      <c r="BY51" s="309"/>
      <c r="BZ51" s="311"/>
      <c r="CA51" s="305"/>
      <c r="CB51" s="12">
        <f>+CB9</f>
        <v>988445.62844990555</v>
      </c>
      <c r="CC51" s="307"/>
      <c r="CD51" s="309"/>
      <c r="CE51" s="311"/>
      <c r="CF51" s="305"/>
      <c r="CG51" s="12">
        <f>+CG9</f>
        <v>1243456.2378951579</v>
      </c>
      <c r="CH51" s="307"/>
      <c r="CI51" s="309"/>
      <c r="CJ51" s="311"/>
      <c r="CK51" s="305"/>
      <c r="CL51" s="12">
        <f>+CL9</f>
        <v>1242668.9340679867</v>
      </c>
      <c r="CM51" s="307"/>
      <c r="CN51" s="309"/>
      <c r="CO51" s="311"/>
      <c r="CP51" s="305"/>
      <c r="CQ51" s="12">
        <f>+CQ9</f>
        <v>1009884.574859014</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552425.1660805</v>
      </c>
      <c r="F53" s="306" t="s">
        <v>111</v>
      </c>
      <c r="G53" s="308">
        <v>100</v>
      </c>
      <c r="H53" s="310">
        <f>IF(E54=0,"-",(E53/E54)*G53)</f>
        <v>65.644380455782212</v>
      </c>
      <c r="I53" s="304"/>
      <c r="J53" s="10">
        <f>+BS!L15</f>
        <v>846803.66618427401</v>
      </c>
      <c r="K53" s="306" t="s">
        <v>111</v>
      </c>
      <c r="L53" s="308">
        <v>100</v>
      </c>
      <c r="M53" s="310">
        <f>IF(J54=0,"-",(J53/J54)*L53)</f>
        <v>51.234324952342433</v>
      </c>
      <c r="N53" s="304"/>
      <c r="O53" s="10">
        <f>+BS!M15</f>
        <v>508845.06590201269</v>
      </c>
      <c r="P53" s="306" t="s">
        <v>111</v>
      </c>
      <c r="Q53" s="308">
        <v>100</v>
      </c>
      <c r="R53" s="310">
        <f>IF(O54=0,"-",(O53/O54)*Q53)</f>
        <v>64.137541158417548</v>
      </c>
      <c r="S53" s="304"/>
      <c r="T53" s="10">
        <f>+BS!N15</f>
        <v>489488.71104435821</v>
      </c>
      <c r="U53" s="306" t="s">
        <v>111</v>
      </c>
      <c r="V53" s="308">
        <v>100</v>
      </c>
      <c r="W53" s="310">
        <f>IF(T54=0,"-",(T53/T54)*V53)</f>
        <v>70.876912919402969</v>
      </c>
      <c r="X53" s="304"/>
      <c r="Y53" s="10">
        <f>+BS!O15</f>
        <v>604848.92805496161</v>
      </c>
      <c r="Z53" s="306" t="s">
        <v>111</v>
      </c>
      <c r="AA53" s="308">
        <v>100</v>
      </c>
      <c r="AB53" s="310">
        <f>IF(Y54=0,"-",(Y53/Y54)*AA53)</f>
        <v>58.820743599194671</v>
      </c>
      <c r="AC53" s="304"/>
      <c r="AD53" s="10">
        <f>+BS!P15</f>
        <v>449149.10800948722</v>
      </c>
      <c r="AE53" s="306" t="s">
        <v>111</v>
      </c>
      <c r="AF53" s="308">
        <v>100</v>
      </c>
      <c r="AG53" s="310">
        <f>IF(AD54=0,"-",(AD53/AD54)*AF53)</f>
        <v>52.254273224944548</v>
      </c>
      <c r="AH53" s="304"/>
      <c r="AI53" s="10">
        <f>+BS!Q15</f>
        <v>531896.49559552141</v>
      </c>
      <c r="AJ53" s="306" t="s">
        <v>111</v>
      </c>
      <c r="AK53" s="308">
        <v>100</v>
      </c>
      <c r="AL53" s="310">
        <f>IF(AI54=0,"-",(AI53/AI54)*AK53)</f>
        <v>58.767668358921711</v>
      </c>
      <c r="AM53" s="304"/>
      <c r="AN53" s="10">
        <f>+BS!R15</f>
        <v>496629.69632398983</v>
      </c>
      <c r="AO53" s="306" t="s">
        <v>111</v>
      </c>
      <c r="AP53" s="308">
        <v>100</v>
      </c>
      <c r="AQ53" s="310">
        <f>IF(AN54=0,"-",(AN53/AN54)*AP53)</f>
        <v>56.999698293296717</v>
      </c>
      <c r="AR53" s="304"/>
      <c r="AS53" s="10">
        <f>+BS!S15</f>
        <v>513463.3386591422</v>
      </c>
      <c r="AT53" s="306" t="s">
        <v>111</v>
      </c>
      <c r="AU53" s="308">
        <v>100</v>
      </c>
      <c r="AV53" s="310">
        <f>IF(AS54=0,"-",(AS53/AS54)*AU53)</f>
        <v>51.893055733670515</v>
      </c>
      <c r="AW53" s="304"/>
      <c r="AX53" s="10">
        <f>+BS!T15</f>
        <v>599841.27137208637</v>
      </c>
      <c r="AY53" s="306" t="s">
        <v>111</v>
      </c>
      <c r="AZ53" s="308">
        <v>100</v>
      </c>
      <c r="BA53" s="310">
        <f>IF(AX54=0,"-",(AX53/AX54)*AZ53)</f>
        <v>56.806731714781556</v>
      </c>
      <c r="BB53" s="304"/>
      <c r="BC53" s="10">
        <f>+BS!U15</f>
        <v>672972.41587468062</v>
      </c>
      <c r="BD53" s="306" t="s">
        <v>111</v>
      </c>
      <c r="BE53" s="308">
        <v>100</v>
      </c>
      <c r="BF53" s="310">
        <f>IF(BC54=0,"-",(BC53/BC54)*BE53)</f>
        <v>54.713671271432197</v>
      </c>
      <c r="BG53" s="304"/>
      <c r="BH53" s="10">
        <f>+BS!V15</f>
        <v>762505.46305860591</v>
      </c>
      <c r="BI53" s="306" t="s">
        <v>111</v>
      </c>
      <c r="BJ53" s="308">
        <v>100</v>
      </c>
      <c r="BK53" s="310">
        <f>IF(BH54=0,"-",(BH53/BH54)*BJ53)</f>
        <v>53.978734362186152</v>
      </c>
      <c r="BL53" s="304"/>
      <c r="BM53" s="10">
        <f>+BS!W15</f>
        <v>740322.5087091059</v>
      </c>
      <c r="BN53" s="306" t="s">
        <v>111</v>
      </c>
      <c r="BO53" s="308">
        <v>100</v>
      </c>
      <c r="BP53" s="310">
        <f>IF(BM54=0,"-",(BM53/BM54)*BO53)</f>
        <v>45.770003086542815</v>
      </c>
      <c r="BQ53" s="304"/>
      <c r="BR53" s="10">
        <f>+BS!X15</f>
        <v>793907.65587115404</v>
      </c>
      <c r="BS53" s="306" t="s">
        <v>111</v>
      </c>
      <c r="BT53" s="308">
        <v>100</v>
      </c>
      <c r="BU53" s="310">
        <f>IF(BR54=0,"-",(BR53/BR54)*BT53)</f>
        <v>47.079490040392045</v>
      </c>
      <c r="BV53" s="304"/>
      <c r="BW53" s="10">
        <f>+BS!Y15</f>
        <v>762507.84757310944</v>
      </c>
      <c r="BX53" s="306" t="s">
        <v>111</v>
      </c>
      <c r="BY53" s="308">
        <v>100</v>
      </c>
      <c r="BZ53" s="310">
        <f>IF(BW54=0,"-",(BW53/BW54)*BY53)</f>
        <v>55.737452709738669</v>
      </c>
      <c r="CA53" s="304"/>
      <c r="CB53" s="10">
        <f>+BS!Z15</f>
        <v>832265.55400724709</v>
      </c>
      <c r="CC53" s="306" t="s">
        <v>111</v>
      </c>
      <c r="CD53" s="308">
        <v>100</v>
      </c>
      <c r="CE53" s="310">
        <f>IF(CB54=0,"-",(CB53/CB54)*CD53)</f>
        <v>60.359157248570149</v>
      </c>
      <c r="CF53" s="304"/>
      <c r="CG53" s="10">
        <f>+BS!AA15</f>
        <v>886993.23529411783</v>
      </c>
      <c r="CH53" s="306" t="s">
        <v>155</v>
      </c>
      <c r="CI53" s="308">
        <v>100</v>
      </c>
      <c r="CJ53" s="310">
        <f>IF(CG54=0,"-",(CG53/CG54)*CI53)</f>
        <v>56.831759345615716</v>
      </c>
      <c r="CK53" s="304"/>
      <c r="CL53" s="10">
        <f>+BS!AB15</f>
        <v>864572.91240194242</v>
      </c>
      <c r="CM53" s="306" t="s">
        <v>111</v>
      </c>
      <c r="CN53" s="308">
        <v>100</v>
      </c>
      <c r="CO53" s="310">
        <f>IF(CL54=0,"-",(CL53/CL54)*CN53)</f>
        <v>55.693868311326867</v>
      </c>
      <c r="CP53" s="304"/>
      <c r="CQ53" s="10">
        <f>+BS!AC15</f>
        <v>716107.40513007087</v>
      </c>
      <c r="CR53" s="306" t="s">
        <v>111</v>
      </c>
      <c r="CS53" s="308">
        <v>100</v>
      </c>
      <c r="CT53" s="310">
        <f>IF(CQ54=0,"-",(CQ53/CQ54)*CS53)</f>
        <v>54.845328233221565</v>
      </c>
    </row>
    <row r="54" spans="1:98" ht="18" customHeight="1" x14ac:dyDescent="0.2">
      <c r="A54" s="17"/>
      <c r="B54" s="321"/>
      <c r="C54" s="323"/>
      <c r="D54" s="305"/>
      <c r="E54" s="12">
        <f>+BS!K43+BS!K37</f>
        <v>841542.20398593193</v>
      </c>
      <c r="F54" s="307"/>
      <c r="G54" s="309"/>
      <c r="H54" s="311"/>
      <c r="I54" s="305"/>
      <c r="J54" s="12">
        <f>+BS!L43+BS!L37</f>
        <v>1652805.3545586106</v>
      </c>
      <c r="K54" s="307"/>
      <c r="L54" s="309"/>
      <c r="M54" s="311"/>
      <c r="N54" s="305"/>
      <c r="O54" s="12">
        <f>+BS!M43+BS!M37</f>
        <v>793365.40926192142</v>
      </c>
      <c r="P54" s="307"/>
      <c r="Q54" s="309"/>
      <c r="R54" s="311"/>
      <c r="S54" s="305"/>
      <c r="T54" s="12">
        <f>+BS!N43+BS!N37</f>
        <v>690617.98952922202</v>
      </c>
      <c r="U54" s="307"/>
      <c r="V54" s="309"/>
      <c r="W54" s="311"/>
      <c r="X54" s="305"/>
      <c r="Y54" s="12">
        <f>+BS!O43+BS!O37</f>
        <v>1028291.8763768276</v>
      </c>
      <c r="Z54" s="307"/>
      <c r="AA54" s="309"/>
      <c r="AB54" s="311"/>
      <c r="AC54" s="305"/>
      <c r="AD54" s="12">
        <f>+BS!P43+BS!P37</f>
        <v>859545.22049514903</v>
      </c>
      <c r="AE54" s="307"/>
      <c r="AF54" s="309"/>
      <c r="AG54" s="311"/>
      <c r="AH54" s="305"/>
      <c r="AI54" s="12">
        <f>+BS!Q43+BS!Q37</f>
        <v>905083.54414706421</v>
      </c>
      <c r="AJ54" s="307"/>
      <c r="AK54" s="309"/>
      <c r="AL54" s="311"/>
      <c r="AM54" s="305"/>
      <c r="AN54" s="12">
        <f>+BS!R43+BS!R37</f>
        <v>871284.78078697925</v>
      </c>
      <c r="AO54" s="307"/>
      <c r="AP54" s="309"/>
      <c r="AQ54" s="311"/>
      <c r="AR54" s="305"/>
      <c r="AS54" s="12">
        <f>+BS!S43+BS!S37</f>
        <v>989464.4503002055</v>
      </c>
      <c r="AT54" s="307"/>
      <c r="AU54" s="309"/>
      <c r="AV54" s="311"/>
      <c r="AW54" s="305"/>
      <c r="AX54" s="12">
        <f>+BS!T43+BS!T37</f>
        <v>1055933.4312415705</v>
      </c>
      <c r="AY54" s="307"/>
      <c r="AZ54" s="309"/>
      <c r="BA54" s="311"/>
      <c r="BB54" s="305"/>
      <c r="BC54" s="12">
        <f>+BS!U43+BS!U37</f>
        <v>1229989.5076243251</v>
      </c>
      <c r="BD54" s="307"/>
      <c r="BE54" s="309"/>
      <c r="BF54" s="311"/>
      <c r="BG54" s="305"/>
      <c r="BH54" s="12">
        <f>+BS!V43+BS!V37</f>
        <v>1412603.4485031676</v>
      </c>
      <c r="BI54" s="307"/>
      <c r="BJ54" s="309"/>
      <c r="BK54" s="311"/>
      <c r="BL54" s="305"/>
      <c r="BM54" s="12">
        <f>+BS!W43+BS!W37</f>
        <v>1617484.0698815109</v>
      </c>
      <c r="BN54" s="307"/>
      <c r="BO54" s="309"/>
      <c r="BP54" s="311"/>
      <c r="BQ54" s="305"/>
      <c r="BR54" s="12">
        <f>+BS!X43+BS!X37</f>
        <v>1686313.2017573207</v>
      </c>
      <c r="BS54" s="307"/>
      <c r="BT54" s="309"/>
      <c r="BU54" s="311"/>
      <c r="BV54" s="305"/>
      <c r="BW54" s="12">
        <f>+BS!Y43+BS!Y37</f>
        <v>1368034.9755917015</v>
      </c>
      <c r="BX54" s="307"/>
      <c r="BY54" s="309"/>
      <c r="BZ54" s="311"/>
      <c r="CA54" s="305"/>
      <c r="CB54" s="12">
        <f>+BS!Z43+BS!Z37</f>
        <v>1378855.4909403787</v>
      </c>
      <c r="CC54" s="307"/>
      <c r="CD54" s="309"/>
      <c r="CE54" s="311"/>
      <c r="CF54" s="305"/>
      <c r="CG54" s="12">
        <f>+BS!AA43+BS!AA37</f>
        <v>1560735.1338535412</v>
      </c>
      <c r="CH54" s="307"/>
      <c r="CI54" s="309"/>
      <c r="CJ54" s="311"/>
      <c r="CK54" s="305"/>
      <c r="CL54" s="12">
        <f>+BS!AB43+BS!AB37</f>
        <v>1552366.4249159507</v>
      </c>
      <c r="CM54" s="307"/>
      <c r="CN54" s="309"/>
      <c r="CO54" s="311"/>
      <c r="CP54" s="305"/>
      <c r="CQ54" s="12">
        <f>+BS!AC43+BS!AC37</f>
        <v>1305685.3303620156</v>
      </c>
      <c r="CR54" s="307"/>
      <c r="CS54" s="309"/>
      <c r="CT54" s="311"/>
    </row>
    <row r="55" spans="1:98" ht="18" customHeight="1" x14ac:dyDescent="0.2">
      <c r="A55" s="17"/>
      <c r="B55" s="320" t="s">
        <v>158</v>
      </c>
      <c r="C55" s="322" t="s">
        <v>152</v>
      </c>
      <c r="D55" s="304"/>
      <c r="E55" s="10">
        <f>+E53</f>
        <v>552425.1660805</v>
      </c>
      <c r="F55" s="306" t="s">
        <v>111</v>
      </c>
      <c r="G55" s="308">
        <v>100</v>
      </c>
      <c r="H55" s="310">
        <f>IF(E56=0,"-",(E55/E56)*G55)</f>
        <v>99.796792806670126</v>
      </c>
      <c r="I55" s="304"/>
      <c r="J55" s="10">
        <f>+J53</f>
        <v>846803.66618427401</v>
      </c>
      <c r="K55" s="306" t="s">
        <v>111</v>
      </c>
      <c r="L55" s="308">
        <v>100</v>
      </c>
      <c r="M55" s="310">
        <f>IF(J56=0,"-",(J55/J56)*L55)</f>
        <v>60.789252147281545</v>
      </c>
      <c r="N55" s="304"/>
      <c r="O55" s="10">
        <f>+O53</f>
        <v>508845.06590201269</v>
      </c>
      <c r="P55" s="306" t="s">
        <v>111</v>
      </c>
      <c r="Q55" s="308">
        <v>100</v>
      </c>
      <c r="R55" s="310">
        <f>IF(O56=0,"-",(O55/O56)*Q55)</f>
        <v>88.129783280709376</v>
      </c>
      <c r="S55" s="304"/>
      <c r="T55" s="10">
        <f>+T53</f>
        <v>489488.71104435821</v>
      </c>
      <c r="U55" s="306" t="s">
        <v>111</v>
      </c>
      <c r="V55" s="308">
        <v>100</v>
      </c>
      <c r="W55" s="310">
        <f>IF(T56=0,"-",(T55/T56)*V55)</f>
        <v>103.56653347864501</v>
      </c>
      <c r="X55" s="304"/>
      <c r="Y55" s="10">
        <f>+Y53</f>
        <v>604848.92805496161</v>
      </c>
      <c r="Z55" s="306" t="s">
        <v>111</v>
      </c>
      <c r="AA55" s="308">
        <v>100</v>
      </c>
      <c r="AB55" s="310">
        <f>IF(Y56=0,"-",(Y55/Y56)*AA55)</f>
        <v>75.669186289888145</v>
      </c>
      <c r="AC55" s="304"/>
      <c r="AD55" s="10">
        <f>+AD53</f>
        <v>449149.10800948722</v>
      </c>
      <c r="AE55" s="306" t="s">
        <v>111</v>
      </c>
      <c r="AF55" s="308">
        <v>100</v>
      </c>
      <c r="AG55" s="310">
        <f>IF(AD56=0,"-",(AD55/AD56)*AF55)</f>
        <v>88.183520112675666</v>
      </c>
      <c r="AH55" s="304"/>
      <c r="AI55" s="10">
        <f>+AI53</f>
        <v>531896.49559552141</v>
      </c>
      <c r="AJ55" s="306" t="s">
        <v>111</v>
      </c>
      <c r="AK55" s="308">
        <v>100</v>
      </c>
      <c r="AL55" s="310">
        <f>IF(AI56=0,"-",(AI55/AI56)*AK55)</f>
        <v>92.644072921116006</v>
      </c>
      <c r="AM55" s="304"/>
      <c r="AN55" s="10">
        <f>+AN53</f>
        <v>496629.69632398983</v>
      </c>
      <c r="AO55" s="306" t="s">
        <v>111</v>
      </c>
      <c r="AP55" s="308">
        <v>100</v>
      </c>
      <c r="AQ55" s="310">
        <f>IF(AN56=0,"-",(AN55/AN56)*AP55)</f>
        <v>90.958669590935614</v>
      </c>
      <c r="AR55" s="304"/>
      <c r="AS55" s="10">
        <f>+AS53</f>
        <v>513463.3386591422</v>
      </c>
      <c r="AT55" s="306" t="s">
        <v>111</v>
      </c>
      <c r="AU55" s="308">
        <v>100</v>
      </c>
      <c r="AV55" s="310">
        <f>IF(AS56=0,"-",(AS55/AS56)*AU55)</f>
        <v>77.209356689045507</v>
      </c>
      <c r="AW55" s="304"/>
      <c r="AX55" s="10">
        <f>+AX53</f>
        <v>599841.27137208637</v>
      </c>
      <c r="AY55" s="306" t="s">
        <v>111</v>
      </c>
      <c r="AZ55" s="308">
        <v>100</v>
      </c>
      <c r="BA55" s="310">
        <f>IF(AX56=0,"-",(AX55/AX56)*AZ55)</f>
        <v>75.917917893537492</v>
      </c>
      <c r="BB55" s="304"/>
      <c r="BC55" s="10">
        <f>+BC53</f>
        <v>672972.41587468062</v>
      </c>
      <c r="BD55" s="306" t="s">
        <v>111</v>
      </c>
      <c r="BE55" s="308">
        <v>100</v>
      </c>
      <c r="BF55" s="310">
        <f>IF(BC56=0,"-",(BC55/BC56)*BE55)</f>
        <v>76.491334198329412</v>
      </c>
      <c r="BG55" s="304"/>
      <c r="BH55" s="10">
        <f>+BH53</f>
        <v>762505.46305860591</v>
      </c>
      <c r="BI55" s="306" t="s">
        <v>111</v>
      </c>
      <c r="BJ55" s="308">
        <v>100</v>
      </c>
      <c r="BK55" s="310">
        <f>IF(BH56=0,"-",(BH55/BH56)*BJ55)</f>
        <v>70.197031840634978</v>
      </c>
      <c r="BL55" s="304"/>
      <c r="BM55" s="10">
        <f>+BM53</f>
        <v>740322.5087091059</v>
      </c>
      <c r="BN55" s="306" t="s">
        <v>111</v>
      </c>
      <c r="BO55" s="308">
        <v>100</v>
      </c>
      <c r="BP55" s="310">
        <f>IF(BM56=0,"-",(BM55/BM56)*BO55)</f>
        <v>57.652285296999672</v>
      </c>
      <c r="BQ55" s="304"/>
      <c r="BR55" s="10">
        <f>+BR53</f>
        <v>793907.65587115404</v>
      </c>
      <c r="BS55" s="306" t="s">
        <v>111</v>
      </c>
      <c r="BT55" s="308">
        <v>100</v>
      </c>
      <c r="BU55" s="310">
        <f>IF(BR56=0,"-",(BR55/BR56)*BT55)</f>
        <v>60.055330019035814</v>
      </c>
      <c r="BV55" s="304"/>
      <c r="BW55" s="10">
        <f>+BW53</f>
        <v>762507.84757310944</v>
      </c>
      <c r="BX55" s="306" t="s">
        <v>111</v>
      </c>
      <c r="BY55" s="308">
        <v>100</v>
      </c>
      <c r="BZ55" s="310">
        <f>IF(BW56=0,"-",(BW55/BW56)*BY55)</f>
        <v>74.650960368609049</v>
      </c>
      <c r="CA55" s="304"/>
      <c r="CB55" s="10">
        <f>+CB53</f>
        <v>832265.55400724709</v>
      </c>
      <c r="CC55" s="306" t="s">
        <v>111</v>
      </c>
      <c r="CD55" s="308">
        <v>100</v>
      </c>
      <c r="CE55" s="310">
        <f>IF(CB56=0,"-",(CB55/CB56)*CD55)</f>
        <v>84.199426863004874</v>
      </c>
      <c r="CF55" s="304"/>
      <c r="CG55" s="10">
        <f>+CG53</f>
        <v>886993.23529411783</v>
      </c>
      <c r="CH55" s="306" t="s">
        <v>111</v>
      </c>
      <c r="CI55" s="308">
        <v>100</v>
      </c>
      <c r="CJ55" s="310">
        <f>IF(CG56=0,"-",(CG55/CG56)*CI55)</f>
        <v>71.332887178688537</v>
      </c>
      <c r="CK55" s="304"/>
      <c r="CL55" s="10">
        <f>+CL53</f>
        <v>864572.91240194242</v>
      </c>
      <c r="CM55" s="306" t="s">
        <v>111</v>
      </c>
      <c r="CN55" s="308">
        <v>100</v>
      </c>
      <c r="CO55" s="310">
        <f>IF(CL56=0,"-",(CL55/CL56)*CN55)</f>
        <v>69.573873515264168</v>
      </c>
      <c r="CP55" s="304"/>
      <c r="CQ55" s="10">
        <f>+CQ53</f>
        <v>716107.40513007087</v>
      </c>
      <c r="CR55" s="306" t="s">
        <v>111</v>
      </c>
      <c r="CS55" s="308">
        <v>100</v>
      </c>
      <c r="CT55" s="310">
        <f>IF(CQ56=0,"-",(CQ55/CQ56)*CS55)</f>
        <v>70.9098270195922</v>
      </c>
    </row>
    <row r="56" spans="1:98" ht="18" customHeight="1" x14ac:dyDescent="0.2">
      <c r="A56" s="17"/>
      <c r="B56" s="321"/>
      <c r="C56" s="323"/>
      <c r="D56" s="305"/>
      <c r="E56" s="12">
        <f>+E9</f>
        <v>553550.01953888196</v>
      </c>
      <c r="F56" s="307"/>
      <c r="G56" s="309"/>
      <c r="H56" s="311"/>
      <c r="I56" s="305"/>
      <c r="J56" s="12">
        <f>+J9</f>
        <v>1393015.436565364</v>
      </c>
      <c r="K56" s="307"/>
      <c r="L56" s="309"/>
      <c r="M56" s="311"/>
      <c r="N56" s="305"/>
      <c r="O56" s="12">
        <f>+O9</f>
        <v>577381.50141734572</v>
      </c>
      <c r="P56" s="307"/>
      <c r="Q56" s="309"/>
      <c r="R56" s="311"/>
      <c r="S56" s="305"/>
      <c r="T56" s="12">
        <f>+T9</f>
        <v>472632.12796949386</v>
      </c>
      <c r="U56" s="307"/>
      <c r="V56" s="309"/>
      <c r="W56" s="311"/>
      <c r="X56" s="305"/>
      <c r="Y56" s="12">
        <f>+Y9</f>
        <v>799333.19982824905</v>
      </c>
      <c r="Z56" s="307"/>
      <c r="AA56" s="309"/>
      <c r="AB56" s="311"/>
      <c r="AC56" s="305"/>
      <c r="AD56" s="12">
        <f>+AD9</f>
        <v>509334.51900716953</v>
      </c>
      <c r="AE56" s="307"/>
      <c r="AF56" s="309"/>
      <c r="AG56" s="311"/>
      <c r="AH56" s="305"/>
      <c r="AI56" s="12">
        <f>+AI9</f>
        <v>574129.00666448171</v>
      </c>
      <c r="AJ56" s="307"/>
      <c r="AK56" s="309"/>
      <c r="AL56" s="311"/>
      <c r="AM56" s="305"/>
      <c r="AN56" s="12">
        <f>+AN9</f>
        <v>545994.89917504345</v>
      </c>
      <c r="AO56" s="307"/>
      <c r="AP56" s="309"/>
      <c r="AQ56" s="311"/>
      <c r="AR56" s="305"/>
      <c r="AS56" s="12">
        <f>+AS9</f>
        <v>665027.34989371127</v>
      </c>
      <c r="AT56" s="307"/>
      <c r="AU56" s="309"/>
      <c r="AV56" s="311"/>
      <c r="AW56" s="305"/>
      <c r="AX56" s="12">
        <f>+AX9</f>
        <v>790118.18028685404</v>
      </c>
      <c r="AY56" s="307"/>
      <c r="AZ56" s="309"/>
      <c r="BA56" s="311"/>
      <c r="BB56" s="305"/>
      <c r="BC56" s="12">
        <f>+BC9</f>
        <v>879802.16703996062</v>
      </c>
      <c r="BD56" s="307"/>
      <c r="BE56" s="309"/>
      <c r="BF56" s="311"/>
      <c r="BG56" s="305"/>
      <c r="BH56" s="12">
        <f>+BH9</f>
        <v>1086236.0459765396</v>
      </c>
      <c r="BI56" s="307"/>
      <c r="BJ56" s="309"/>
      <c r="BK56" s="311"/>
      <c r="BL56" s="305"/>
      <c r="BM56" s="12">
        <f>+BM9</f>
        <v>1284116.5010116843</v>
      </c>
      <c r="BN56" s="307"/>
      <c r="BO56" s="309"/>
      <c r="BP56" s="311"/>
      <c r="BQ56" s="305"/>
      <c r="BR56" s="12">
        <f>+BR9</f>
        <v>1321960.3582554755</v>
      </c>
      <c r="BS56" s="307"/>
      <c r="BT56" s="309"/>
      <c r="BU56" s="311"/>
      <c r="BV56" s="305"/>
      <c r="BW56" s="12">
        <f>+BW9</f>
        <v>1021430.7274923503</v>
      </c>
      <c r="BX56" s="307"/>
      <c r="BY56" s="309"/>
      <c r="BZ56" s="311"/>
      <c r="CA56" s="305"/>
      <c r="CB56" s="12">
        <f>+CB9</f>
        <v>988445.62844990555</v>
      </c>
      <c r="CC56" s="307"/>
      <c r="CD56" s="309"/>
      <c r="CE56" s="311"/>
      <c r="CF56" s="305"/>
      <c r="CG56" s="12">
        <f>+CG9</f>
        <v>1243456.2378951579</v>
      </c>
      <c r="CH56" s="307"/>
      <c r="CI56" s="309"/>
      <c r="CJ56" s="311"/>
      <c r="CK56" s="305"/>
      <c r="CL56" s="12">
        <f>+CL9</f>
        <v>1242668.9340679867</v>
      </c>
      <c r="CM56" s="307"/>
      <c r="CN56" s="309"/>
      <c r="CO56" s="311"/>
      <c r="CP56" s="305"/>
      <c r="CQ56" s="12">
        <f>+CQ9</f>
        <v>1009884.574859014</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1434756.2063916731</v>
      </c>
      <c r="K58" s="306" t="s">
        <v>111</v>
      </c>
      <c r="L58" s="308">
        <v>100</v>
      </c>
      <c r="M58" s="310">
        <f>IF(J59=0,"-",(J58/J59)*L58)</f>
        <v>119.63643691341694</v>
      </c>
      <c r="N58" s="304"/>
      <c r="O58" s="10">
        <f>+O12-J12</f>
        <v>-1285296.3290009794</v>
      </c>
      <c r="P58" s="306" t="s">
        <v>111</v>
      </c>
      <c r="Q58" s="308">
        <v>100</v>
      </c>
      <c r="R58" s="310">
        <f>IF(O59=0,"-",(O58/O59)*Q58)</f>
        <v>-48.796001445684261</v>
      </c>
      <c r="S58" s="304"/>
      <c r="T58" s="10">
        <f>+T12-O12</f>
        <v>-291978.66346319253</v>
      </c>
      <c r="U58" s="306" t="s">
        <v>111</v>
      </c>
      <c r="V58" s="308">
        <v>100</v>
      </c>
      <c r="W58" s="310">
        <f>IF(T59=0,"-",(T58/T59)*V58)</f>
        <v>-21.648519839880962</v>
      </c>
      <c r="X58" s="304"/>
      <c r="Y58" s="10">
        <f>+Y12-T12</f>
        <v>379035.91187509731</v>
      </c>
      <c r="Z58" s="306" t="s">
        <v>111</v>
      </c>
      <c r="AA58" s="308">
        <v>100</v>
      </c>
      <c r="AB58" s="310">
        <f>IF(Y59=0,"-",(Y58/Y59)*AA58)</f>
        <v>35.868254760042348</v>
      </c>
      <c r="AC58" s="304"/>
      <c r="AD58" s="10">
        <f>+AD12-Y12</f>
        <v>-296133.75338839972</v>
      </c>
      <c r="AE58" s="306" t="s">
        <v>111</v>
      </c>
      <c r="AF58" s="308">
        <v>100</v>
      </c>
      <c r="AG58" s="310">
        <f>IF(AD59=0,"-",(AD58/AD59)*AF58)</f>
        <v>-20.625277516399795</v>
      </c>
      <c r="AH58" s="304"/>
      <c r="AI58" s="10">
        <f>+AI12-AD12</f>
        <v>-26376.568694744026</v>
      </c>
      <c r="AJ58" s="306" t="s">
        <v>162</v>
      </c>
      <c r="AK58" s="308">
        <v>100</v>
      </c>
      <c r="AL58" s="310">
        <f>IF(AI59=0,"-",(AI58/AI59)*AK58)</f>
        <v>-2.3144508771589125</v>
      </c>
      <c r="AM58" s="304"/>
      <c r="AN58" s="10">
        <f>+AN12-AI12</f>
        <v>65422.169020323548</v>
      </c>
      <c r="AO58" s="306" t="s">
        <v>162</v>
      </c>
      <c r="AP58" s="308">
        <v>100</v>
      </c>
      <c r="AQ58" s="310">
        <f>IF(AN59=0,"-",(AN58/AN59)*AP58)</f>
        <v>5.8765750409213471</v>
      </c>
      <c r="AR58" s="304"/>
      <c r="AS58" s="10">
        <f>+AS12-AN12</f>
        <v>-54916.442634018604</v>
      </c>
      <c r="AT58" s="306" t="s">
        <v>111</v>
      </c>
      <c r="AU58" s="308">
        <v>100</v>
      </c>
      <c r="AV58" s="310">
        <f>IF(AS59=0,"-",(AS58/AS59)*AU58)</f>
        <v>-4.6590981586093889</v>
      </c>
      <c r="AW58" s="304"/>
      <c r="AX58" s="10">
        <f>+AX12-AS12</f>
        <v>1021488.1343941463</v>
      </c>
      <c r="AY58" s="306" t="s">
        <v>111</v>
      </c>
      <c r="AZ58" s="308">
        <v>100</v>
      </c>
      <c r="BA58" s="310">
        <f>IF(AX59=0,"-",(AX58/AX59)*AZ58)</f>
        <v>90.897833896427485</v>
      </c>
      <c r="BB58" s="304"/>
      <c r="BC58" s="10">
        <f>+BC12-AX12</f>
        <v>-509976.16261643311</v>
      </c>
      <c r="BD58" s="306" t="s">
        <v>111</v>
      </c>
      <c r="BE58" s="308">
        <v>100</v>
      </c>
      <c r="BF58" s="310">
        <f>IF(BC59=0,"-",(BC58/BC59)*BE58)</f>
        <v>-23.772184051227558</v>
      </c>
      <c r="BG58" s="304"/>
      <c r="BH58" s="10">
        <f>+BH12-BC12</f>
        <v>-102657.76579342107</v>
      </c>
      <c r="BI58" s="306" t="s">
        <v>111</v>
      </c>
      <c r="BJ58" s="308">
        <v>100</v>
      </c>
      <c r="BK58" s="310">
        <f>IF(BH59=0,"-",(BH58/BH59)*BJ58)</f>
        <v>-6.2776563622811477</v>
      </c>
      <c r="BL58" s="304"/>
      <c r="BM58" s="10">
        <f>+BM12-BH12</f>
        <v>155585.65637717699</v>
      </c>
      <c r="BN58" s="306" t="s">
        <v>111</v>
      </c>
      <c r="BO58" s="308">
        <v>100</v>
      </c>
      <c r="BP58" s="310">
        <f>IF(BM59=0,"-",(BM58/BM59)*BO58)</f>
        <v>10.151545065080908</v>
      </c>
      <c r="BQ58" s="304"/>
      <c r="BR58" s="10">
        <f>+BR12-BM12</f>
        <v>111523.10647907807</v>
      </c>
      <c r="BS58" s="306" t="s">
        <v>111</v>
      </c>
      <c r="BT58" s="308">
        <v>100</v>
      </c>
      <c r="BU58" s="310">
        <f>IF(BR59=0,"-",(BR58/BR59)*BT58)</f>
        <v>6.6059739302123042</v>
      </c>
      <c r="BV58" s="304"/>
      <c r="BW58" s="10">
        <f>+BW12-BR12</f>
        <v>-299139.81925127213</v>
      </c>
      <c r="BX58" s="306" t="s">
        <v>111</v>
      </c>
      <c r="BY58" s="308">
        <v>100</v>
      </c>
      <c r="BZ58" s="310">
        <f>IF(BW59=0,"-",(BW58/BW59)*BY58)</f>
        <v>-16.621288281671177</v>
      </c>
      <c r="CA58" s="304"/>
      <c r="CB58" s="10">
        <f>+CB12-BW12</f>
        <v>119731.0192284165</v>
      </c>
      <c r="CC58" s="306" t="s">
        <v>111</v>
      </c>
      <c r="CD58" s="308">
        <v>100</v>
      </c>
      <c r="CE58" s="310">
        <f>IF(CB59=0,"-",(CB58/CB59)*CD58)</f>
        <v>7.9788803783884328</v>
      </c>
      <c r="CF58" s="304"/>
      <c r="CG58" s="10">
        <f>+CG12-CB12</f>
        <v>42469.449857044034</v>
      </c>
      <c r="CH58" s="306" t="s">
        <v>155</v>
      </c>
      <c r="CI58" s="308">
        <v>100</v>
      </c>
      <c r="CJ58" s="310">
        <f>IF(CG59=0,"-",(CG58/CG59)*CI58)</f>
        <v>2.6210366261010067</v>
      </c>
      <c r="CK58" s="304"/>
      <c r="CL58" s="10">
        <f>+CL12-CG12</f>
        <v>-202385.3801818823</v>
      </c>
      <c r="CM58" s="306" t="s">
        <v>111</v>
      </c>
      <c r="CN58" s="308">
        <v>100</v>
      </c>
      <c r="CO58" s="310">
        <f>IF(CL59=0,"-",(CL58/CL59)*CN58)</f>
        <v>-12.171362412934633</v>
      </c>
      <c r="CP58" s="304"/>
      <c r="CQ58" s="10">
        <f>+CQ12-CL12</f>
        <v>45627.580195779447</v>
      </c>
      <c r="CR58" s="306" t="s">
        <v>111</v>
      </c>
      <c r="CS58" s="308">
        <v>100</v>
      </c>
      <c r="CT58" s="310">
        <f>IF(CQ59=0,"-",(CQ58/CQ59)*CS58)</f>
        <v>3.1242900686807378</v>
      </c>
    </row>
    <row r="59" spans="1:98" ht="18" customHeight="1" x14ac:dyDescent="0.2">
      <c r="A59" s="20"/>
      <c r="B59" s="321"/>
      <c r="C59" s="323"/>
      <c r="D59" s="333"/>
      <c r="E59" s="334"/>
      <c r="F59" s="334"/>
      <c r="G59" s="334"/>
      <c r="H59" s="335"/>
      <c r="I59" s="305"/>
      <c r="J59" s="12">
        <f>+E12</f>
        <v>1199263.5717076999</v>
      </c>
      <c r="K59" s="307"/>
      <c r="L59" s="309"/>
      <c r="M59" s="311"/>
      <c r="N59" s="305"/>
      <c r="O59" s="12">
        <f>+J12</f>
        <v>2634019.778099373</v>
      </c>
      <c r="P59" s="307"/>
      <c r="Q59" s="309"/>
      <c r="R59" s="311"/>
      <c r="S59" s="305"/>
      <c r="T59" s="12">
        <f>+O12</f>
        <v>1348723.4490983936</v>
      </c>
      <c r="U59" s="307"/>
      <c r="V59" s="309"/>
      <c r="W59" s="311"/>
      <c r="X59" s="305"/>
      <c r="Y59" s="12">
        <f>+T12</f>
        <v>1056744.785635201</v>
      </c>
      <c r="Z59" s="307"/>
      <c r="AA59" s="309"/>
      <c r="AB59" s="311"/>
      <c r="AC59" s="305"/>
      <c r="AD59" s="12">
        <f>+Y12</f>
        <v>1435780.6975102983</v>
      </c>
      <c r="AE59" s="307"/>
      <c r="AF59" s="309"/>
      <c r="AG59" s="311"/>
      <c r="AH59" s="305"/>
      <c r="AI59" s="12">
        <f>+AD12</f>
        <v>1139646.9441218986</v>
      </c>
      <c r="AJ59" s="307"/>
      <c r="AK59" s="309"/>
      <c r="AL59" s="311"/>
      <c r="AM59" s="305"/>
      <c r="AN59" s="12">
        <f>+AI12</f>
        <v>1113270.3754271546</v>
      </c>
      <c r="AO59" s="307"/>
      <c r="AP59" s="309"/>
      <c r="AQ59" s="311"/>
      <c r="AR59" s="305"/>
      <c r="AS59" s="12">
        <f>+AN12</f>
        <v>1178692.5444474781</v>
      </c>
      <c r="AT59" s="307"/>
      <c r="AU59" s="309"/>
      <c r="AV59" s="311"/>
      <c r="AW59" s="305"/>
      <c r="AX59" s="12">
        <f>+AS12</f>
        <v>1123776.1018134595</v>
      </c>
      <c r="AY59" s="307"/>
      <c r="AZ59" s="309"/>
      <c r="BA59" s="311"/>
      <c r="BB59" s="305"/>
      <c r="BC59" s="12">
        <f>+AX12</f>
        <v>2145264.2362076058</v>
      </c>
      <c r="BD59" s="307"/>
      <c r="BE59" s="309"/>
      <c r="BF59" s="311"/>
      <c r="BG59" s="305"/>
      <c r="BH59" s="12">
        <f>+BC12</f>
        <v>1635288.0735911727</v>
      </c>
      <c r="BI59" s="307"/>
      <c r="BJ59" s="309"/>
      <c r="BK59" s="311"/>
      <c r="BL59" s="305"/>
      <c r="BM59" s="12">
        <f>+BH12</f>
        <v>1532630.3077977516</v>
      </c>
      <c r="BN59" s="307"/>
      <c r="BO59" s="309"/>
      <c r="BP59" s="311"/>
      <c r="BQ59" s="305"/>
      <c r="BR59" s="12">
        <f>+BM12</f>
        <v>1688215.9641749286</v>
      </c>
      <c r="BS59" s="307"/>
      <c r="BT59" s="309"/>
      <c r="BU59" s="311"/>
      <c r="BV59" s="305"/>
      <c r="BW59" s="12">
        <f>+BR12</f>
        <v>1799739.0706540067</v>
      </c>
      <c r="BX59" s="307"/>
      <c r="BY59" s="309"/>
      <c r="BZ59" s="311"/>
      <c r="CA59" s="305"/>
      <c r="CB59" s="12">
        <f>+BW12</f>
        <v>1500599.2514027345</v>
      </c>
      <c r="CC59" s="307"/>
      <c r="CD59" s="309"/>
      <c r="CE59" s="311"/>
      <c r="CF59" s="305"/>
      <c r="CG59" s="12">
        <f>+CB12</f>
        <v>1620330.270631151</v>
      </c>
      <c r="CH59" s="307"/>
      <c r="CI59" s="309"/>
      <c r="CJ59" s="311"/>
      <c r="CK59" s="305"/>
      <c r="CL59" s="12">
        <f>+CG12</f>
        <v>1662799.7204881951</v>
      </c>
      <c r="CM59" s="307"/>
      <c r="CN59" s="309"/>
      <c r="CO59" s="311"/>
      <c r="CP59" s="305"/>
      <c r="CQ59" s="12">
        <f>+CL12</f>
        <v>1460414.3403063128</v>
      </c>
      <c r="CR59" s="307"/>
      <c r="CS59" s="309"/>
      <c r="CT59" s="311"/>
    </row>
    <row r="60" spans="1:98" ht="18" customHeight="1" x14ac:dyDescent="0.2">
      <c r="A60" s="20"/>
      <c r="B60" s="320" t="s">
        <v>163</v>
      </c>
      <c r="C60" s="322" t="s">
        <v>164</v>
      </c>
      <c r="D60" s="330"/>
      <c r="E60" s="331"/>
      <c r="F60" s="331"/>
      <c r="G60" s="331"/>
      <c r="H60" s="332"/>
      <c r="I60" s="304"/>
      <c r="J60" s="10">
        <f>+J15-E15</f>
        <v>256083.6551169533</v>
      </c>
      <c r="K60" s="306" t="s">
        <v>111</v>
      </c>
      <c r="L60" s="308">
        <v>100</v>
      </c>
      <c r="M60" s="310">
        <f>IF(J61=0,"-",(J60/J61)*L60)</f>
        <v>434.90208565024176</v>
      </c>
      <c r="N60" s="304"/>
      <c r="O60" s="10">
        <f>+O15-J15</f>
        <v>-246938.63910743879</v>
      </c>
      <c r="P60" s="306" t="s">
        <v>111</v>
      </c>
      <c r="Q60" s="308">
        <v>100</v>
      </c>
      <c r="R60" s="310">
        <f>IF(O61=0,"-",(O60/O61)*Q60)</f>
        <v>-78.401503213185052</v>
      </c>
      <c r="S60" s="304"/>
      <c r="T60" s="10">
        <f>+T15-O15</f>
        <v>-48574.240332173125</v>
      </c>
      <c r="U60" s="306" t="s">
        <v>111</v>
      </c>
      <c r="V60" s="308">
        <v>100</v>
      </c>
      <c r="W60" s="310">
        <f>IF(T61=0,"-",(T60/T61)*V60)</f>
        <v>-71.403225450701342</v>
      </c>
      <c r="X60" s="304"/>
      <c r="Y60" s="10">
        <f>+Y15-T15</f>
        <v>68343.877245970405</v>
      </c>
      <c r="Z60" s="306" t="s">
        <v>111</v>
      </c>
      <c r="AA60" s="308">
        <v>100</v>
      </c>
      <c r="AB60" s="310">
        <f>IF(Y61=0,"-",(Y60/Y61)*AA60)</f>
        <v>351.31312467552908</v>
      </c>
      <c r="AC60" s="304"/>
      <c r="AD60" s="10">
        <f>+AD15-Y15</f>
        <v>-57880.170981020725</v>
      </c>
      <c r="AE60" s="306" t="s">
        <v>111</v>
      </c>
      <c r="AF60" s="308">
        <v>100</v>
      </c>
      <c r="AG60" s="310">
        <f>IF(AD61=0,"-",(AD60/AD61)*AF60)</f>
        <v>-65.924463397686367</v>
      </c>
      <c r="AH60" s="304"/>
      <c r="AI60" s="10">
        <f>+AI15-AD15</f>
        <v>25506.585360882618</v>
      </c>
      <c r="AJ60" s="306" t="s">
        <v>111</v>
      </c>
      <c r="AK60" s="308">
        <v>100</v>
      </c>
      <c r="AL60" s="310">
        <f>IF(AI61=0,"-",(AI60/AI61)*AK60)</f>
        <v>85.256287398178713</v>
      </c>
      <c r="AM60" s="304"/>
      <c r="AN60" s="10">
        <f>+AN15-AI15</f>
        <v>20523.422120475952</v>
      </c>
      <c r="AO60" s="306" t="s">
        <v>111</v>
      </c>
      <c r="AP60" s="308">
        <v>100</v>
      </c>
      <c r="AQ60" s="310">
        <f>IF(AN61=0,"-",(AN60/AN61)*AP60)</f>
        <v>37.029761580821315</v>
      </c>
      <c r="AR60" s="304"/>
      <c r="AS60" s="10">
        <f>+AS15-AN15</f>
        <v>-17148.847372322867</v>
      </c>
      <c r="AT60" s="306" t="s">
        <v>111</v>
      </c>
      <c r="AU60" s="308">
        <v>100</v>
      </c>
      <c r="AV60" s="310">
        <f>IF(AS61=0,"-",(AS60/AS61)*AU60)</f>
        <v>-22.579856164036805</v>
      </c>
      <c r="AW60" s="304"/>
      <c r="AX60" s="10">
        <f>+AX15-AN15</f>
        <v>64161.808700150606</v>
      </c>
      <c r="AY60" s="306" t="s">
        <v>111</v>
      </c>
      <c r="AZ60" s="308">
        <v>100</v>
      </c>
      <c r="BA60" s="310">
        <f>IF(AX61=0,"-",(AX60/AX61)*AZ60)</f>
        <v>84.481736889912398</v>
      </c>
      <c r="BB60" s="304"/>
      <c r="BC60" s="10">
        <f>+BC15-AX15</f>
        <v>-37964.328804057543</v>
      </c>
      <c r="BD60" s="306" t="s">
        <v>111</v>
      </c>
      <c r="BE60" s="308">
        <v>100</v>
      </c>
      <c r="BF60" s="310">
        <f>IF(BC61=0,"-",(BC60/BC61)*BE60)</f>
        <v>-27.096212108609301</v>
      </c>
      <c r="BG60" s="304"/>
      <c r="BH60" s="10">
        <f>+BH15-BC15</f>
        <v>-8077.4018870282889</v>
      </c>
      <c r="BI60" s="306" t="s">
        <v>111</v>
      </c>
      <c r="BJ60" s="308">
        <v>100</v>
      </c>
      <c r="BK60" s="310">
        <f>IF(BH61=0,"-",(BH60/BH61)*BJ60)</f>
        <v>-7.9077777523864912</v>
      </c>
      <c r="BL60" s="304"/>
      <c r="BM60" s="10">
        <f>+BM15-BH15</f>
        <v>9621.9335687695129</v>
      </c>
      <c r="BN60" s="306" t="s">
        <v>111</v>
      </c>
      <c r="BO60" s="308">
        <v>100</v>
      </c>
      <c r="BP60" s="310">
        <f>IF(BM61=0,"-",(BM60/BM61)*BO60)</f>
        <v>10.228740591163158</v>
      </c>
      <c r="BQ60" s="304"/>
      <c r="BR60" s="10">
        <f>+BR15-BM15</f>
        <v>58515.771823191521</v>
      </c>
      <c r="BS60" s="306" t="s">
        <v>111</v>
      </c>
      <c r="BT60" s="308">
        <v>100</v>
      </c>
      <c r="BU60" s="310">
        <f>IF(BR61=0,"-",(BR60/BR61)*BT60)</f>
        <v>56.433619138806314</v>
      </c>
      <c r="BV60" s="304"/>
      <c r="BW60" s="10">
        <f>+BW15-BR15</f>
        <v>-43598.122338141955</v>
      </c>
      <c r="BX60" s="306" t="s">
        <v>111</v>
      </c>
      <c r="BY60" s="308">
        <v>100</v>
      </c>
      <c r="BZ60" s="310">
        <f>IF(BW61=0,"-",(BW60/BW61)*BY60)</f>
        <v>-26.878353279534267</v>
      </c>
      <c r="CA60" s="304"/>
      <c r="CB60" s="10">
        <f>+CB15-BW15</f>
        <v>-407.87889763292333</v>
      </c>
      <c r="CC60" s="306" t="s">
        <v>111</v>
      </c>
      <c r="CD60" s="308">
        <v>100</v>
      </c>
      <c r="CE60" s="310">
        <f>IF(CB61=0,"-",(CB60/CB61)*CD60)</f>
        <v>-0.34389047401541462</v>
      </c>
      <c r="CF60" s="304"/>
      <c r="CG60" s="10">
        <f>+CG15-CB15</f>
        <v>699.01295985440083</v>
      </c>
      <c r="CH60" s="306" t="s">
        <v>111</v>
      </c>
      <c r="CI60" s="308">
        <v>100</v>
      </c>
      <c r="CJ60" s="310">
        <f>IF(CG61=0,"-",(CG60/CG61)*CI60)</f>
        <v>0.5913848680071393</v>
      </c>
      <c r="CK60" s="304"/>
      <c r="CL60" s="10">
        <f>+CL15-CG15</f>
        <v>12616.635677206999</v>
      </c>
      <c r="CM60" s="306" t="s">
        <v>111</v>
      </c>
      <c r="CN60" s="308">
        <v>100</v>
      </c>
      <c r="CO60" s="310">
        <f>IF(CL61=0,"-",(CL60/CL61)*CN60)</f>
        <v>10.611279532513072</v>
      </c>
      <c r="CP60" s="304"/>
      <c r="CQ60" s="10">
        <f>+CQ15-CL15</f>
        <v>-15145.395514305375</v>
      </c>
      <c r="CR60" s="306" t="s">
        <v>111</v>
      </c>
      <c r="CS60" s="308">
        <v>100</v>
      </c>
      <c r="CT60" s="310">
        <f>IF(CQ61=0,"-",(CQ60/CQ61)*CS60)</f>
        <v>-11.516099164205194</v>
      </c>
    </row>
    <row r="61" spans="1:98" ht="18" customHeight="1" x14ac:dyDescent="0.2">
      <c r="A61" s="20"/>
      <c r="B61" s="321"/>
      <c r="C61" s="323"/>
      <c r="D61" s="333"/>
      <c r="E61" s="334"/>
      <c r="F61" s="334"/>
      <c r="G61" s="334"/>
      <c r="H61" s="335"/>
      <c r="I61" s="305"/>
      <c r="J61" s="12">
        <f>+E15</f>
        <v>58883.059788980099</v>
      </c>
      <c r="K61" s="307"/>
      <c r="L61" s="309"/>
      <c r="M61" s="311"/>
      <c r="N61" s="305"/>
      <c r="O61" s="12">
        <f>+J15</f>
        <v>314966.71490593342</v>
      </c>
      <c r="P61" s="307"/>
      <c r="Q61" s="309"/>
      <c r="R61" s="311"/>
      <c r="S61" s="305"/>
      <c r="T61" s="12">
        <f>+O15</f>
        <v>68028.075798494639</v>
      </c>
      <c r="U61" s="307"/>
      <c r="V61" s="309"/>
      <c r="W61" s="311"/>
      <c r="X61" s="305"/>
      <c r="Y61" s="12">
        <f>+T15</f>
        <v>19453.835466321518</v>
      </c>
      <c r="Z61" s="307"/>
      <c r="AA61" s="309"/>
      <c r="AB61" s="311"/>
      <c r="AC61" s="305"/>
      <c r="AD61" s="12">
        <f>+Y15</f>
        <v>87797.712712291919</v>
      </c>
      <c r="AE61" s="307"/>
      <c r="AF61" s="309"/>
      <c r="AG61" s="311"/>
      <c r="AH61" s="305"/>
      <c r="AI61" s="12">
        <f>+AD15</f>
        <v>29917.541731271191</v>
      </c>
      <c r="AJ61" s="307"/>
      <c r="AK61" s="309"/>
      <c r="AL61" s="311"/>
      <c r="AM61" s="305"/>
      <c r="AN61" s="12">
        <f>+AI15</f>
        <v>55424.127092153809</v>
      </c>
      <c r="AO61" s="307"/>
      <c r="AP61" s="309"/>
      <c r="AQ61" s="311"/>
      <c r="AR61" s="305"/>
      <c r="AS61" s="12">
        <f>+AN15</f>
        <v>75947.549212629761</v>
      </c>
      <c r="AT61" s="307"/>
      <c r="AU61" s="309"/>
      <c r="AV61" s="311"/>
      <c r="AW61" s="305"/>
      <c r="AX61" s="12">
        <f>+AN15</f>
        <v>75947.549212629761</v>
      </c>
      <c r="AY61" s="307"/>
      <c r="AZ61" s="309"/>
      <c r="BA61" s="311"/>
      <c r="BB61" s="305"/>
      <c r="BC61" s="12">
        <f>+AX15</f>
        <v>140109.35791278037</v>
      </c>
      <c r="BD61" s="307"/>
      <c r="BE61" s="309"/>
      <c r="BF61" s="311"/>
      <c r="BG61" s="305"/>
      <c r="BH61" s="12">
        <f>+BC15</f>
        <v>102145.02910872283</v>
      </c>
      <c r="BI61" s="307"/>
      <c r="BJ61" s="309"/>
      <c r="BK61" s="311"/>
      <c r="BL61" s="305"/>
      <c r="BM61" s="12">
        <f>+BH15</f>
        <v>94067.627221694536</v>
      </c>
      <c r="BN61" s="307"/>
      <c r="BO61" s="309"/>
      <c r="BP61" s="311"/>
      <c r="BQ61" s="305"/>
      <c r="BR61" s="12">
        <f>+BM15</f>
        <v>103689.56079046405</v>
      </c>
      <c r="BS61" s="307"/>
      <c r="BT61" s="309"/>
      <c r="BU61" s="311"/>
      <c r="BV61" s="305"/>
      <c r="BW61" s="12">
        <f>+BR15</f>
        <v>162205.33261365557</v>
      </c>
      <c r="BX61" s="307"/>
      <c r="BY61" s="309"/>
      <c r="BZ61" s="311"/>
      <c r="CA61" s="305"/>
      <c r="CB61" s="12">
        <f>+BW15</f>
        <v>118607.21027551361</v>
      </c>
      <c r="CC61" s="307"/>
      <c r="CD61" s="309"/>
      <c r="CE61" s="311"/>
      <c r="CF61" s="305"/>
      <c r="CG61" s="12">
        <f>+CB15</f>
        <v>118199.33137788069</v>
      </c>
      <c r="CH61" s="307"/>
      <c r="CI61" s="309"/>
      <c r="CJ61" s="311"/>
      <c r="CK61" s="305"/>
      <c r="CL61" s="12">
        <f>+CG15</f>
        <v>118898.34433773509</v>
      </c>
      <c r="CM61" s="307"/>
      <c r="CN61" s="309"/>
      <c r="CO61" s="311"/>
      <c r="CP61" s="305"/>
      <c r="CQ61" s="12">
        <f>+CL15</f>
        <v>131514.98001494209</v>
      </c>
      <c r="CR61" s="307"/>
      <c r="CS61" s="309"/>
      <c r="CT61" s="311"/>
    </row>
    <row r="62" spans="1:98" ht="18" customHeight="1" x14ac:dyDescent="0.2">
      <c r="A62" s="20"/>
      <c r="B62" s="320" t="s">
        <v>165</v>
      </c>
      <c r="C62" s="322" t="s">
        <v>149</v>
      </c>
      <c r="D62" s="330"/>
      <c r="E62" s="331"/>
      <c r="F62" s="331"/>
      <c r="G62" s="331"/>
      <c r="H62" s="332"/>
      <c r="I62" s="304"/>
      <c r="J62" s="10">
        <f>+J19-E19</f>
        <v>100264.24686798194</v>
      </c>
      <c r="K62" s="306" t="s">
        <v>111</v>
      </c>
      <c r="L62" s="308">
        <v>100</v>
      </c>
      <c r="M62" s="310">
        <f>IF(J63=0,"-",(J62/J63)*L62)</f>
        <v>41.106189999960904</v>
      </c>
      <c r="N62" s="304"/>
      <c r="O62" s="10">
        <f>+O19-J19</f>
        <v>-97393.991522580094</v>
      </c>
      <c r="P62" s="306" t="s">
        <v>111</v>
      </c>
      <c r="Q62" s="308">
        <v>100</v>
      </c>
      <c r="R62" s="310">
        <f>IF(O63=0,"-",(O62/O63)*Q62)</f>
        <v>-28.297445272256773</v>
      </c>
      <c r="S62" s="304"/>
      <c r="T62" s="10">
        <f>+T19-O19</f>
        <v>-25157.774161481473</v>
      </c>
      <c r="U62" s="306" t="s">
        <v>111</v>
      </c>
      <c r="V62" s="308">
        <v>100</v>
      </c>
      <c r="W62" s="310">
        <f>IF(T63=0,"-",(T62/T63)*V62)</f>
        <v>-10.194188227021051</v>
      </c>
      <c r="X62" s="304"/>
      <c r="Y62" s="10">
        <f>+Y19-T19</f>
        <v>14873.444574341003</v>
      </c>
      <c r="Z62" s="306" t="s">
        <v>111</v>
      </c>
      <c r="AA62" s="308">
        <v>100</v>
      </c>
      <c r="AB62" s="310">
        <f>IF(Y63=0,"-",(Y62/Y63)*AA62)</f>
        <v>6.7110048166556426</v>
      </c>
      <c r="AC62" s="304"/>
      <c r="AD62" s="10">
        <f>+AD19-Y19</f>
        <v>-7782.4370257297123</v>
      </c>
      <c r="AE62" s="306" t="s">
        <v>111</v>
      </c>
      <c r="AF62" s="308">
        <v>100</v>
      </c>
      <c r="AG62" s="310">
        <f>IF(AD63=0,"-",(AD62/AD63)*AF62)</f>
        <v>-3.29065533846105</v>
      </c>
      <c r="AH62" s="304"/>
      <c r="AI62" s="10">
        <f>+AI19-AD19</f>
        <v>2602.071316208574</v>
      </c>
      <c r="AJ62" s="306" t="s">
        <v>150</v>
      </c>
      <c r="AK62" s="308">
        <v>100</v>
      </c>
      <c r="AL62" s="310">
        <f>IF(AI63=0,"-",(AI62/AI63)*AK62)</f>
        <v>1.1376732238947691</v>
      </c>
      <c r="AM62" s="304"/>
      <c r="AN62" s="10">
        <f>+AN19-AI19</f>
        <v>-30014.04555320181</v>
      </c>
      <c r="AO62" s="306" t="s">
        <v>150</v>
      </c>
      <c r="AP62" s="308">
        <v>100</v>
      </c>
      <c r="AQ62" s="310">
        <f>IF(AN63=0,"-",(AN62/AN63)*AP62)</f>
        <v>-12.975076310101768</v>
      </c>
      <c r="AR62" s="304"/>
      <c r="AS62" s="10">
        <f>+AS19-AN19</f>
        <v>48271.024851671798</v>
      </c>
      <c r="AT62" s="306" t="s">
        <v>111</v>
      </c>
      <c r="AU62" s="308">
        <v>100</v>
      </c>
      <c r="AV62" s="310">
        <f>IF(AS63=0,"-",(AS62/AS63)*AU62)</f>
        <v>23.978844523027103</v>
      </c>
      <c r="AW62" s="304"/>
      <c r="AX62" s="10">
        <f>+AX19-AS19</f>
        <v>-28642.162330840714</v>
      </c>
      <c r="AY62" s="306" t="s">
        <v>111</v>
      </c>
      <c r="AZ62" s="308">
        <v>100</v>
      </c>
      <c r="BA62" s="310">
        <f>IF(AX63=0,"-",(AX62/AX63)*AZ62)</f>
        <v>-11.476248658239401</v>
      </c>
      <c r="BB62" s="304"/>
      <c r="BC62" s="10">
        <f>+BC19-AX19</f>
        <v>79181.06497456535</v>
      </c>
      <c r="BD62" s="306" t="s">
        <v>111</v>
      </c>
      <c r="BE62" s="308">
        <v>100</v>
      </c>
      <c r="BF62" s="310">
        <f>IF(BC63=0,"-",(BC62/BC63)*BE62)</f>
        <v>35.838982972073595</v>
      </c>
      <c r="BG62" s="304"/>
      <c r="BH62" s="10">
        <f>+BH19-BC19</f>
        <v>-21747.045093940222</v>
      </c>
      <c r="BI62" s="306" t="s">
        <v>111</v>
      </c>
      <c r="BJ62" s="308">
        <v>100</v>
      </c>
      <c r="BK62" s="310">
        <f>IF(BH63=0,"-",(BH62/BH63)*BJ62)</f>
        <v>-7.2461975842051469</v>
      </c>
      <c r="BL62" s="304"/>
      <c r="BM62" s="10">
        <f>+BM19-BH19</f>
        <v>50056.562680496485</v>
      </c>
      <c r="BN62" s="306" t="s">
        <v>111</v>
      </c>
      <c r="BO62" s="308">
        <v>100</v>
      </c>
      <c r="BP62" s="310">
        <f>IF(BM63=0,"-",(BM62/BM63)*BO62)</f>
        <v>17.982050720433477</v>
      </c>
      <c r="BQ62" s="304"/>
      <c r="BR62" s="10">
        <f>+BR19-BM19</f>
        <v>17982.410974283237</v>
      </c>
      <c r="BS62" s="306" t="s">
        <v>111</v>
      </c>
      <c r="BT62" s="308">
        <v>100</v>
      </c>
      <c r="BU62" s="310">
        <f>IF(BR63=0,"-",(BR62/BR63)*BT62)</f>
        <v>5.475328403184089</v>
      </c>
      <c r="BV62" s="304"/>
      <c r="BW62" s="10">
        <f>+BW19-BR19</f>
        <v>-92942.579271792783</v>
      </c>
      <c r="BX62" s="306" t="s">
        <v>111</v>
      </c>
      <c r="BY62" s="308">
        <v>100</v>
      </c>
      <c r="BZ62" s="310">
        <f>IF(BW63=0,"-",(BW62/BW63)*BY62)</f>
        <v>-26.830334556678203</v>
      </c>
      <c r="CA62" s="304"/>
      <c r="CB62" s="10">
        <f>+CB19-BW19</f>
        <v>-4627.2852384875587</v>
      </c>
      <c r="CC62" s="306" t="s">
        <v>111</v>
      </c>
      <c r="CD62" s="308">
        <v>100</v>
      </c>
      <c r="CE62" s="310">
        <f>IF(CB63=0,"-",(CB62/CB63)*CD62)</f>
        <v>-1.8256039623386673</v>
      </c>
      <c r="CF62" s="304"/>
      <c r="CG62" s="10">
        <f>+CG19-CB19</f>
        <v>31977.14769690609</v>
      </c>
      <c r="CH62" s="306" t="s">
        <v>150</v>
      </c>
      <c r="CI62" s="308">
        <v>100</v>
      </c>
      <c r="CJ62" s="310">
        <f>IF(CG63=0,"-",(CG62/CG63)*CI62)</f>
        <v>12.850551987597036</v>
      </c>
      <c r="CK62" s="304"/>
      <c r="CL62" s="10">
        <f>+CL19-CG19</f>
        <v>-36005.571922231728</v>
      </c>
      <c r="CM62" s="306" t="s">
        <v>111</v>
      </c>
      <c r="CN62" s="308">
        <v>100</v>
      </c>
      <c r="CO62" s="310">
        <f>IF(CL63=0,"-",(CL62/CL63)*CN62)</f>
        <v>-12.821773070161319</v>
      </c>
      <c r="CP62" s="304"/>
      <c r="CQ62" s="10">
        <f>+CQ19-CL19</f>
        <v>5223.1268404697184</v>
      </c>
      <c r="CR62" s="306" t="s">
        <v>111</v>
      </c>
      <c r="CS62" s="308">
        <v>100</v>
      </c>
      <c r="CT62" s="310">
        <f>IF(CQ63=0,"-",(CQ62/CQ63)*CS62)</f>
        <v>2.1335406067728626</v>
      </c>
    </row>
    <row r="63" spans="1:98" ht="18" customHeight="1" x14ac:dyDescent="0.2">
      <c r="A63" s="20"/>
      <c r="B63" s="321"/>
      <c r="C63" s="323"/>
      <c r="D63" s="333"/>
      <c r="E63" s="334"/>
      <c r="F63" s="334"/>
      <c r="G63" s="334"/>
      <c r="H63" s="335"/>
      <c r="I63" s="305"/>
      <c r="J63" s="12">
        <f>+E19</f>
        <v>243915.203204377</v>
      </c>
      <c r="K63" s="307"/>
      <c r="L63" s="309"/>
      <c r="M63" s="311"/>
      <c r="N63" s="305"/>
      <c r="O63" s="12">
        <f>+J19</f>
        <v>344179.45007235894</v>
      </c>
      <c r="P63" s="307"/>
      <c r="Q63" s="309"/>
      <c r="R63" s="311"/>
      <c r="S63" s="305"/>
      <c r="T63" s="12">
        <f>+O19</f>
        <v>246785.45854977885</v>
      </c>
      <c r="U63" s="307"/>
      <c r="V63" s="309"/>
      <c r="W63" s="311"/>
      <c r="X63" s="305"/>
      <c r="Y63" s="12">
        <f>+T19</f>
        <v>221627.68438829738</v>
      </c>
      <c r="Z63" s="307"/>
      <c r="AA63" s="309"/>
      <c r="AB63" s="311"/>
      <c r="AC63" s="305"/>
      <c r="AD63" s="12">
        <f>+Y19</f>
        <v>236501.12896263838</v>
      </c>
      <c r="AE63" s="307"/>
      <c r="AF63" s="309"/>
      <c r="AG63" s="311"/>
      <c r="AH63" s="305"/>
      <c r="AI63" s="12">
        <f>+AD19</f>
        <v>228718.69193690867</v>
      </c>
      <c r="AJ63" s="307"/>
      <c r="AK63" s="309"/>
      <c r="AL63" s="311"/>
      <c r="AM63" s="305"/>
      <c r="AN63" s="12">
        <f>+AI19</f>
        <v>231320.76325311724</v>
      </c>
      <c r="AO63" s="307"/>
      <c r="AP63" s="309"/>
      <c r="AQ63" s="311"/>
      <c r="AR63" s="305"/>
      <c r="AS63" s="12">
        <f>+AN19</f>
        <v>201306.71769991543</v>
      </c>
      <c r="AT63" s="307"/>
      <c r="AU63" s="309"/>
      <c r="AV63" s="311"/>
      <c r="AW63" s="305"/>
      <c r="AX63" s="12">
        <f>+AS19</f>
        <v>249577.74255158723</v>
      </c>
      <c r="AY63" s="307"/>
      <c r="AZ63" s="309"/>
      <c r="BA63" s="311"/>
      <c r="BB63" s="305"/>
      <c r="BC63" s="12">
        <f>+AX19</f>
        <v>220935.58022074652</v>
      </c>
      <c r="BD63" s="307"/>
      <c r="BE63" s="309"/>
      <c r="BF63" s="311"/>
      <c r="BG63" s="305"/>
      <c r="BH63" s="12">
        <f>+BC19</f>
        <v>300116.64519531187</v>
      </c>
      <c r="BI63" s="307"/>
      <c r="BJ63" s="309"/>
      <c r="BK63" s="311"/>
      <c r="BL63" s="305"/>
      <c r="BM63" s="12">
        <f>+BH19</f>
        <v>278369.60010137164</v>
      </c>
      <c r="BN63" s="307"/>
      <c r="BO63" s="309"/>
      <c r="BP63" s="311"/>
      <c r="BQ63" s="305"/>
      <c r="BR63" s="12">
        <f>+BM19</f>
        <v>328426.16278186813</v>
      </c>
      <c r="BS63" s="307"/>
      <c r="BT63" s="309"/>
      <c r="BU63" s="311"/>
      <c r="BV63" s="305"/>
      <c r="BW63" s="12">
        <f>+BR19</f>
        <v>346408.57375615137</v>
      </c>
      <c r="BX63" s="307"/>
      <c r="BY63" s="309"/>
      <c r="BZ63" s="311"/>
      <c r="CA63" s="305"/>
      <c r="CB63" s="12">
        <f>+BW19</f>
        <v>253465.99448435858</v>
      </c>
      <c r="CC63" s="307"/>
      <c r="CD63" s="309"/>
      <c r="CE63" s="311"/>
      <c r="CF63" s="305"/>
      <c r="CG63" s="12">
        <f>+CB19</f>
        <v>248838.70924587102</v>
      </c>
      <c r="CH63" s="307"/>
      <c r="CI63" s="309"/>
      <c r="CJ63" s="311"/>
      <c r="CK63" s="305"/>
      <c r="CL63" s="12">
        <f>+CG19</f>
        <v>280815.85694277711</v>
      </c>
      <c r="CM63" s="307"/>
      <c r="CN63" s="309"/>
      <c r="CO63" s="311"/>
      <c r="CP63" s="305"/>
      <c r="CQ63" s="12">
        <f>+CL19</f>
        <v>244810.28502054539</v>
      </c>
      <c r="CR63" s="307"/>
      <c r="CS63" s="309"/>
      <c r="CT63" s="311"/>
    </row>
    <row r="64" spans="1:98" ht="18" customHeight="1" x14ac:dyDescent="0.2">
      <c r="A64" s="20"/>
      <c r="B64" s="320" t="s">
        <v>166</v>
      </c>
      <c r="C64" s="322" t="s">
        <v>167</v>
      </c>
      <c r="D64" s="330"/>
      <c r="E64" s="331"/>
      <c r="F64" s="331"/>
      <c r="G64" s="331"/>
      <c r="H64" s="332"/>
      <c r="I64" s="304"/>
      <c r="J64" s="237">
        <f>+BS!L5-BS!K5</f>
        <v>10.091346113063132</v>
      </c>
      <c r="K64" s="306" t="s">
        <v>111</v>
      </c>
      <c r="L64" s="308">
        <v>100</v>
      </c>
      <c r="M64" s="310">
        <f>IF(J65=0,"-",(J64/J65)*L64)</f>
        <v>22.763638746620387</v>
      </c>
      <c r="N64" s="304"/>
      <c r="O64" s="237">
        <f>+BS!M5-BS!L5</f>
        <v>-11.014851550511523</v>
      </c>
      <c r="P64" s="306" t="s">
        <v>111</v>
      </c>
      <c r="Q64" s="308">
        <v>100</v>
      </c>
      <c r="R64" s="310">
        <f>IF(O65=0,"-",(O64/O65)*Q64)</f>
        <v>-20.239579200221939</v>
      </c>
      <c r="S64" s="304"/>
      <c r="T64" s="237">
        <f>+BS!N5-BS!M5</f>
        <v>-3.9005036005356288</v>
      </c>
      <c r="U64" s="306" t="s">
        <v>111</v>
      </c>
      <c r="V64" s="308">
        <v>100</v>
      </c>
      <c r="W64" s="310">
        <f>IF(T65=0,"-",(T64/T65)*V64)</f>
        <v>-8.9857861140401472</v>
      </c>
      <c r="X64" s="304"/>
      <c r="Y64" s="237">
        <f>+BS!O5-BS!N5</f>
        <v>10.141637087479388</v>
      </c>
      <c r="Z64" s="306" t="s">
        <v>111</v>
      </c>
      <c r="AA64" s="308">
        <v>100</v>
      </c>
      <c r="AB64" s="310">
        <f>IF(Y65=0,"-",(Y64/Y65)*AA64)</f>
        <v>25.670494638157017</v>
      </c>
      <c r="AC64" s="304"/>
      <c r="AD64" s="237">
        <f>+BS!P5-BS!O5</f>
        <v>-9.2321253848465972</v>
      </c>
      <c r="AE64" s="306" t="s">
        <v>111</v>
      </c>
      <c r="AF64" s="308">
        <v>100</v>
      </c>
      <c r="AG64" s="310">
        <f>IF(AD65=0,"-",(AD64/AD65)*AF64)</f>
        <v>-18.594929718748745</v>
      </c>
      <c r="AH64" s="304"/>
      <c r="AI64" s="237">
        <f>+BS!Q5-BS!P5</f>
        <v>3.9300673233787649</v>
      </c>
      <c r="AJ64" s="306" t="s">
        <v>168</v>
      </c>
      <c r="AK64" s="308">
        <v>100</v>
      </c>
      <c r="AL64" s="310">
        <f>IF(AI65=0,"-",(AI64/AI65)*AK64)</f>
        <v>9.7239200975807627</v>
      </c>
      <c r="AM64" s="304"/>
      <c r="AN64" s="237">
        <f>+BS!R5-BS!Q5</f>
        <v>-5.6079038367255265</v>
      </c>
      <c r="AO64" s="306" t="s">
        <v>168</v>
      </c>
      <c r="AP64" s="308">
        <v>100</v>
      </c>
      <c r="AQ64" s="310">
        <f>IF(AN65=0,"-",(AN64/AN65)*AP64)</f>
        <v>-12.645634761183628</v>
      </c>
      <c r="AR64" s="304"/>
      <c r="AS64" s="237">
        <f>+BS!S5-BS!R5</f>
        <v>2.6677924043439347</v>
      </c>
      <c r="AT64" s="306" t="s">
        <v>111</v>
      </c>
      <c r="AU64" s="308">
        <v>100</v>
      </c>
      <c r="AV64" s="310">
        <f>IF(AS65=0,"-",(AS64/AS65)*AU64)</f>
        <v>6.8866418228148554</v>
      </c>
      <c r="AW64" s="304"/>
      <c r="AX64" s="237">
        <f>+BS!T5-BS!S5</f>
        <v>15.603982723208517</v>
      </c>
      <c r="AY64" s="306" t="s">
        <v>111</v>
      </c>
      <c r="AZ64" s="308">
        <v>100</v>
      </c>
      <c r="BA64" s="310">
        <f>IF(AX65=0,"-",(AX64/AX65)*AZ64)</f>
        <v>37.684910852495236</v>
      </c>
      <c r="BB64" s="304"/>
      <c r="BC64" s="237">
        <f>+BS!U5-BS!T5</f>
        <v>-7.3380979719737098</v>
      </c>
      <c r="BD64" s="306" t="s">
        <v>111</v>
      </c>
      <c r="BE64" s="308">
        <v>100</v>
      </c>
      <c r="BF64" s="310">
        <f>IF(BC65=0,"-",(BC64/BC65)*BE64)</f>
        <v>-12.871500844468919</v>
      </c>
      <c r="BG64" s="304"/>
      <c r="BH64" s="237">
        <f>+BS!V5-BS!U5</f>
        <v>1.1136447012747723</v>
      </c>
      <c r="BI64" s="306" t="s">
        <v>111</v>
      </c>
      <c r="BJ64" s="308">
        <v>100</v>
      </c>
      <c r="BK64" s="310">
        <f>IF(BH65=0,"-",(BH64/BH65)*BJ64)</f>
        <v>2.2419819183248988</v>
      </c>
      <c r="BL64" s="304"/>
      <c r="BM64" s="237">
        <f>+BS!W5-BS!V5</f>
        <v>5.8398575289981878</v>
      </c>
      <c r="BN64" s="306" t="s">
        <v>111</v>
      </c>
      <c r="BO64" s="308">
        <v>100</v>
      </c>
      <c r="BP64" s="310">
        <f>IF(BM65=0,"-",(BM64/BM65)*BO64)</f>
        <v>11.498956820896396</v>
      </c>
      <c r="BQ64" s="304"/>
      <c r="BR64" s="237">
        <f>+BS!X5-BS!W5</f>
        <v>3.791948679429801</v>
      </c>
      <c r="BS64" s="306" t="s">
        <v>111</v>
      </c>
      <c r="BT64" s="308">
        <v>100</v>
      </c>
      <c r="BU64" s="310">
        <f>IF(BR65=0,"-",(BR64/BR65)*BT64)</f>
        <v>6.696499455934962</v>
      </c>
      <c r="BV64" s="304"/>
      <c r="BW64" s="237">
        <f>+BS!Y5-BS!X5</f>
        <v>-6.4328357273582384</v>
      </c>
      <c r="BX64" s="306" t="s">
        <v>111</v>
      </c>
      <c r="BY64" s="308">
        <v>100</v>
      </c>
      <c r="BZ64" s="310">
        <f>IF(BW65=0,"-",(BW64/BW65)*BY64)</f>
        <v>-10.647255526912792</v>
      </c>
      <c r="CA64" s="304"/>
      <c r="CB64" s="237">
        <f>+BS!Z5-BS!Y5</f>
        <v>-5.0745599139525837</v>
      </c>
      <c r="CC64" s="306" t="s">
        <v>111</v>
      </c>
      <c r="CD64" s="308">
        <v>100</v>
      </c>
      <c r="CE64" s="310">
        <f>IF(CB65=0,"-",(CB64/CB65)*CD64)</f>
        <v>-9.3999534707801971</v>
      </c>
      <c r="CF64" s="304"/>
      <c r="CG64" s="237">
        <f>+BS!AA5-BS!Z5</f>
        <v>3.0309893078993539</v>
      </c>
      <c r="CH64" s="306" t="s">
        <v>169</v>
      </c>
      <c r="CI64" s="308">
        <v>100</v>
      </c>
      <c r="CJ64" s="310">
        <f>IF(CG65=0,"-",(CG64/CG65)*CI64)</f>
        <v>6.1970257828012638</v>
      </c>
      <c r="CK64" s="304"/>
      <c r="CL64" s="237">
        <f>+BS!AB5-BS!AA5</f>
        <v>-2.4290493186441537</v>
      </c>
      <c r="CM64" s="306" t="s">
        <v>111</v>
      </c>
      <c r="CN64" s="308">
        <v>100</v>
      </c>
      <c r="CO64" s="310">
        <f>IF(CL65=0,"-",(CL64/CL65)*CN64)</f>
        <v>-4.6765208778725516</v>
      </c>
      <c r="CP64" s="304"/>
      <c r="CQ64" s="237">
        <f>+BS!AC5-BS!AB5</f>
        <v>-1.6995202463475678</v>
      </c>
      <c r="CR64" s="306" t="s">
        <v>111</v>
      </c>
      <c r="CS64" s="308">
        <v>100</v>
      </c>
      <c r="CT64" s="310">
        <f>IF(CQ65=0,"-",(CQ64/CQ65)*CS64)</f>
        <v>-3.432519417608757</v>
      </c>
    </row>
    <row r="65" spans="1:98" ht="18" customHeight="1" x14ac:dyDescent="0.2">
      <c r="A65" s="20"/>
      <c r="B65" s="321"/>
      <c r="C65" s="323"/>
      <c r="D65" s="333"/>
      <c r="E65" s="334"/>
      <c r="F65" s="334"/>
      <c r="G65" s="334"/>
      <c r="H65" s="335"/>
      <c r="I65" s="305"/>
      <c r="J65" s="238">
        <f>+BS!K5</f>
        <v>44.330988667448203</v>
      </c>
      <c r="K65" s="307"/>
      <c r="L65" s="309"/>
      <c r="M65" s="311"/>
      <c r="N65" s="305"/>
      <c r="O65" s="238">
        <f>+BS!L5</f>
        <v>54.422334780511335</v>
      </c>
      <c r="P65" s="307"/>
      <c r="Q65" s="309"/>
      <c r="R65" s="311"/>
      <c r="S65" s="305"/>
      <c r="T65" s="238">
        <f>+BS!M5</f>
        <v>43.407483229999812</v>
      </c>
      <c r="U65" s="307"/>
      <c r="V65" s="309"/>
      <c r="W65" s="311"/>
      <c r="X65" s="305"/>
      <c r="Y65" s="238">
        <f>+BS!N5</f>
        <v>39.506979629464183</v>
      </c>
      <c r="Z65" s="307"/>
      <c r="AA65" s="309"/>
      <c r="AB65" s="311"/>
      <c r="AC65" s="305"/>
      <c r="AD65" s="238">
        <f>+BS!O5</f>
        <v>49.648616716943572</v>
      </c>
      <c r="AE65" s="307"/>
      <c r="AF65" s="309"/>
      <c r="AG65" s="311"/>
      <c r="AH65" s="305"/>
      <c r="AI65" s="238">
        <f>+BS!P5</f>
        <v>40.416491332096975</v>
      </c>
      <c r="AJ65" s="307"/>
      <c r="AK65" s="309"/>
      <c r="AL65" s="311"/>
      <c r="AM65" s="305"/>
      <c r="AN65" s="238">
        <f>+BS!Q5</f>
        <v>44.346558655475739</v>
      </c>
      <c r="AO65" s="307"/>
      <c r="AP65" s="309"/>
      <c r="AQ65" s="311"/>
      <c r="AR65" s="305"/>
      <c r="AS65" s="238">
        <f>+BS!R5</f>
        <v>38.738654818750213</v>
      </c>
      <c r="AT65" s="307"/>
      <c r="AU65" s="309"/>
      <c r="AV65" s="311"/>
      <c r="AW65" s="305"/>
      <c r="AX65" s="238">
        <f>+BS!S5</f>
        <v>41.406447223094148</v>
      </c>
      <c r="AY65" s="307"/>
      <c r="AZ65" s="309"/>
      <c r="BA65" s="311"/>
      <c r="BB65" s="305"/>
      <c r="BC65" s="238">
        <f>+BS!T5</f>
        <v>57.010429946302665</v>
      </c>
      <c r="BD65" s="307"/>
      <c r="BE65" s="309"/>
      <c r="BF65" s="311"/>
      <c r="BG65" s="305"/>
      <c r="BH65" s="238">
        <f>+BS!U5</f>
        <v>49.672331974328955</v>
      </c>
      <c r="BI65" s="307"/>
      <c r="BJ65" s="309"/>
      <c r="BK65" s="311"/>
      <c r="BL65" s="305"/>
      <c r="BM65" s="238">
        <f>+BS!V5</f>
        <v>50.785976675603727</v>
      </c>
      <c r="BN65" s="307"/>
      <c r="BO65" s="309"/>
      <c r="BP65" s="311"/>
      <c r="BQ65" s="305"/>
      <c r="BR65" s="238">
        <f>+BS!W5</f>
        <v>56.625834204601915</v>
      </c>
      <c r="BS65" s="307"/>
      <c r="BT65" s="309"/>
      <c r="BU65" s="311"/>
      <c r="BV65" s="305"/>
      <c r="BW65" s="238">
        <f>+BS!X5</f>
        <v>60.417782884031716</v>
      </c>
      <c r="BX65" s="307"/>
      <c r="BY65" s="309"/>
      <c r="BZ65" s="311"/>
      <c r="CA65" s="305"/>
      <c r="CB65" s="238">
        <f>+BS!Y5</f>
        <v>53.984947156673478</v>
      </c>
      <c r="CC65" s="307"/>
      <c r="CD65" s="309"/>
      <c r="CE65" s="311"/>
      <c r="CF65" s="305"/>
      <c r="CG65" s="238">
        <f>+BS!Z5</f>
        <v>48.910387242720894</v>
      </c>
      <c r="CH65" s="307"/>
      <c r="CI65" s="309"/>
      <c r="CJ65" s="311"/>
      <c r="CK65" s="305"/>
      <c r="CL65" s="238">
        <f>+BS!AA5</f>
        <v>51.941376550620248</v>
      </c>
      <c r="CM65" s="307"/>
      <c r="CN65" s="309"/>
      <c r="CO65" s="311"/>
      <c r="CP65" s="305"/>
      <c r="CQ65" s="238">
        <f>+BS!AB5</f>
        <v>49.512327231976094</v>
      </c>
      <c r="CR65" s="307"/>
      <c r="CS65" s="309"/>
      <c r="CT65" s="311"/>
    </row>
    <row r="66" spans="1:98" ht="18" customHeight="1" x14ac:dyDescent="0.2">
      <c r="A66" s="20"/>
      <c r="B66" s="320" t="s">
        <v>303</v>
      </c>
      <c r="C66" s="322" t="s">
        <v>149</v>
      </c>
      <c r="D66" s="330"/>
      <c r="E66" s="331"/>
      <c r="F66" s="331"/>
      <c r="G66" s="331"/>
      <c r="H66" s="332"/>
      <c r="I66" s="304"/>
      <c r="J66" s="10">
        <f>+J7-E7</f>
        <v>1018883.2748297867</v>
      </c>
      <c r="K66" s="306" t="s">
        <v>111</v>
      </c>
      <c r="L66" s="308">
        <v>100</v>
      </c>
      <c r="M66" s="310">
        <f>IF(J67=0,"-",(J66/J67)*L66)</f>
        <v>79.598396819920112</v>
      </c>
      <c r="N66" s="304"/>
      <c r="O66" s="10">
        <f>+O7-J7</f>
        <v>-1054898.1031049551</v>
      </c>
      <c r="P66" s="306" t="s">
        <v>111</v>
      </c>
      <c r="Q66" s="308">
        <v>100</v>
      </c>
      <c r="R66" s="310">
        <f>IF(O67=0,"-",(O66/O67)*Q66)</f>
        <v>-45.886818048768021</v>
      </c>
      <c r="S66" s="304"/>
      <c r="T66" s="10">
        <f>+T7-O7</f>
        <v>-171712.34869856341</v>
      </c>
      <c r="U66" s="306" t="s">
        <v>111</v>
      </c>
      <c r="V66" s="308">
        <v>100</v>
      </c>
      <c r="W66" s="310">
        <f>IF(T67=0,"-",(T66/T67)*V66)</f>
        <v>-13.803076294005631</v>
      </c>
      <c r="X66" s="304"/>
      <c r="Y66" s="10">
        <f>+Y7-T7</f>
        <v>432396.79504125263</v>
      </c>
      <c r="Z66" s="306" t="s">
        <v>111</v>
      </c>
      <c r="AA66" s="308">
        <v>100</v>
      </c>
      <c r="AB66" s="310">
        <f>IF(Y67=0,"-",(Y66/Y67)*AA66)</f>
        <v>40.32413496468422</v>
      </c>
      <c r="AC66" s="304"/>
      <c r="AD66" s="10">
        <f>+AD7-Y7</f>
        <v>-319657.84910322959</v>
      </c>
      <c r="AE66" s="306" t="s">
        <v>111</v>
      </c>
      <c r="AF66" s="308">
        <v>100</v>
      </c>
      <c r="AG66" s="310">
        <f>IF(AD67=0,"-",(AD66/AD67)*AF66)</f>
        <v>-21.243965751002484</v>
      </c>
      <c r="AH66" s="304"/>
      <c r="AI66" s="10">
        <f>+AI7-AD7</f>
        <v>65008.362846337957</v>
      </c>
      <c r="AJ66" s="306" t="s">
        <v>150</v>
      </c>
      <c r="AK66" s="308">
        <v>100</v>
      </c>
      <c r="AL66" s="310">
        <f>IF(AI67=0,"-",(AI66/AI67)*AK66)</f>
        <v>5.4857449194522125</v>
      </c>
      <c r="AM66" s="304"/>
      <c r="AN66" s="10">
        <f>+AN7-AI7</f>
        <v>40477.836130738957</v>
      </c>
      <c r="AO66" s="306" t="s">
        <v>150</v>
      </c>
      <c r="AP66" s="308">
        <v>100</v>
      </c>
      <c r="AQ66" s="310">
        <f>IF(AN67=0,"-",(AN66/AN67)*AP66)</f>
        <v>3.2380972984358785</v>
      </c>
      <c r="AR66" s="304"/>
      <c r="AS66" s="10">
        <f>+AS7-AN7</f>
        <v>110615.22761103022</v>
      </c>
      <c r="AT66" s="306" t="s">
        <v>111</v>
      </c>
      <c r="AU66" s="308">
        <v>100</v>
      </c>
      <c r="AV66" s="310">
        <f>IF(AS67=0,"-",(AS66/AS67)*AU66)</f>
        <v>8.5713165001045795</v>
      </c>
      <c r="AW66" s="304"/>
      <c r="AX66" s="10">
        <f>+AX7-AS7</f>
        <v>303777.87354736892</v>
      </c>
      <c r="AY66" s="306" t="s">
        <v>111</v>
      </c>
      <c r="AZ66" s="308">
        <v>100</v>
      </c>
      <c r="BA66" s="310">
        <f>IF(AX67=0,"-",(AX66/AX67)*AZ66)</f>
        <v>21.680717387555898</v>
      </c>
      <c r="BB66" s="304"/>
      <c r="BC66" s="10">
        <f>+BC7-AX7</f>
        <v>-20078.266446221387</v>
      </c>
      <c r="BD66" s="306" t="s">
        <v>111</v>
      </c>
      <c r="BE66" s="308">
        <v>100</v>
      </c>
      <c r="BF66" s="310">
        <f>IF(BC67=0,"-",(BC66/BC67)*BE66)</f>
        <v>-1.1776655267318354</v>
      </c>
      <c r="BG66" s="304"/>
      <c r="BH66" s="10">
        <f>+BH7-BC7</f>
        <v>172585.39933396666</v>
      </c>
      <c r="BI66" s="306" t="s">
        <v>111</v>
      </c>
      <c r="BJ66" s="308">
        <v>100</v>
      </c>
      <c r="BK66" s="310">
        <f>IF(BH67=0,"-",(BH66/BH67)*BJ66)</f>
        <v>10.243413205669642</v>
      </c>
      <c r="BL66" s="304"/>
      <c r="BM66" s="10">
        <f>+BM7-BH7</f>
        <v>297228.56272638799</v>
      </c>
      <c r="BN66" s="306" t="s">
        <v>111</v>
      </c>
      <c r="BO66" s="308">
        <v>100</v>
      </c>
      <c r="BP66" s="310">
        <f>IF(BM67=0,"-",(BM66/BM67)*BO66)</f>
        <v>16.002157138144703</v>
      </c>
      <c r="BQ66" s="304"/>
      <c r="BR66" s="10">
        <f>+BR7-BM7</f>
        <v>43488.191295051482</v>
      </c>
      <c r="BS66" s="306" t="s">
        <v>111</v>
      </c>
      <c r="BT66" s="308">
        <v>100</v>
      </c>
      <c r="BU66" s="310">
        <f>IF(BR67=0,"-",(BR66/BR67)*BT66)</f>
        <v>2.0183350841204848</v>
      </c>
      <c r="BV66" s="304"/>
      <c r="BW66" s="10">
        <f>+BW7-BR7</f>
        <v>-385980.71325765527</v>
      </c>
      <c r="BX66" s="306" t="s">
        <v>111</v>
      </c>
      <c r="BY66" s="308">
        <v>100</v>
      </c>
      <c r="BZ66" s="310">
        <f>IF(BW67=0,"-",(BW66/BW67)*BY66)</f>
        <v>-17.559384822616913</v>
      </c>
      <c r="CA66" s="304"/>
      <c r="CB66" s="10">
        <f>+CB7-BW7</f>
        <v>74936.537416641833</v>
      </c>
      <c r="CC66" s="306" t="s">
        <v>111</v>
      </c>
      <c r="CD66" s="308">
        <v>100</v>
      </c>
      <c r="CE66" s="310">
        <f>IF(CB67=0,"-",(CB66/CB67)*CD66)</f>
        <v>4.1351959172262376</v>
      </c>
      <c r="CF66" s="304"/>
      <c r="CG66" s="10">
        <f>+CG7-CB7</f>
        <v>192057.14426959236</v>
      </c>
      <c r="CH66" s="306" t="s">
        <v>170</v>
      </c>
      <c r="CI66" s="308">
        <v>100</v>
      </c>
      <c r="CJ66" s="310">
        <f>IF(CG67=0,"-",(CG66/CG67)*CI66)</f>
        <v>10.177366096506809</v>
      </c>
      <c r="CK66" s="304"/>
      <c r="CL66" s="10">
        <f>+CL7-CG7</f>
        <v>-86677.543432614068</v>
      </c>
      <c r="CM66" s="306" t="s">
        <v>111</v>
      </c>
      <c r="CN66" s="308">
        <v>100</v>
      </c>
      <c r="CO66" s="310">
        <f>IF(CL67=0,"-",(CL66/CL67)*CN66)</f>
        <v>-4.1688775447225224</v>
      </c>
      <c r="CP66" s="304"/>
      <c r="CQ66" s="10">
        <f>+CQ7-CL7</f>
        <v>-221506.19508746197</v>
      </c>
      <c r="CR66" s="306" t="s">
        <v>111</v>
      </c>
      <c r="CS66" s="308">
        <v>100</v>
      </c>
      <c r="CT66" s="310">
        <f>IF(CQ67=0,"-",(CQ66/CQ67)*CS66)</f>
        <v>-11.117108551171833</v>
      </c>
    </row>
    <row r="67" spans="1:98" ht="18" customHeight="1" x14ac:dyDescent="0.2">
      <c r="A67" s="22"/>
      <c r="B67" s="321"/>
      <c r="C67" s="323"/>
      <c r="D67" s="333"/>
      <c r="E67" s="334"/>
      <c r="F67" s="334"/>
      <c r="G67" s="334"/>
      <c r="H67" s="335"/>
      <c r="I67" s="305"/>
      <c r="J67" s="12">
        <f>+E7</f>
        <v>1280029.8944900399</v>
      </c>
      <c r="K67" s="307"/>
      <c r="L67" s="309"/>
      <c r="M67" s="311"/>
      <c r="N67" s="305"/>
      <c r="O67" s="12">
        <f>+J7</f>
        <v>2298913.1693198266</v>
      </c>
      <c r="P67" s="307"/>
      <c r="Q67" s="309"/>
      <c r="R67" s="311"/>
      <c r="S67" s="305"/>
      <c r="T67" s="12">
        <f>+O7</f>
        <v>1244015.0662148716</v>
      </c>
      <c r="U67" s="307"/>
      <c r="V67" s="309"/>
      <c r="W67" s="311"/>
      <c r="X67" s="305"/>
      <c r="Y67" s="12">
        <f>+T7</f>
        <v>1072302.7175163082</v>
      </c>
      <c r="Z67" s="307"/>
      <c r="AA67" s="309"/>
      <c r="AB67" s="311"/>
      <c r="AC67" s="305"/>
      <c r="AD67" s="12">
        <f>+Y7</f>
        <v>1504699.5125575608</v>
      </c>
      <c r="AE67" s="307"/>
      <c r="AF67" s="309"/>
      <c r="AG67" s="311"/>
      <c r="AH67" s="305"/>
      <c r="AI67" s="12">
        <f>+AD7</f>
        <v>1185041.6634543312</v>
      </c>
      <c r="AJ67" s="307"/>
      <c r="AK67" s="309"/>
      <c r="AL67" s="311"/>
      <c r="AM67" s="305"/>
      <c r="AN67" s="12">
        <f>+AI7</f>
        <v>1250050.0263006692</v>
      </c>
      <c r="AO67" s="307"/>
      <c r="AP67" s="309"/>
      <c r="AQ67" s="311"/>
      <c r="AR67" s="305"/>
      <c r="AS67" s="12">
        <f>+AN7</f>
        <v>1290527.8624314081</v>
      </c>
      <c r="AT67" s="307"/>
      <c r="AU67" s="309"/>
      <c r="AV67" s="311"/>
      <c r="AW67" s="305"/>
      <c r="AX67" s="12">
        <f>+AS7</f>
        <v>1401143.0900424384</v>
      </c>
      <c r="AY67" s="307"/>
      <c r="AZ67" s="309"/>
      <c r="BA67" s="311"/>
      <c r="BB67" s="305"/>
      <c r="BC67" s="12">
        <f>+AX7</f>
        <v>1704920.9635898073</v>
      </c>
      <c r="BD67" s="307"/>
      <c r="BE67" s="309"/>
      <c r="BF67" s="311"/>
      <c r="BG67" s="305"/>
      <c r="BH67" s="12">
        <f>+BC7</f>
        <v>1684842.6971435859</v>
      </c>
      <c r="BI67" s="307"/>
      <c r="BJ67" s="309"/>
      <c r="BK67" s="311"/>
      <c r="BL67" s="305"/>
      <c r="BM67" s="12">
        <f>+BH7</f>
        <v>1857428.0964775525</v>
      </c>
      <c r="BN67" s="307"/>
      <c r="BO67" s="309"/>
      <c r="BP67" s="311"/>
      <c r="BQ67" s="305"/>
      <c r="BR67" s="12">
        <f>+BM7</f>
        <v>2154656.6592039405</v>
      </c>
      <c r="BS67" s="307"/>
      <c r="BT67" s="309"/>
      <c r="BU67" s="311"/>
      <c r="BV67" s="305"/>
      <c r="BW67" s="12">
        <f>+BR7</f>
        <v>2198144.850498992</v>
      </c>
      <c r="BX67" s="307"/>
      <c r="BY67" s="309"/>
      <c r="BZ67" s="311"/>
      <c r="CA67" s="305"/>
      <c r="CB67" s="12">
        <f>+BW7</f>
        <v>1812164.1372413367</v>
      </c>
      <c r="CC67" s="307"/>
      <c r="CD67" s="309"/>
      <c r="CE67" s="311"/>
      <c r="CF67" s="305"/>
      <c r="CG67" s="12">
        <f>+CB7</f>
        <v>1887100.6746579786</v>
      </c>
      <c r="CH67" s="307"/>
      <c r="CI67" s="309"/>
      <c r="CJ67" s="311"/>
      <c r="CK67" s="305"/>
      <c r="CL67" s="12">
        <f>+CG7</f>
        <v>2079157.8189275709</v>
      </c>
      <c r="CM67" s="307"/>
      <c r="CN67" s="309"/>
      <c r="CO67" s="311"/>
      <c r="CP67" s="305"/>
      <c r="CQ67" s="12">
        <f>+CL7</f>
        <v>1992480.2754949569</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562369.33567800059</v>
      </c>
      <c r="F69" s="306" t="s">
        <v>118</v>
      </c>
      <c r="G69" s="308">
        <v>100</v>
      </c>
      <c r="H69" s="310">
        <f>IF(E70=0,"-",(E69/E70)*G69)</f>
        <v>46.892889014981982</v>
      </c>
      <c r="I69" s="304"/>
      <c r="J69" s="24">
        <f>+PL!L47</f>
        <v>1189455.3786782443</v>
      </c>
      <c r="K69" s="306" t="s">
        <v>111</v>
      </c>
      <c r="L69" s="308">
        <v>100</v>
      </c>
      <c r="M69" s="310">
        <f>IF(J70=0,"-",(J69/J70)*L69)</f>
        <v>45.15742017459408</v>
      </c>
      <c r="N69" s="304"/>
      <c r="O69" s="24">
        <f>+PL!M47</f>
        <v>455017.00393772993</v>
      </c>
      <c r="P69" s="306" t="s">
        <v>111</v>
      </c>
      <c r="Q69" s="308">
        <v>100</v>
      </c>
      <c r="R69" s="310">
        <f>IF(O70=0,"-",(O69/O70)*Q69)</f>
        <v>33.736864606447206</v>
      </c>
      <c r="S69" s="304"/>
      <c r="T69" s="24">
        <f>+PL!N47</f>
        <v>463019.51684172999</v>
      </c>
      <c r="U69" s="306" t="s">
        <v>111</v>
      </c>
      <c r="V69" s="308">
        <v>100</v>
      </c>
      <c r="W69" s="310">
        <f>IF(T70=0,"-",(T69/T70)*V69)</f>
        <v>43.815642446100419</v>
      </c>
      <c r="X69" s="304"/>
      <c r="Y69" s="24">
        <f>+PL!O47</f>
        <v>618420.63745686691</v>
      </c>
      <c r="Z69" s="306" t="s">
        <v>111</v>
      </c>
      <c r="AA69" s="308">
        <v>100</v>
      </c>
      <c r="AB69" s="310">
        <f>IF(Y70=0,"-",(Y69/Y70)*AA69)</f>
        <v>43.072081866627208</v>
      </c>
      <c r="AC69" s="304"/>
      <c r="AD69" s="24">
        <f>+PL!P47</f>
        <v>591324.48220652342</v>
      </c>
      <c r="AE69" s="306" t="s">
        <v>111</v>
      </c>
      <c r="AF69" s="308">
        <v>100</v>
      </c>
      <c r="AG69" s="310">
        <f>IF(AD70=0,"-",(AD69/AD70)*AF69)</f>
        <v>51.886637809759641</v>
      </c>
      <c r="AH69" s="304"/>
      <c r="AI69" s="24">
        <f>+PL!Q47</f>
        <v>560447.82669475616</v>
      </c>
      <c r="AJ69" s="306" t="s">
        <v>118</v>
      </c>
      <c r="AK69" s="308">
        <v>100</v>
      </c>
      <c r="AL69" s="310">
        <f>IF(AI70=0,"-",(AI69/AI70)*AK69)</f>
        <v>50.342471969553301</v>
      </c>
      <c r="AM69" s="304"/>
      <c r="AN69" s="24">
        <f>+PL!R47</f>
        <v>527774.22405469127</v>
      </c>
      <c r="AO69" s="306" t="s">
        <v>173</v>
      </c>
      <c r="AP69" s="308">
        <v>100</v>
      </c>
      <c r="AQ69" s="310">
        <f>IF(AN70=0,"-",(AN69/AN70)*AP69)</f>
        <v>44.776241823272905</v>
      </c>
      <c r="AR69" s="304"/>
      <c r="AS69" s="24">
        <f>+PL!S47</f>
        <v>570479.99702969973</v>
      </c>
      <c r="AT69" s="306" t="s">
        <v>111</v>
      </c>
      <c r="AU69" s="308">
        <v>100</v>
      </c>
      <c r="AV69" s="310">
        <f>IF(AS70=0,"-",(AS69/AS70)*AU69)</f>
        <v>50.764560316695196</v>
      </c>
      <c r="AW69" s="304"/>
      <c r="AX69" s="24">
        <f>+PL!T47</f>
        <v>1613999.9240946427</v>
      </c>
      <c r="AY69" s="306" t="s">
        <v>111</v>
      </c>
      <c r="AZ69" s="308">
        <v>100</v>
      </c>
      <c r="BA69" s="310">
        <f>IF(AX70=0,"-",(AX69/AX70)*AZ69)</f>
        <v>75.235483669269058</v>
      </c>
      <c r="BB69" s="304"/>
      <c r="BC69" s="24">
        <f>+PL!U47</f>
        <v>905353.32856549928</v>
      </c>
      <c r="BD69" s="306" t="s">
        <v>111</v>
      </c>
      <c r="BE69" s="308">
        <v>100</v>
      </c>
      <c r="BF69" s="310">
        <f>IF(BC70=0,"-",(BC69/BC70)*BE69)</f>
        <v>55.363537665709195</v>
      </c>
      <c r="BG69" s="304"/>
      <c r="BH69" s="24">
        <f>+PL!V47</f>
        <v>719794.83562371263</v>
      </c>
      <c r="BI69" s="306" t="s">
        <v>111</v>
      </c>
      <c r="BJ69" s="308">
        <v>100</v>
      </c>
      <c r="BK69" s="310">
        <f>IF(BH70=0,"-",(BH69/BH70)*BJ69)</f>
        <v>46.96467451814857</v>
      </c>
      <c r="BL69" s="304"/>
      <c r="BM69" s="24">
        <f>+PL!W47</f>
        <v>849825.85878663068</v>
      </c>
      <c r="BN69" s="306" t="s">
        <v>111</v>
      </c>
      <c r="BO69" s="308">
        <v>100</v>
      </c>
      <c r="BP69" s="310">
        <f>IF(BM70=0,"-",(BM69/BM70)*BO69)</f>
        <v>50.338693438547175</v>
      </c>
      <c r="BQ69" s="304"/>
      <c r="BR69" s="24">
        <f>+PL!X47</f>
        <v>911764.95167912007</v>
      </c>
      <c r="BS69" s="306" t="s">
        <v>111</v>
      </c>
      <c r="BT69" s="308">
        <v>100</v>
      </c>
      <c r="BU69" s="310">
        <f>IF(BR70=0,"-",(BR69/BR70)*BT69)</f>
        <v>50.66095227614268</v>
      </c>
      <c r="BV69" s="304"/>
      <c r="BW69" s="24">
        <f>+PL!Y47</f>
        <v>699780.50740053377</v>
      </c>
      <c r="BX69" s="306" t="s">
        <v>111</v>
      </c>
      <c r="BY69" s="308">
        <v>100</v>
      </c>
      <c r="BZ69" s="310">
        <f>IF(BW70=0,"-",(BW69/BW70)*BY69)</f>
        <v>46.633403738299279</v>
      </c>
      <c r="CA69" s="304"/>
      <c r="CB69" s="24">
        <f>+PL!Z47</f>
        <v>833345.75478684937</v>
      </c>
      <c r="CC69" s="306" t="s">
        <v>111</v>
      </c>
      <c r="CD69" s="308">
        <v>100</v>
      </c>
      <c r="CE69" s="310">
        <f>IF(CB70=0,"-",(CB69/CB70)*CD69)</f>
        <v>51.430610776792093</v>
      </c>
      <c r="CF69" s="304"/>
      <c r="CG69" s="24">
        <f>+PL!AA47</f>
        <v>824011.65966386534</v>
      </c>
      <c r="CH69" s="306" t="s">
        <v>173</v>
      </c>
      <c r="CI69" s="308">
        <v>100</v>
      </c>
      <c r="CJ69" s="310">
        <f>IF(CG70=0,"-",(CG69/CG70)*CI69)</f>
        <v>49.555677061452535</v>
      </c>
      <c r="CK69" s="304"/>
      <c r="CL69" s="24">
        <f>+PL!AB47</f>
        <v>744553.96208442259</v>
      </c>
      <c r="CM69" s="306" t="s">
        <v>111</v>
      </c>
      <c r="CN69" s="308">
        <v>100</v>
      </c>
      <c r="CO69" s="310">
        <f>IF(CL70=0,"-",(CL69/CL70)*CN69)</f>
        <v>50.982378187840652</v>
      </c>
      <c r="CP69" s="304"/>
      <c r="CQ69" s="24">
        <f>+PL!AC47</f>
        <v>696185.7605966893</v>
      </c>
      <c r="CR69" s="306" t="s">
        <v>111</v>
      </c>
      <c r="CS69" s="308">
        <v>100</v>
      </c>
      <c r="CT69" s="310">
        <f>IF(CQ70=0,"-",(CQ69/CQ70)*CS69)</f>
        <v>46.226187406828039</v>
      </c>
    </row>
    <row r="70" spans="1:98" ht="18" customHeight="1" x14ac:dyDescent="0.2">
      <c r="A70" s="17"/>
      <c r="B70" s="321"/>
      <c r="C70" s="323"/>
      <c r="D70" s="305"/>
      <c r="E70" s="25">
        <f>+E12</f>
        <v>1199263.5717076999</v>
      </c>
      <c r="F70" s="307"/>
      <c r="G70" s="309"/>
      <c r="H70" s="311"/>
      <c r="I70" s="305"/>
      <c r="J70" s="25">
        <f>+J12</f>
        <v>2634019.778099373</v>
      </c>
      <c r="K70" s="307"/>
      <c r="L70" s="309"/>
      <c r="M70" s="311"/>
      <c r="N70" s="305"/>
      <c r="O70" s="25">
        <f>+O12</f>
        <v>1348723.4490983936</v>
      </c>
      <c r="P70" s="307"/>
      <c r="Q70" s="309"/>
      <c r="R70" s="311"/>
      <c r="S70" s="305"/>
      <c r="T70" s="25">
        <f>+T12</f>
        <v>1056744.785635201</v>
      </c>
      <c r="U70" s="307"/>
      <c r="V70" s="309"/>
      <c r="W70" s="311"/>
      <c r="X70" s="305"/>
      <c r="Y70" s="25">
        <f>+Y12</f>
        <v>1435780.6975102983</v>
      </c>
      <c r="Z70" s="307"/>
      <c r="AA70" s="309"/>
      <c r="AB70" s="311"/>
      <c r="AC70" s="305"/>
      <c r="AD70" s="25">
        <f>+AD12</f>
        <v>1139646.9441218986</v>
      </c>
      <c r="AE70" s="307"/>
      <c r="AF70" s="309"/>
      <c r="AG70" s="311"/>
      <c r="AH70" s="305"/>
      <c r="AI70" s="25">
        <f>+AI12</f>
        <v>1113270.3754271546</v>
      </c>
      <c r="AJ70" s="307"/>
      <c r="AK70" s="309"/>
      <c r="AL70" s="311"/>
      <c r="AM70" s="305"/>
      <c r="AN70" s="25">
        <f>+AN12</f>
        <v>1178692.5444474781</v>
      </c>
      <c r="AO70" s="307"/>
      <c r="AP70" s="309"/>
      <c r="AQ70" s="311"/>
      <c r="AR70" s="305"/>
      <c r="AS70" s="25">
        <f>+AS12</f>
        <v>1123776.1018134595</v>
      </c>
      <c r="AT70" s="307"/>
      <c r="AU70" s="309"/>
      <c r="AV70" s="311"/>
      <c r="AW70" s="305"/>
      <c r="AX70" s="25">
        <f>+AX12</f>
        <v>2145264.2362076058</v>
      </c>
      <c r="AY70" s="307"/>
      <c r="AZ70" s="309"/>
      <c r="BA70" s="311"/>
      <c r="BB70" s="305"/>
      <c r="BC70" s="25">
        <f>+BC12</f>
        <v>1635288.0735911727</v>
      </c>
      <c r="BD70" s="307"/>
      <c r="BE70" s="309"/>
      <c r="BF70" s="311"/>
      <c r="BG70" s="305"/>
      <c r="BH70" s="25">
        <f>+BH12</f>
        <v>1532630.3077977516</v>
      </c>
      <c r="BI70" s="307"/>
      <c r="BJ70" s="309"/>
      <c r="BK70" s="311"/>
      <c r="BL70" s="305"/>
      <c r="BM70" s="25">
        <f>+BM12</f>
        <v>1688215.9641749286</v>
      </c>
      <c r="BN70" s="307"/>
      <c r="BO70" s="309"/>
      <c r="BP70" s="311"/>
      <c r="BQ70" s="305"/>
      <c r="BR70" s="25">
        <f>+BR12</f>
        <v>1799739.0706540067</v>
      </c>
      <c r="BS70" s="307"/>
      <c r="BT70" s="309"/>
      <c r="BU70" s="311"/>
      <c r="BV70" s="305"/>
      <c r="BW70" s="25">
        <f>+BW12</f>
        <v>1500599.2514027345</v>
      </c>
      <c r="BX70" s="307"/>
      <c r="BY70" s="309"/>
      <c r="BZ70" s="311"/>
      <c r="CA70" s="305"/>
      <c r="CB70" s="25">
        <f>+CB12</f>
        <v>1620330.270631151</v>
      </c>
      <c r="CC70" s="307"/>
      <c r="CD70" s="309"/>
      <c r="CE70" s="311"/>
      <c r="CF70" s="305"/>
      <c r="CG70" s="25">
        <f>+CG12</f>
        <v>1662799.7204881951</v>
      </c>
      <c r="CH70" s="307"/>
      <c r="CI70" s="309"/>
      <c r="CJ70" s="311"/>
      <c r="CK70" s="305"/>
      <c r="CL70" s="25">
        <f>+CL12</f>
        <v>1460414.3403063128</v>
      </c>
      <c r="CM70" s="307"/>
      <c r="CN70" s="309"/>
      <c r="CO70" s="311"/>
      <c r="CP70" s="305"/>
      <c r="CQ70" s="25">
        <f>+CQ12</f>
        <v>1506041.9205020922</v>
      </c>
      <c r="CR70" s="307"/>
      <c r="CS70" s="309"/>
      <c r="CT70" s="311"/>
    </row>
    <row r="71" spans="1:98" ht="18" customHeight="1" x14ac:dyDescent="0.2">
      <c r="A71" s="17"/>
      <c r="B71" s="320" t="s">
        <v>174</v>
      </c>
      <c r="C71" s="322" t="s">
        <v>175</v>
      </c>
      <c r="D71" s="304"/>
      <c r="E71" s="24">
        <f>+PL!K11+PL!K17</f>
        <v>237642.772567409</v>
      </c>
      <c r="F71" s="306" t="s">
        <v>118</v>
      </c>
      <c r="G71" s="308">
        <v>100</v>
      </c>
      <c r="H71" s="310">
        <f>IF(E72=0,"-",(E71/E72)*G71)</f>
        <v>42.257420078017496</v>
      </c>
      <c r="I71" s="304"/>
      <c r="J71" s="24">
        <f>+PL!L11+PL!L17</f>
        <v>311144.71780028939</v>
      </c>
      <c r="K71" s="306" t="s">
        <v>111</v>
      </c>
      <c r="L71" s="308">
        <v>100</v>
      </c>
      <c r="M71" s="310">
        <f>IF(J72=0,"-",(J71/J72)*L71)</f>
        <v>26.158586810212419</v>
      </c>
      <c r="N71" s="304"/>
      <c r="O71" s="24">
        <f>+PL!M11+PL!M17</f>
        <v>210316.33921638649</v>
      </c>
      <c r="P71" s="306" t="s">
        <v>111</v>
      </c>
      <c r="Q71" s="308">
        <v>100</v>
      </c>
      <c r="R71" s="310">
        <f>IF(O72=0,"-",(O71/O72)*Q71)</f>
        <v>46.221643893811212</v>
      </c>
      <c r="S71" s="304"/>
      <c r="T71" s="24">
        <f>+PL!N11+PL!N17</f>
        <v>183030.44467731169</v>
      </c>
      <c r="U71" s="306" t="s">
        <v>111</v>
      </c>
      <c r="V71" s="308">
        <v>100</v>
      </c>
      <c r="W71" s="310">
        <f>IF(T72=0,"-",(T71/T72)*V71)</f>
        <v>39.529747239547881</v>
      </c>
      <c r="X71" s="304"/>
      <c r="Y71" s="24">
        <f>+PL!O11+PL!O17</f>
        <v>212143.2607700532</v>
      </c>
      <c r="Z71" s="306" t="s">
        <v>111</v>
      </c>
      <c r="AA71" s="308">
        <v>100</v>
      </c>
      <c r="AB71" s="310">
        <f>IF(Y72=0,"-",(Y71/Y72)*AA71)</f>
        <v>34.30403966504911</v>
      </c>
      <c r="AC71" s="304"/>
      <c r="AD71" s="24">
        <f>+PL!P11+PL!P17</f>
        <v>192833.27693891514</v>
      </c>
      <c r="AE71" s="306" t="s">
        <v>111</v>
      </c>
      <c r="AF71" s="308">
        <v>100</v>
      </c>
      <c r="AG71" s="310">
        <f>IF(AD72=0,"-",(AD71/AD72)*AF71)</f>
        <v>32.610399660666687</v>
      </c>
      <c r="AH71" s="304"/>
      <c r="AI71" s="24">
        <f>+PL!Q11+PL!Q17</f>
        <v>243305.47841745819</v>
      </c>
      <c r="AJ71" s="306" t="s">
        <v>118</v>
      </c>
      <c r="AK71" s="308">
        <v>100</v>
      </c>
      <c r="AL71" s="310">
        <f>IF(AI72=0,"-",(AI71/AI72)*AK71)</f>
        <v>43.412690143229469</v>
      </c>
      <c r="AM71" s="304"/>
      <c r="AN71" s="24">
        <f>+PL!R11+PL!R17</f>
        <v>213549.70628525756</v>
      </c>
      <c r="AO71" s="306" t="s">
        <v>112</v>
      </c>
      <c r="AP71" s="308">
        <v>100</v>
      </c>
      <c r="AQ71" s="310">
        <f>IF(AN72=0,"-",(AN71/AN72)*AP71)</f>
        <v>40.462322059731399</v>
      </c>
      <c r="AR71" s="304"/>
      <c r="AS71" s="24">
        <f>+PL!S11+PL!S17</f>
        <v>192516.71942911844</v>
      </c>
      <c r="AT71" s="306" t="s">
        <v>111</v>
      </c>
      <c r="AU71" s="308">
        <v>100</v>
      </c>
      <c r="AV71" s="310">
        <f>IF(AS72=0,"-",(AS71/AS72)*AU71)</f>
        <v>33.74644517450028</v>
      </c>
      <c r="AW71" s="304"/>
      <c r="AX71" s="24">
        <f>+PL!T11+PL!T17</f>
        <v>252422.41276179414</v>
      </c>
      <c r="AY71" s="306" t="s">
        <v>111</v>
      </c>
      <c r="AZ71" s="308">
        <v>100</v>
      </c>
      <c r="BA71" s="310">
        <f>IF(AX72=0,"-",(AX71/AX72)*AZ71)</f>
        <v>15.639555429557284</v>
      </c>
      <c r="BB71" s="304"/>
      <c r="BC71" s="24">
        <f>+PL!U11+PL!U17</f>
        <v>204875.65048588364</v>
      </c>
      <c r="BD71" s="306" t="s">
        <v>111</v>
      </c>
      <c r="BE71" s="308">
        <v>100</v>
      </c>
      <c r="BF71" s="310">
        <f>IF(BC72=0,"-",(BC71/BC72)*BE71)</f>
        <v>22.629358508075732</v>
      </c>
      <c r="BG71" s="304"/>
      <c r="BH71" s="24">
        <f>+PL!V11+PL!V17</f>
        <v>242248.56063482765</v>
      </c>
      <c r="BI71" s="306" t="s">
        <v>111</v>
      </c>
      <c r="BJ71" s="308">
        <v>100</v>
      </c>
      <c r="BK71" s="310">
        <f>IF(BH72=0,"-",(BH71/BH72)*BJ71)</f>
        <v>33.655223495027684</v>
      </c>
      <c r="BL71" s="304"/>
      <c r="BM71" s="24">
        <f>+PL!W11+PL!W17</f>
        <v>280984.60931192467</v>
      </c>
      <c r="BN71" s="306" t="s">
        <v>111</v>
      </c>
      <c r="BO71" s="308">
        <v>100</v>
      </c>
      <c r="BP71" s="310">
        <f>IF(BM72=0,"-",(BM71/BM72)*BO71)</f>
        <v>33.063786704856277</v>
      </c>
      <c r="BQ71" s="304"/>
      <c r="BR71" s="24">
        <f>+PL!X11+PL!X17</f>
        <v>276778.64025289833</v>
      </c>
      <c r="BS71" s="306" t="s">
        <v>111</v>
      </c>
      <c r="BT71" s="308">
        <v>100</v>
      </c>
      <c r="BU71" s="310">
        <f>IF(BR72=0,"-",(BR71/BR72)*BT71)</f>
        <v>30.356358811904165</v>
      </c>
      <c r="BV71" s="304"/>
      <c r="BW71" s="24">
        <f>+PL!Y11+PL!Y17</f>
        <v>295212.60834335705</v>
      </c>
      <c r="BX71" s="306" t="s">
        <v>111</v>
      </c>
      <c r="BY71" s="308">
        <v>100</v>
      </c>
      <c r="BZ71" s="310">
        <f>IF(BW72=0,"-",(BW71/BW72)*BY71)</f>
        <v>42.186457785167491</v>
      </c>
      <c r="CA71" s="304"/>
      <c r="CB71" s="24">
        <f>+PL!Z11+PL!Z17</f>
        <v>268411.52989256079</v>
      </c>
      <c r="CC71" s="306" t="s">
        <v>111</v>
      </c>
      <c r="CD71" s="308">
        <v>100</v>
      </c>
      <c r="CE71" s="310">
        <f>IF(CB72=0,"-",(CB71/CB72)*CD71)</f>
        <v>32.208903489430298</v>
      </c>
      <c r="CF71" s="304"/>
      <c r="CG71" s="24">
        <f>+PL!AA11+PL!AA17</f>
        <v>276525.8807523009</v>
      </c>
      <c r="CH71" s="306" t="s">
        <v>112</v>
      </c>
      <c r="CI71" s="308">
        <v>100</v>
      </c>
      <c r="CJ71" s="310">
        <f>IF(CG72=0,"-",(CG71/CG72)*CI71)</f>
        <v>33.558491255463863</v>
      </c>
      <c r="CK71" s="304"/>
      <c r="CL71" s="24">
        <f>+PL!AB11+PL!AB17</f>
        <v>247374.16268210683</v>
      </c>
      <c r="CM71" s="306" t="s">
        <v>111</v>
      </c>
      <c r="CN71" s="308">
        <v>100</v>
      </c>
      <c r="CO71" s="310">
        <f>IF(CL72=0,"-",(CL71/CL72)*CN71)</f>
        <v>33.224477375631487</v>
      </c>
      <c r="CP71" s="304"/>
      <c r="CQ71" s="24">
        <f>+PL!AC11+PL!AC17</f>
        <v>247410.7764235037</v>
      </c>
      <c r="CR71" s="306" t="s">
        <v>111</v>
      </c>
      <c r="CS71" s="308">
        <v>100</v>
      </c>
      <c r="CT71" s="310">
        <f>IF(CQ72=0,"-",(CQ71/CQ72)*CS71)</f>
        <v>35.538040337316296</v>
      </c>
    </row>
    <row r="72" spans="1:98" ht="18" customHeight="1" x14ac:dyDescent="0.2">
      <c r="A72" s="17"/>
      <c r="B72" s="321"/>
      <c r="C72" s="323"/>
      <c r="D72" s="305"/>
      <c r="E72" s="25">
        <f>+E69</f>
        <v>562369.33567800059</v>
      </c>
      <c r="F72" s="307"/>
      <c r="G72" s="309"/>
      <c r="H72" s="311"/>
      <c r="I72" s="305"/>
      <c r="J72" s="25">
        <f>+J69</f>
        <v>1189455.3786782443</v>
      </c>
      <c r="K72" s="307"/>
      <c r="L72" s="309"/>
      <c r="M72" s="311"/>
      <c r="N72" s="305"/>
      <c r="O72" s="25">
        <f>+O69</f>
        <v>455017.00393772993</v>
      </c>
      <c r="P72" s="307"/>
      <c r="Q72" s="309"/>
      <c r="R72" s="311"/>
      <c r="S72" s="305"/>
      <c r="T72" s="25">
        <f>+T69</f>
        <v>463019.51684172999</v>
      </c>
      <c r="U72" s="307"/>
      <c r="V72" s="309"/>
      <c r="W72" s="311"/>
      <c r="X72" s="305"/>
      <c r="Y72" s="25">
        <f>+Y69</f>
        <v>618420.63745686691</v>
      </c>
      <c r="Z72" s="307"/>
      <c r="AA72" s="309"/>
      <c r="AB72" s="311"/>
      <c r="AC72" s="305"/>
      <c r="AD72" s="25">
        <f>+AD69</f>
        <v>591324.48220652342</v>
      </c>
      <c r="AE72" s="307"/>
      <c r="AF72" s="309"/>
      <c r="AG72" s="311"/>
      <c r="AH72" s="305"/>
      <c r="AI72" s="25">
        <f>+AI69</f>
        <v>560447.82669475616</v>
      </c>
      <c r="AJ72" s="307"/>
      <c r="AK72" s="309"/>
      <c r="AL72" s="311"/>
      <c r="AM72" s="305"/>
      <c r="AN72" s="25">
        <f>+AN69</f>
        <v>527774.22405469127</v>
      </c>
      <c r="AO72" s="307"/>
      <c r="AP72" s="309"/>
      <c r="AQ72" s="311"/>
      <c r="AR72" s="305"/>
      <c r="AS72" s="25">
        <f>+AS69</f>
        <v>570479.99702969973</v>
      </c>
      <c r="AT72" s="307"/>
      <c r="AU72" s="309"/>
      <c r="AV72" s="311"/>
      <c r="AW72" s="305"/>
      <c r="AX72" s="25">
        <f>+AX69</f>
        <v>1613999.9240946427</v>
      </c>
      <c r="AY72" s="307"/>
      <c r="AZ72" s="309"/>
      <c r="BA72" s="311"/>
      <c r="BB72" s="305"/>
      <c r="BC72" s="25">
        <f>+BC69</f>
        <v>905353.32856549928</v>
      </c>
      <c r="BD72" s="307"/>
      <c r="BE72" s="309"/>
      <c r="BF72" s="311"/>
      <c r="BG72" s="305"/>
      <c r="BH72" s="25">
        <f>+BH69</f>
        <v>719794.83562371263</v>
      </c>
      <c r="BI72" s="307"/>
      <c r="BJ72" s="309"/>
      <c r="BK72" s="311"/>
      <c r="BL72" s="305"/>
      <c r="BM72" s="25">
        <f>+BM69</f>
        <v>849825.85878663068</v>
      </c>
      <c r="BN72" s="307"/>
      <c r="BO72" s="309"/>
      <c r="BP72" s="311"/>
      <c r="BQ72" s="305"/>
      <c r="BR72" s="25">
        <f>+BR69</f>
        <v>911764.95167912007</v>
      </c>
      <c r="BS72" s="307"/>
      <c r="BT72" s="309"/>
      <c r="BU72" s="311"/>
      <c r="BV72" s="305"/>
      <c r="BW72" s="25">
        <f>+BW69</f>
        <v>699780.50740053377</v>
      </c>
      <c r="BX72" s="307"/>
      <c r="BY72" s="309"/>
      <c r="BZ72" s="311"/>
      <c r="CA72" s="305"/>
      <c r="CB72" s="25">
        <f>+CB69</f>
        <v>833345.75478684937</v>
      </c>
      <c r="CC72" s="307"/>
      <c r="CD72" s="309"/>
      <c r="CE72" s="311"/>
      <c r="CF72" s="305"/>
      <c r="CG72" s="25">
        <f>+CG69</f>
        <v>824011.65966386534</v>
      </c>
      <c r="CH72" s="307"/>
      <c r="CI72" s="309"/>
      <c r="CJ72" s="311"/>
      <c r="CK72" s="305"/>
      <c r="CL72" s="25">
        <f>+CL69</f>
        <v>744553.96208442259</v>
      </c>
      <c r="CM72" s="307"/>
      <c r="CN72" s="309"/>
      <c r="CO72" s="311"/>
      <c r="CP72" s="305"/>
      <c r="CQ72" s="25">
        <f>+CQ69</f>
        <v>696185.7605966893</v>
      </c>
      <c r="CR72" s="307"/>
      <c r="CS72" s="309"/>
      <c r="CT72" s="311"/>
    </row>
    <row r="73" spans="1:98" ht="18" customHeight="1" x14ac:dyDescent="0.2">
      <c r="A73" s="17"/>
      <c r="B73" s="320" t="s">
        <v>288</v>
      </c>
      <c r="C73" s="322" t="s">
        <v>176</v>
      </c>
      <c r="D73" s="304"/>
      <c r="E73" s="24">
        <f>+E69</f>
        <v>562369.33567800059</v>
      </c>
      <c r="F73" s="306" t="s">
        <v>177</v>
      </c>
      <c r="G73" s="308">
        <v>100</v>
      </c>
      <c r="H73" s="310">
        <f>IF(E74=0,"-",(E73/E74)*G73)</f>
        <v>43.934078266355399</v>
      </c>
      <c r="I73" s="304"/>
      <c r="J73" s="24">
        <f>+J69</f>
        <v>1189455.3786782443</v>
      </c>
      <c r="K73" s="306" t="s">
        <v>111</v>
      </c>
      <c r="L73" s="308">
        <v>100</v>
      </c>
      <c r="M73" s="310">
        <f>IF(J74=0,"-",(J73/J74)*L73)</f>
        <v>51.739900164657605</v>
      </c>
      <c r="N73" s="304"/>
      <c r="O73" s="24">
        <f>+O69</f>
        <v>455017.00393772993</v>
      </c>
      <c r="P73" s="306" t="s">
        <v>111</v>
      </c>
      <c r="Q73" s="308">
        <v>100</v>
      </c>
      <c r="R73" s="310">
        <f>IF(O74=0,"-",(O73/O74)*Q73)</f>
        <v>36.576486595310854</v>
      </c>
      <c r="S73" s="304"/>
      <c r="T73" s="24">
        <f>+T69</f>
        <v>463019.51684172999</v>
      </c>
      <c r="U73" s="306" t="s">
        <v>111</v>
      </c>
      <c r="V73" s="308">
        <v>100</v>
      </c>
      <c r="W73" s="310">
        <f>IF(T74=0,"-",(T73/T74)*V73)</f>
        <v>43.179925712972754</v>
      </c>
      <c r="X73" s="304"/>
      <c r="Y73" s="24">
        <f>+Y69</f>
        <v>618420.63745686691</v>
      </c>
      <c r="Z73" s="306" t="s">
        <v>111</v>
      </c>
      <c r="AA73" s="308">
        <v>100</v>
      </c>
      <c r="AB73" s="310">
        <f>IF(Y74=0,"-",(Y73/Y74)*AA73)</f>
        <v>41.099278114719922</v>
      </c>
      <c r="AC73" s="304"/>
      <c r="AD73" s="24">
        <f>+AD69</f>
        <v>591324.48220652342</v>
      </c>
      <c r="AE73" s="306" t="s">
        <v>111</v>
      </c>
      <c r="AF73" s="308">
        <v>100</v>
      </c>
      <c r="AG73" s="310">
        <f>IF(AD74=0,"-",(AD73/AD74)*AF73)</f>
        <v>49.899045783997593</v>
      </c>
      <c r="AH73" s="304"/>
      <c r="AI73" s="24">
        <f>+AI69</f>
        <v>560447.82669475616</v>
      </c>
      <c r="AJ73" s="306" t="s">
        <v>177</v>
      </c>
      <c r="AK73" s="308">
        <v>100</v>
      </c>
      <c r="AL73" s="310">
        <f>IF(AI74=0,"-",(AI73/AI74)*AK73)</f>
        <v>44.834031830975221</v>
      </c>
      <c r="AM73" s="304"/>
      <c r="AN73" s="24">
        <f>+AN69</f>
        <v>527774.22405469127</v>
      </c>
      <c r="AO73" s="306" t="s">
        <v>178</v>
      </c>
      <c r="AP73" s="308">
        <v>100</v>
      </c>
      <c r="AQ73" s="310">
        <f>IF(AN74=0,"-",(AN73/AN74)*AP73)</f>
        <v>40.895996081815909</v>
      </c>
      <c r="AR73" s="304"/>
      <c r="AS73" s="24">
        <f>+AS69</f>
        <v>570479.99702969973</v>
      </c>
      <c r="AT73" s="306" t="s">
        <v>111</v>
      </c>
      <c r="AU73" s="308">
        <v>100</v>
      </c>
      <c r="AV73" s="310">
        <f>IF(AS74=0,"-",(AS73/AS74)*AU73)</f>
        <v>40.715327441140992</v>
      </c>
      <c r="AW73" s="304"/>
      <c r="AX73" s="24">
        <f>+AX69</f>
        <v>1613999.9240946427</v>
      </c>
      <c r="AY73" s="306" t="s">
        <v>111</v>
      </c>
      <c r="AZ73" s="308">
        <v>100</v>
      </c>
      <c r="BA73" s="310">
        <f>IF(AX74=0,"-",(AX73/AX74)*AZ73)</f>
        <v>94.66714050464104</v>
      </c>
      <c r="BB73" s="304"/>
      <c r="BC73" s="24">
        <f>+BC69</f>
        <v>905353.32856549928</v>
      </c>
      <c r="BD73" s="306" t="s">
        <v>111</v>
      </c>
      <c r="BE73" s="308">
        <v>100</v>
      </c>
      <c r="BF73" s="310">
        <f>IF(BC74=0,"-",(BC73/BC74)*BE73)</f>
        <v>53.735184305359709</v>
      </c>
      <c r="BG73" s="304"/>
      <c r="BH73" s="24">
        <f>+BH69</f>
        <v>719794.83562371263</v>
      </c>
      <c r="BI73" s="306" t="s">
        <v>111</v>
      </c>
      <c r="BJ73" s="308">
        <v>100</v>
      </c>
      <c r="BK73" s="310">
        <f>IF(BH74=0,"-",(BH73/BH74)*BJ73)</f>
        <v>38.752231485500815</v>
      </c>
      <c r="BL73" s="304"/>
      <c r="BM73" s="24">
        <f>+BM69</f>
        <v>849825.85878663068</v>
      </c>
      <c r="BN73" s="306" t="s">
        <v>111</v>
      </c>
      <c r="BO73" s="308">
        <v>100</v>
      </c>
      <c r="BP73" s="310">
        <f>IF(BM74=0,"-",(BM73/BM74)*BO73)</f>
        <v>39.441358564320282</v>
      </c>
      <c r="BQ73" s="304"/>
      <c r="BR73" s="24">
        <f>+BR69</f>
        <v>911764.95167912007</v>
      </c>
      <c r="BS73" s="306" t="s">
        <v>111</v>
      </c>
      <c r="BT73" s="308">
        <v>100</v>
      </c>
      <c r="BU73" s="310">
        <f>IF(BR74=0,"-",(BR73/BR74)*BT73)</f>
        <v>41.478838461084308</v>
      </c>
      <c r="BV73" s="304"/>
      <c r="BW73" s="24">
        <f>+BW69</f>
        <v>699780.50740053377</v>
      </c>
      <c r="BX73" s="306" t="s">
        <v>111</v>
      </c>
      <c r="BY73" s="308">
        <v>100</v>
      </c>
      <c r="BZ73" s="310">
        <f>IF(BW74=0,"-",(BW73/BW74)*BY73)</f>
        <v>38.615735353079657</v>
      </c>
      <c r="CA73" s="304"/>
      <c r="CB73" s="24">
        <f>+CB69</f>
        <v>833345.75478684937</v>
      </c>
      <c r="CC73" s="306" t="s">
        <v>111</v>
      </c>
      <c r="CD73" s="308">
        <v>100</v>
      </c>
      <c r="CE73" s="310">
        <f>IF(CB74=0,"-",(CB73/CB74)*CD73)</f>
        <v>44.160111115316433</v>
      </c>
      <c r="CF73" s="304"/>
      <c r="CG73" s="24">
        <f>+CG69</f>
        <v>824011.65966386534</v>
      </c>
      <c r="CH73" s="306" t="s">
        <v>178</v>
      </c>
      <c r="CI73" s="308">
        <v>100</v>
      </c>
      <c r="CJ73" s="310">
        <f>IF(CG74=0,"-",(CG73/CG74)*CI73)</f>
        <v>39.63199196148036</v>
      </c>
      <c r="CK73" s="304"/>
      <c r="CL73" s="24">
        <f>+CL69</f>
        <v>744553.96208442259</v>
      </c>
      <c r="CM73" s="306" t="s">
        <v>111</v>
      </c>
      <c r="CN73" s="308">
        <v>100</v>
      </c>
      <c r="CO73" s="310">
        <f>IF(CL74=0,"-",(CL73/CL74)*CN73)</f>
        <v>37.368197378991177</v>
      </c>
      <c r="CP73" s="304"/>
      <c r="CQ73" s="24">
        <f>+CQ69</f>
        <v>696185.7605966893</v>
      </c>
      <c r="CR73" s="306" t="s">
        <v>111</v>
      </c>
      <c r="CS73" s="308">
        <v>100</v>
      </c>
      <c r="CT73" s="310">
        <f>IF(CQ74=0,"-",(CQ73/CQ74)*CS73)</f>
        <v>39.310894964453652</v>
      </c>
    </row>
    <row r="74" spans="1:98" ht="18" customHeight="1" x14ac:dyDescent="0.2">
      <c r="A74" s="17"/>
      <c r="B74" s="321"/>
      <c r="C74" s="323"/>
      <c r="D74" s="305"/>
      <c r="E74" s="25">
        <f>+E7</f>
        <v>1280029.8944900399</v>
      </c>
      <c r="F74" s="307"/>
      <c r="G74" s="309"/>
      <c r="H74" s="311"/>
      <c r="I74" s="305"/>
      <c r="J74" s="25">
        <f>+J7</f>
        <v>2298913.1693198266</v>
      </c>
      <c r="K74" s="307"/>
      <c r="L74" s="309"/>
      <c r="M74" s="311"/>
      <c r="N74" s="305"/>
      <c r="O74" s="25">
        <f>+O7</f>
        <v>1244015.0662148716</v>
      </c>
      <c r="P74" s="307"/>
      <c r="Q74" s="309"/>
      <c r="R74" s="311"/>
      <c r="S74" s="305"/>
      <c r="T74" s="25">
        <f>+T7</f>
        <v>1072302.7175163082</v>
      </c>
      <c r="U74" s="307"/>
      <c r="V74" s="309"/>
      <c r="W74" s="311"/>
      <c r="X74" s="305"/>
      <c r="Y74" s="25">
        <f>+Y7</f>
        <v>1504699.5125575608</v>
      </c>
      <c r="Z74" s="307"/>
      <c r="AA74" s="309"/>
      <c r="AB74" s="311"/>
      <c r="AC74" s="305"/>
      <c r="AD74" s="25">
        <f>+AD7</f>
        <v>1185041.6634543312</v>
      </c>
      <c r="AE74" s="307"/>
      <c r="AF74" s="309"/>
      <c r="AG74" s="311"/>
      <c r="AH74" s="305"/>
      <c r="AI74" s="25">
        <f>+AI7</f>
        <v>1250050.0263006692</v>
      </c>
      <c r="AJ74" s="307"/>
      <c r="AK74" s="309"/>
      <c r="AL74" s="311"/>
      <c r="AM74" s="305"/>
      <c r="AN74" s="25">
        <f>+AN7</f>
        <v>1290527.8624314081</v>
      </c>
      <c r="AO74" s="307"/>
      <c r="AP74" s="309"/>
      <c r="AQ74" s="311"/>
      <c r="AR74" s="305"/>
      <c r="AS74" s="25">
        <f>+AS7</f>
        <v>1401143.0900424384</v>
      </c>
      <c r="AT74" s="307"/>
      <c r="AU74" s="309"/>
      <c r="AV74" s="311"/>
      <c r="AW74" s="305"/>
      <c r="AX74" s="25">
        <f>+AX7</f>
        <v>1704920.9635898073</v>
      </c>
      <c r="AY74" s="307"/>
      <c r="AZ74" s="309"/>
      <c r="BA74" s="311"/>
      <c r="BB74" s="305"/>
      <c r="BC74" s="25">
        <f>+BC7</f>
        <v>1684842.6971435859</v>
      </c>
      <c r="BD74" s="307"/>
      <c r="BE74" s="309"/>
      <c r="BF74" s="311"/>
      <c r="BG74" s="305"/>
      <c r="BH74" s="25">
        <f>+BH7</f>
        <v>1857428.0964775525</v>
      </c>
      <c r="BI74" s="307"/>
      <c r="BJ74" s="309"/>
      <c r="BK74" s="311"/>
      <c r="BL74" s="305"/>
      <c r="BM74" s="25">
        <f>+BM7</f>
        <v>2154656.6592039405</v>
      </c>
      <c r="BN74" s="307"/>
      <c r="BO74" s="309"/>
      <c r="BP74" s="311"/>
      <c r="BQ74" s="305"/>
      <c r="BR74" s="25">
        <f>+BR7</f>
        <v>2198144.850498992</v>
      </c>
      <c r="BS74" s="307"/>
      <c r="BT74" s="309"/>
      <c r="BU74" s="311"/>
      <c r="BV74" s="305"/>
      <c r="BW74" s="25">
        <f>+BW7</f>
        <v>1812164.1372413367</v>
      </c>
      <c r="BX74" s="307"/>
      <c r="BY74" s="309"/>
      <c r="BZ74" s="311"/>
      <c r="CA74" s="305"/>
      <c r="CB74" s="25">
        <f>+CB7</f>
        <v>1887100.6746579786</v>
      </c>
      <c r="CC74" s="307"/>
      <c r="CD74" s="309"/>
      <c r="CE74" s="311"/>
      <c r="CF74" s="305"/>
      <c r="CG74" s="25">
        <f>+CG7</f>
        <v>2079157.8189275709</v>
      </c>
      <c r="CH74" s="307"/>
      <c r="CI74" s="309"/>
      <c r="CJ74" s="311"/>
      <c r="CK74" s="305"/>
      <c r="CL74" s="25">
        <f>+CL7</f>
        <v>1992480.2754949569</v>
      </c>
      <c r="CM74" s="307"/>
      <c r="CN74" s="309"/>
      <c r="CO74" s="311"/>
      <c r="CP74" s="305"/>
      <c r="CQ74" s="25">
        <f>+CQ7</f>
        <v>1770974.0804074949</v>
      </c>
      <c r="CR74" s="307"/>
      <c r="CS74" s="309"/>
      <c r="CT74" s="311"/>
    </row>
    <row r="75" spans="1:98" ht="18" customHeight="1" x14ac:dyDescent="0.2">
      <c r="A75" s="17"/>
      <c r="B75" s="320" t="s">
        <v>179</v>
      </c>
      <c r="C75" s="322" t="s">
        <v>130</v>
      </c>
      <c r="D75" s="304"/>
      <c r="E75" s="24">
        <f>+E73</f>
        <v>562369.33567800059</v>
      </c>
      <c r="F75" s="306"/>
      <c r="G75" s="308"/>
      <c r="H75" s="312">
        <f>IF(E76=0,"-",(E75/E76))</f>
        <v>12685.693520093828</v>
      </c>
      <c r="I75" s="304"/>
      <c r="J75" s="24">
        <f>+J73</f>
        <v>1189455.3786782443</v>
      </c>
      <c r="K75" s="306"/>
      <c r="L75" s="308"/>
      <c r="M75" s="312">
        <f>IF(J76=0,"-",(J75/J76))</f>
        <v>21856.015245861683</v>
      </c>
      <c r="N75" s="304"/>
      <c r="O75" s="24">
        <f>+O73</f>
        <v>455017.00393772993</v>
      </c>
      <c r="P75" s="306"/>
      <c r="Q75" s="308"/>
      <c r="R75" s="312">
        <f>IF(O76=0,"-",(O75/O76))</f>
        <v>10482.455329804936</v>
      </c>
      <c r="S75" s="304"/>
      <c r="T75" s="24">
        <f>+T73</f>
        <v>463019.51684172999</v>
      </c>
      <c r="U75" s="306"/>
      <c r="V75" s="308"/>
      <c r="W75" s="312">
        <f>IF(T76=0,"-",(T75/T76))</f>
        <v>11719.942176911227</v>
      </c>
      <c r="X75" s="304"/>
      <c r="Y75" s="24">
        <f>+Y73</f>
        <v>618420.63745686691</v>
      </c>
      <c r="Z75" s="306"/>
      <c r="AA75" s="308"/>
      <c r="AB75" s="312">
        <f>IF(Y76=0,"-",(Y75/Y76))</f>
        <v>12455.948994160368</v>
      </c>
      <c r="AC75" s="304"/>
      <c r="AD75" s="24">
        <f>+AD73</f>
        <v>591324.48220652342</v>
      </c>
      <c r="AE75" s="306"/>
      <c r="AF75" s="308"/>
      <c r="AG75" s="312">
        <f>IF(AD76=0,"-",(AD75/AD76))</f>
        <v>14630.772308949043</v>
      </c>
      <c r="AH75" s="304"/>
      <c r="AI75" s="24">
        <f>+AI73</f>
        <v>560447.82669475616</v>
      </c>
      <c r="AJ75" s="306"/>
      <c r="AK75" s="308"/>
      <c r="AL75" s="312">
        <f>IF(AI76=0,"-",(AI75/AI76))</f>
        <v>12637.91021641212</v>
      </c>
      <c r="AM75" s="304"/>
      <c r="AN75" s="24">
        <f>+AN73</f>
        <v>527774.22405469127</v>
      </c>
      <c r="AO75" s="306"/>
      <c r="AP75" s="308"/>
      <c r="AQ75" s="312">
        <f>IF(AN76=0,"-",(AN75/AN76))</f>
        <v>13623.968785804069</v>
      </c>
      <c r="AR75" s="304"/>
      <c r="AS75" s="24">
        <f>+AS73</f>
        <v>570479.99702969973</v>
      </c>
      <c r="AT75" s="306"/>
      <c r="AU75" s="308"/>
      <c r="AV75" s="312">
        <f>IF(AS76=0,"-",(AS75/AS76))</f>
        <v>13777.56449269857</v>
      </c>
      <c r="AW75" s="304"/>
      <c r="AX75" s="24">
        <f>+AX73</f>
        <v>1613999.9240946427</v>
      </c>
      <c r="AY75" s="306"/>
      <c r="AZ75" s="308"/>
      <c r="BA75" s="312">
        <f>IF(AX76=0,"-",(AX75/AX76))</f>
        <v>28310.607824127026</v>
      </c>
      <c r="BB75" s="304"/>
      <c r="BC75" s="24">
        <f>+BC73</f>
        <v>905353.32856549928</v>
      </c>
      <c r="BD75" s="306"/>
      <c r="BE75" s="308"/>
      <c r="BF75" s="312">
        <f>IF(BC76=0,"-",(BC75/BC76))</f>
        <v>18226.511471887265</v>
      </c>
      <c r="BG75" s="304"/>
      <c r="BH75" s="24">
        <f>+BH73</f>
        <v>719794.83562371263</v>
      </c>
      <c r="BI75" s="306"/>
      <c r="BJ75" s="308"/>
      <c r="BK75" s="312">
        <f>IF(BH76=0,"-",(BH75/BH76))</f>
        <v>14173.102158129495</v>
      </c>
      <c r="BL75" s="304"/>
      <c r="BM75" s="24">
        <f>+BM73</f>
        <v>849825.85878663068</v>
      </c>
      <c r="BN75" s="306"/>
      <c r="BO75" s="308"/>
      <c r="BP75" s="312">
        <f>IF(BM76=0,"-",(BM75/BM76))</f>
        <v>15007.741090683379</v>
      </c>
      <c r="BQ75" s="304"/>
      <c r="BR75" s="24">
        <f>+BR73</f>
        <v>911764.95167912007</v>
      </c>
      <c r="BS75" s="306"/>
      <c r="BT75" s="308"/>
      <c r="BU75" s="312">
        <f>IF(BR76=0,"-",(BR75/BR76))</f>
        <v>15091.003147685797</v>
      </c>
      <c r="BV75" s="304"/>
      <c r="BW75" s="24">
        <f>+BW73</f>
        <v>699780.50740053377</v>
      </c>
      <c r="BX75" s="306"/>
      <c r="BY75" s="308"/>
      <c r="BZ75" s="312">
        <f>IF(BW76=0,"-",(BW75/BW76))</f>
        <v>12962.511667736797</v>
      </c>
      <c r="CA75" s="304"/>
      <c r="CB75" s="24">
        <f>+CB73</f>
        <v>833345.75478684937</v>
      </c>
      <c r="CC75" s="306"/>
      <c r="CD75" s="308"/>
      <c r="CE75" s="312">
        <f>IF(CB76=0,"-",(CB75/CB76))</f>
        <v>17038.21625151562</v>
      </c>
      <c r="CF75" s="304"/>
      <c r="CG75" s="24">
        <f>+CG73</f>
        <v>824011.65966386534</v>
      </c>
      <c r="CH75" s="306"/>
      <c r="CI75" s="308"/>
      <c r="CJ75" s="312">
        <f>IF(CG76=0,"-",(CG75/CG76))</f>
        <v>15864.263028547432</v>
      </c>
      <c r="CK75" s="304"/>
      <c r="CL75" s="24">
        <f>+CL73</f>
        <v>744553.96208442259</v>
      </c>
      <c r="CM75" s="306"/>
      <c r="CN75" s="308"/>
      <c r="CO75" s="312">
        <f>IF(CL76=0,"-",(CL75/CL76))</f>
        <v>15037.749257796431</v>
      </c>
      <c r="CP75" s="304"/>
      <c r="CQ75" s="24">
        <f>+CQ73</f>
        <v>696185.7605966893</v>
      </c>
      <c r="CR75" s="306"/>
      <c r="CS75" s="308"/>
      <c r="CT75" s="312">
        <f>IF(CQ76=0,"-",(CQ75/CQ76))</f>
        <v>14560.654445700027</v>
      </c>
    </row>
    <row r="76" spans="1:98" ht="18" customHeight="1" x14ac:dyDescent="0.2">
      <c r="A76" s="21"/>
      <c r="B76" s="321"/>
      <c r="C76" s="323"/>
      <c r="D76" s="305"/>
      <c r="E76" s="25">
        <f>+PL!K5</f>
        <v>44.330988667448203</v>
      </c>
      <c r="F76" s="307"/>
      <c r="G76" s="309"/>
      <c r="H76" s="313"/>
      <c r="I76" s="305"/>
      <c r="J76" s="25">
        <f>+PL!L5</f>
        <v>54.422334780511335</v>
      </c>
      <c r="K76" s="307"/>
      <c r="L76" s="309"/>
      <c r="M76" s="313"/>
      <c r="N76" s="305"/>
      <c r="O76" s="25">
        <f>+PL!M5</f>
        <v>43.407483229999812</v>
      </c>
      <c r="P76" s="307"/>
      <c r="Q76" s="309"/>
      <c r="R76" s="313"/>
      <c r="S76" s="305"/>
      <c r="T76" s="25">
        <f>+PL!N5</f>
        <v>39.506979629464183</v>
      </c>
      <c r="U76" s="307"/>
      <c r="V76" s="309"/>
      <c r="W76" s="313"/>
      <c r="X76" s="305"/>
      <c r="Y76" s="25">
        <f>+PL!O5</f>
        <v>49.648616716943572</v>
      </c>
      <c r="Z76" s="307"/>
      <c r="AA76" s="309"/>
      <c r="AB76" s="313"/>
      <c r="AC76" s="305"/>
      <c r="AD76" s="25">
        <f>+PL!P5</f>
        <v>40.416491332096975</v>
      </c>
      <c r="AE76" s="307"/>
      <c r="AF76" s="309"/>
      <c r="AG76" s="313"/>
      <c r="AH76" s="305"/>
      <c r="AI76" s="25">
        <f>+PL!Q5</f>
        <v>44.346558655475739</v>
      </c>
      <c r="AJ76" s="307"/>
      <c r="AK76" s="309"/>
      <c r="AL76" s="313"/>
      <c r="AM76" s="305"/>
      <c r="AN76" s="25">
        <f>+PL!R5</f>
        <v>38.738654818750213</v>
      </c>
      <c r="AO76" s="307"/>
      <c r="AP76" s="309"/>
      <c r="AQ76" s="313"/>
      <c r="AR76" s="305"/>
      <c r="AS76" s="25">
        <f>+PL!S5</f>
        <v>41.406447223094183</v>
      </c>
      <c r="AT76" s="307"/>
      <c r="AU76" s="309"/>
      <c r="AV76" s="313"/>
      <c r="AW76" s="305"/>
      <c r="AX76" s="25">
        <f>+PL!T5</f>
        <v>57.010429946302693</v>
      </c>
      <c r="AY76" s="307"/>
      <c r="AZ76" s="309"/>
      <c r="BA76" s="313"/>
      <c r="BB76" s="305"/>
      <c r="BC76" s="25">
        <f>+PL!U5</f>
        <v>49.672331974328955</v>
      </c>
      <c r="BD76" s="307"/>
      <c r="BE76" s="309"/>
      <c r="BF76" s="313"/>
      <c r="BG76" s="305"/>
      <c r="BH76" s="25">
        <f>+PL!V5</f>
        <v>50.785976675603671</v>
      </c>
      <c r="BI76" s="307"/>
      <c r="BJ76" s="309"/>
      <c r="BK76" s="313"/>
      <c r="BL76" s="305"/>
      <c r="BM76" s="25">
        <f>+PL!W5</f>
        <v>56.625834204602057</v>
      </c>
      <c r="BN76" s="307"/>
      <c r="BO76" s="309"/>
      <c r="BP76" s="313"/>
      <c r="BQ76" s="305"/>
      <c r="BR76" s="25">
        <f>+PL!X5</f>
        <v>60.417782884031745</v>
      </c>
      <c r="BS76" s="307"/>
      <c r="BT76" s="309"/>
      <c r="BU76" s="313"/>
      <c r="BV76" s="305"/>
      <c r="BW76" s="25">
        <f>+PL!Y5</f>
        <v>53.984947156673428</v>
      </c>
      <c r="BX76" s="307"/>
      <c r="BY76" s="309"/>
      <c r="BZ76" s="313"/>
      <c r="CA76" s="305"/>
      <c r="CB76" s="25">
        <f>+PL!Z5</f>
        <v>48.910387242720894</v>
      </c>
      <c r="CC76" s="307"/>
      <c r="CD76" s="309"/>
      <c r="CE76" s="313"/>
      <c r="CF76" s="305"/>
      <c r="CG76" s="25">
        <f>+PL!AA5</f>
        <v>51.941376550620248</v>
      </c>
      <c r="CH76" s="307"/>
      <c r="CI76" s="309"/>
      <c r="CJ76" s="313"/>
      <c r="CK76" s="305"/>
      <c r="CL76" s="25">
        <f>+PL!AB5</f>
        <v>49.512327231976094</v>
      </c>
      <c r="CM76" s="307"/>
      <c r="CN76" s="309"/>
      <c r="CO76" s="313"/>
      <c r="CP76" s="305"/>
      <c r="CQ76" s="25">
        <f>+PL!AC5</f>
        <v>47.812806985628526</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379257.13169206737</v>
      </c>
      <c r="F78" s="306" t="s">
        <v>168</v>
      </c>
      <c r="G78" s="308">
        <v>100</v>
      </c>
      <c r="H78" s="310">
        <f>IF(E79=0,"-",(E78/E79)*G78)</f>
        <v>29.628771431401784</v>
      </c>
      <c r="I78" s="304"/>
      <c r="J78" s="24">
        <f>+BS!L33+BS!L34+BS!L38+BS!L39+BS!L40</f>
        <v>256393.8736131211</v>
      </c>
      <c r="K78" s="306" t="s">
        <v>111</v>
      </c>
      <c r="L78" s="308">
        <v>100</v>
      </c>
      <c r="M78" s="310">
        <f>IF(J79=0,"-",(J78/J79)*L78)</f>
        <v>11.152829825624936</v>
      </c>
      <c r="N78" s="304"/>
      <c r="O78" s="24">
        <f>+BS!M33+BS!M34+BS!M38+BS!M39+BS!M40</f>
        <v>291007.93187650066</v>
      </c>
      <c r="P78" s="306" t="s">
        <v>111</v>
      </c>
      <c r="Q78" s="308">
        <v>100</v>
      </c>
      <c r="R78" s="310">
        <f>IF(O79=0,"-",(O78/O79)*Q78)</f>
        <v>23.392637258159745</v>
      </c>
      <c r="S78" s="304"/>
      <c r="T78" s="24">
        <f>+BS!N33+BS!N34+BS!N38+BS!N39+BS!N40</f>
        <v>318092.17977200239</v>
      </c>
      <c r="U78" s="306" t="s">
        <v>111</v>
      </c>
      <c r="V78" s="308">
        <v>100</v>
      </c>
      <c r="W78" s="310">
        <f>IF(T79=0,"-",(T78/T79)*V78)</f>
        <v>29.66440115984922</v>
      </c>
      <c r="X78" s="304"/>
      <c r="Y78" s="24">
        <f>+BS!O33+BS!O34+BS!O38+BS!O39+BS!O40</f>
        <v>333567.43411674321</v>
      </c>
      <c r="Z78" s="306" t="s">
        <v>111</v>
      </c>
      <c r="AA78" s="308">
        <v>100</v>
      </c>
      <c r="AB78" s="310">
        <f>IF(Y79=0,"-",(Y78/Y79)*AA78)</f>
        <v>22.168375235914947</v>
      </c>
      <c r="AC78" s="304"/>
      <c r="AD78" s="24">
        <f>+BS!P33+BS!P34+BS!P38+BS!P39+BS!P40</f>
        <v>386044.43619669264</v>
      </c>
      <c r="AE78" s="306" t="s">
        <v>111</v>
      </c>
      <c r="AF78" s="308">
        <v>100</v>
      </c>
      <c r="AG78" s="310">
        <f>IF(AD79=0,"-",(AD78/AD79)*AF78)</f>
        <v>32.576444196180773</v>
      </c>
      <c r="AH78" s="304"/>
      <c r="AI78" s="24">
        <f>+BS!Q33+BS!Q34+BS!Q38+BS!Q39+BS!Q40</f>
        <v>390689.73181954073</v>
      </c>
      <c r="AJ78" s="306" t="s">
        <v>168</v>
      </c>
      <c r="AK78" s="308">
        <v>100</v>
      </c>
      <c r="AL78" s="310">
        <f>IF(AI79=0,"-",(AI78/AI79)*AK78)</f>
        <v>31.253927730854652</v>
      </c>
      <c r="AM78" s="304"/>
      <c r="AN78" s="24">
        <f>+BS!R33+BS!R34+BS!R38+BS!R39+BS!R40</f>
        <v>369604.07822951552</v>
      </c>
      <c r="AO78" s="306" t="s">
        <v>168</v>
      </c>
      <c r="AP78" s="308">
        <v>100</v>
      </c>
      <c r="AQ78" s="310">
        <f>IF(AN79=0,"-",(AN78/AN79)*AP78)</f>
        <v>28.63975966649539</v>
      </c>
      <c r="AR78" s="304"/>
      <c r="AS78" s="24">
        <f>+BS!S33+BS!S34+BS!S38+BS!S39+BS!S40</f>
        <v>366954.64369811921</v>
      </c>
      <c r="AT78" s="306" t="s">
        <v>111</v>
      </c>
      <c r="AU78" s="308">
        <v>100</v>
      </c>
      <c r="AV78" s="310">
        <f>IF(AS79=0,"-",(AS78/AS79)*AU78)</f>
        <v>26.189662305439821</v>
      </c>
      <c r="AW78" s="304"/>
      <c r="AX78" s="24">
        <f>+BS!T33+BS!T34+BS!T38+BS!T39+BS!T40</f>
        <v>342768.54391527612</v>
      </c>
      <c r="AY78" s="306" t="s">
        <v>111</v>
      </c>
      <c r="AZ78" s="308">
        <v>100</v>
      </c>
      <c r="BA78" s="310">
        <f>IF(AX79=0,"-",(AX78/AX79)*AZ78)</f>
        <v>20.104658880700114</v>
      </c>
      <c r="BB78" s="304"/>
      <c r="BC78" s="24">
        <f>+BS!U33+BS!U34+BS!U38+BS!U39+BS!U40</f>
        <v>373750.31680954457</v>
      </c>
      <c r="BD78" s="306" t="s">
        <v>111</v>
      </c>
      <c r="BE78" s="308">
        <v>100</v>
      </c>
      <c r="BF78" s="310">
        <f>IF(BC79=0,"-",(BC78/BC79)*BE78)</f>
        <v>22.183098602806407</v>
      </c>
      <c r="BG78" s="304"/>
      <c r="BH78" s="24">
        <f>+BS!V33+BS!V34+BS!V38+BS!V39+BS!V40</f>
        <v>337028.82412484672</v>
      </c>
      <c r="BI78" s="306" t="s">
        <v>111</v>
      </c>
      <c r="BJ78" s="308">
        <v>100</v>
      </c>
      <c r="BK78" s="310">
        <f>IF(BH79=0,"-",(BH78/BH79)*BJ78)</f>
        <v>18.144919028843805</v>
      </c>
      <c r="BL78" s="304"/>
      <c r="BM78" s="24">
        <f>+BS!W33+BS!W34+BS!W38+BS!W39+BS!W40</f>
        <v>407612.6902739646</v>
      </c>
      <c r="BN78" s="306" t="s">
        <v>111</v>
      </c>
      <c r="BO78" s="308">
        <v>100</v>
      </c>
      <c r="BP78" s="310">
        <f>IF(BM79=0,"-",(BM78/BM79)*BO78)</f>
        <v>18.917756039357155</v>
      </c>
      <c r="BQ78" s="304"/>
      <c r="BR78" s="24">
        <f>+BS!X33+BS!X34+BS!X38+BS!X39+BS!X40</f>
        <v>385107.64887437789</v>
      </c>
      <c r="BS78" s="306" t="s">
        <v>111</v>
      </c>
      <c r="BT78" s="308">
        <v>100</v>
      </c>
      <c r="BU78" s="310">
        <f>IF(BR79=0,"-",(BR78/BR79)*BT78)</f>
        <v>17.519666585528071</v>
      </c>
      <c r="BV78" s="304"/>
      <c r="BW78" s="24">
        <f>+BS!Y33+BS!Y34+BS!Y38+BS!Y39+BS!Y40</f>
        <v>344510.06405176228</v>
      </c>
      <c r="BX78" s="306" t="s">
        <v>111</v>
      </c>
      <c r="BY78" s="308">
        <v>100</v>
      </c>
      <c r="BZ78" s="310">
        <f>IF(BW79=0,"-",(BW78/BW79)*BY78)</f>
        <v>19.010974611616092</v>
      </c>
      <c r="CA78" s="304"/>
      <c r="CB78" s="24">
        <f>+BS!Z33+BS!Z34+BS!Z38+BS!Z39+BS!Z40</f>
        <v>471874.52009618795</v>
      </c>
      <c r="CC78" s="306" t="s">
        <v>111</v>
      </c>
      <c r="CD78" s="308">
        <v>100</v>
      </c>
      <c r="CE78" s="310">
        <f>IF(CB79=0,"-",(CB78/CB79)*CD78)</f>
        <v>25.005264765840394</v>
      </c>
      <c r="CF78" s="304"/>
      <c r="CG78" s="24">
        <f>+BS!AA33+BS!AA34+BS!AA38+BS!AA39+BS!AA40</f>
        <v>349607.97639055626</v>
      </c>
      <c r="CH78" s="306" t="s">
        <v>168</v>
      </c>
      <c r="CI78" s="308">
        <v>100</v>
      </c>
      <c r="CJ78" s="310">
        <f>IF(CG79=0,"-",(CG78/CG79)*CI78)</f>
        <v>16.814884046218481</v>
      </c>
      <c r="CK78" s="304"/>
      <c r="CL78" s="24">
        <f>+BS!AB33+BS!AB34+BS!AB38+BS!AB39+BS!AB40</f>
        <v>373703.94919686223</v>
      </c>
      <c r="CM78" s="306" t="s">
        <v>111</v>
      </c>
      <c r="CN78" s="308">
        <v>100</v>
      </c>
      <c r="CO78" s="310">
        <f>IF(CL79=0,"-",(CL78/CL79)*CN78)</f>
        <v>18.755716369841078</v>
      </c>
      <c r="CP78" s="304"/>
      <c r="CQ78" s="24">
        <f>+BS!AC33+BS!AC34+BS!AC38+BS!AC39+BS!AC40</f>
        <v>356928.57431326178</v>
      </c>
      <c r="CR78" s="306" t="s">
        <v>111</v>
      </c>
      <c r="CS78" s="308">
        <v>100</v>
      </c>
      <c r="CT78" s="310">
        <f>IF(CQ79=0,"-",(CQ78/CQ79)*CS78)</f>
        <v>20.154364666428869</v>
      </c>
    </row>
    <row r="79" spans="1:98" ht="18" customHeight="1" x14ac:dyDescent="0.2">
      <c r="A79" s="22"/>
      <c r="B79" s="321"/>
      <c r="C79" s="323"/>
      <c r="D79" s="305"/>
      <c r="E79" s="25">
        <f>+E7</f>
        <v>1280029.8944900399</v>
      </c>
      <c r="F79" s="307"/>
      <c r="G79" s="309"/>
      <c r="H79" s="311"/>
      <c r="I79" s="305"/>
      <c r="J79" s="25">
        <f>+J7</f>
        <v>2298913.1693198266</v>
      </c>
      <c r="K79" s="307"/>
      <c r="L79" s="309"/>
      <c r="M79" s="311"/>
      <c r="N79" s="305"/>
      <c r="O79" s="25">
        <f>+O7</f>
        <v>1244015.0662148716</v>
      </c>
      <c r="P79" s="307"/>
      <c r="Q79" s="309"/>
      <c r="R79" s="311"/>
      <c r="S79" s="305"/>
      <c r="T79" s="25">
        <f>+T7</f>
        <v>1072302.7175163082</v>
      </c>
      <c r="U79" s="307"/>
      <c r="V79" s="309"/>
      <c r="W79" s="311"/>
      <c r="X79" s="305"/>
      <c r="Y79" s="25">
        <f>+Y7</f>
        <v>1504699.5125575608</v>
      </c>
      <c r="Z79" s="307"/>
      <c r="AA79" s="309"/>
      <c r="AB79" s="311"/>
      <c r="AC79" s="305"/>
      <c r="AD79" s="25">
        <f>+AD7</f>
        <v>1185041.6634543312</v>
      </c>
      <c r="AE79" s="307"/>
      <c r="AF79" s="309"/>
      <c r="AG79" s="311"/>
      <c r="AH79" s="305"/>
      <c r="AI79" s="25">
        <f>+AI7</f>
        <v>1250050.0263006692</v>
      </c>
      <c r="AJ79" s="307"/>
      <c r="AK79" s="309"/>
      <c r="AL79" s="311"/>
      <c r="AM79" s="305"/>
      <c r="AN79" s="25">
        <f>+AN7</f>
        <v>1290527.8624314081</v>
      </c>
      <c r="AO79" s="307"/>
      <c r="AP79" s="309"/>
      <c r="AQ79" s="311"/>
      <c r="AR79" s="305"/>
      <c r="AS79" s="25">
        <f>+AS7</f>
        <v>1401143.0900424384</v>
      </c>
      <c r="AT79" s="307"/>
      <c r="AU79" s="309"/>
      <c r="AV79" s="311"/>
      <c r="AW79" s="305"/>
      <c r="AX79" s="25">
        <f>+AX7</f>
        <v>1704920.9635898073</v>
      </c>
      <c r="AY79" s="307"/>
      <c r="AZ79" s="309"/>
      <c r="BA79" s="311"/>
      <c r="BB79" s="305"/>
      <c r="BC79" s="25">
        <f>+BC7</f>
        <v>1684842.6971435859</v>
      </c>
      <c r="BD79" s="307"/>
      <c r="BE79" s="309"/>
      <c r="BF79" s="311"/>
      <c r="BG79" s="305"/>
      <c r="BH79" s="25">
        <f>+BH7</f>
        <v>1857428.0964775525</v>
      </c>
      <c r="BI79" s="307"/>
      <c r="BJ79" s="309"/>
      <c r="BK79" s="311"/>
      <c r="BL79" s="305"/>
      <c r="BM79" s="25">
        <f>+BM7</f>
        <v>2154656.6592039405</v>
      </c>
      <c r="BN79" s="307"/>
      <c r="BO79" s="309"/>
      <c r="BP79" s="311"/>
      <c r="BQ79" s="305"/>
      <c r="BR79" s="25">
        <f>+BR7</f>
        <v>2198144.850498992</v>
      </c>
      <c r="BS79" s="307"/>
      <c r="BT79" s="309"/>
      <c r="BU79" s="311"/>
      <c r="BV79" s="305"/>
      <c r="BW79" s="25">
        <f>+BW7</f>
        <v>1812164.1372413367</v>
      </c>
      <c r="BX79" s="307"/>
      <c r="BY79" s="309"/>
      <c r="BZ79" s="311"/>
      <c r="CA79" s="305"/>
      <c r="CB79" s="25">
        <f>+CB7</f>
        <v>1887100.6746579786</v>
      </c>
      <c r="CC79" s="307"/>
      <c r="CD79" s="309"/>
      <c r="CE79" s="311"/>
      <c r="CF79" s="305"/>
      <c r="CG79" s="25">
        <f>+CG7</f>
        <v>2079157.8189275709</v>
      </c>
      <c r="CH79" s="307"/>
      <c r="CI79" s="309"/>
      <c r="CJ79" s="311"/>
      <c r="CK79" s="305"/>
      <c r="CL79" s="25">
        <f>+CL7</f>
        <v>1992480.2754949569</v>
      </c>
      <c r="CM79" s="307"/>
      <c r="CN79" s="309"/>
      <c r="CO79" s="311"/>
      <c r="CP79" s="305"/>
      <c r="CQ79" s="25">
        <f>+CQ7</f>
        <v>1770974.0804074949</v>
      </c>
      <c r="CR79" s="307"/>
      <c r="CS79" s="309"/>
      <c r="CT79" s="311"/>
    </row>
    <row r="80" spans="1:98" ht="18" customHeight="1" x14ac:dyDescent="0.2">
      <c r="A80" s="20"/>
      <c r="B80" s="320" t="s">
        <v>573</v>
      </c>
      <c r="C80" s="322" t="s">
        <v>441</v>
      </c>
      <c r="D80" s="304"/>
      <c r="E80" s="24">
        <f>E78-BS!K10</f>
        <v>164008.20633059836</v>
      </c>
      <c r="F80" s="306"/>
      <c r="G80" s="308">
        <v>1</v>
      </c>
      <c r="H80" s="310">
        <f>IF(E81=0,"-",(E80/E81)*G80)</f>
        <v>4.2227220593428152</v>
      </c>
      <c r="I80" s="304"/>
      <c r="J80" s="24">
        <f>J78-BS!L10</f>
        <v>-35431.500241196307</v>
      </c>
      <c r="K80" s="306" t="s">
        <v>111</v>
      </c>
      <c r="L80" s="308">
        <v>1</v>
      </c>
      <c r="M80" s="310">
        <f>IF(J81=0,"-",(J80/J81)*L80)</f>
        <v>-0.50847522161570879</v>
      </c>
      <c r="N80" s="304"/>
      <c r="O80" s="24">
        <f>O78-BS!M10</f>
        <v>107292.86358916885</v>
      </c>
      <c r="P80" s="306" t="s">
        <v>111</v>
      </c>
      <c r="Q80" s="308">
        <v>1</v>
      </c>
      <c r="R80" s="310">
        <f>IF(O81=0,"-",(O80/O81)*Q80)</f>
        <v>4.6307777022155392</v>
      </c>
      <c r="S80" s="304"/>
      <c r="T80" s="24">
        <f>T78-BS!N9</f>
        <v>-262818.20762762695</v>
      </c>
      <c r="U80" s="306" t="s">
        <v>111</v>
      </c>
      <c r="V80" s="308">
        <v>1</v>
      </c>
      <c r="W80" s="310">
        <f>IF(T81=0,"-",(T80/T81)*V80)</f>
        <v>-9.9902880102023239</v>
      </c>
      <c r="X80" s="304"/>
      <c r="Y80" s="24">
        <f>Y78-BS!O10</f>
        <v>60851.031309559767</v>
      </c>
      <c r="Z80" s="306" t="s">
        <v>111</v>
      </c>
      <c r="AA80" s="308">
        <v>1</v>
      </c>
      <c r="AB80" s="310">
        <f>IF(Y81=0,"-",(Y80/Y81)*AA80)</f>
        <v>1.5175008736945694</v>
      </c>
      <c r="AC80" s="304"/>
      <c r="AD80" s="24">
        <f>AD78-BS!P10</f>
        <v>175369.79618083575</v>
      </c>
      <c r="AE80" s="306" t="s">
        <v>111</v>
      </c>
      <c r="AF80" s="308">
        <v>1</v>
      </c>
      <c r="AG80" s="310">
        <f>IF(AD81=0,"-",(AD80/AD81)*AF80)</f>
        <v>4.8873137037424961</v>
      </c>
      <c r="AH80" s="304"/>
      <c r="AI80" s="24">
        <f>AI78-BS!Q10</f>
        <v>170267.90962564971</v>
      </c>
      <c r="AJ80" s="306" t="s">
        <v>111</v>
      </c>
      <c r="AK80" s="308">
        <v>1</v>
      </c>
      <c r="AL80" s="310">
        <f>IF(AI81=0,"-",(AI80/AI81)*AK80)</f>
        <v>1.8651350511397302</v>
      </c>
      <c r="AM80" s="304"/>
      <c r="AN80" s="24">
        <f>AN78-BS!R10</f>
        <v>85789.273522377713</v>
      </c>
      <c r="AO80" s="306" t="s">
        <v>111</v>
      </c>
      <c r="AP80" s="308">
        <v>1</v>
      </c>
      <c r="AQ80" s="310">
        <f>IF(AN81=0,"-",(AN80/AN81)*AP80)</f>
        <v>0.66424403724093561</v>
      </c>
      <c r="AR80" s="304"/>
      <c r="AS80" s="24">
        <f>AS78-BS!S10</f>
        <v>62814.955483908358</v>
      </c>
      <c r="AT80" s="306" t="s">
        <v>111</v>
      </c>
      <c r="AU80" s="308">
        <v>1</v>
      </c>
      <c r="AV80" s="310">
        <f>IF(AS81=0,"-",(AS80/AS81)*AU80)</f>
        <v>0.56944376881016445</v>
      </c>
      <c r="AW80" s="304"/>
      <c r="AX80" s="24">
        <f>AX78-BS!T10</f>
        <v>232752.85276286496</v>
      </c>
      <c r="AY80" s="306" t="s">
        <v>111</v>
      </c>
      <c r="AZ80" s="308">
        <v>1</v>
      </c>
      <c r="BA80" s="310">
        <f>IF(AX81=0,"-",(AX80/AX81)*AZ80)</f>
        <v>1.3139256192356557</v>
      </c>
      <c r="BB80" s="304"/>
      <c r="BC80" s="24">
        <f>BC78-BS!U10</f>
        <v>138487.86676396386</v>
      </c>
      <c r="BD80" s="306" t="s">
        <v>111</v>
      </c>
      <c r="BE80" s="308">
        <v>1</v>
      </c>
      <c r="BF80" s="310">
        <f>IF(BC81=0,"-",(BC80/BC81)*BE80)</f>
        <v>0.90360162737424066</v>
      </c>
      <c r="BG80" s="304"/>
      <c r="BH80" s="24">
        <f>BH78-BS!V10</f>
        <v>-30655.358789933613</v>
      </c>
      <c r="BI80" s="306" t="s">
        <v>111</v>
      </c>
      <c r="BJ80" s="308">
        <v>1</v>
      </c>
      <c r="BK80" s="310">
        <f>IF(BH81=0,"-",(BH80/BH81)*BJ80)</f>
        <v>-0.22093821248227075</v>
      </c>
      <c r="BL80" s="304"/>
      <c r="BM80" s="24">
        <f>BM78-BS!W10</f>
        <v>-151076.49812415364</v>
      </c>
      <c r="BN80" s="306" t="s">
        <v>111</v>
      </c>
      <c r="BO80" s="308">
        <v>1</v>
      </c>
      <c r="BP80" s="310">
        <f>IF(BM81=0,"-",(BM80/BM81)*BO80)</f>
        <v>-0.97089839546928347</v>
      </c>
      <c r="BQ80" s="304"/>
      <c r="BR80" s="24">
        <f>BR78-BS!X10</f>
        <v>-314961.53121905803</v>
      </c>
      <c r="BS80" s="306" t="s">
        <v>111</v>
      </c>
      <c r="BT80" s="308">
        <v>1</v>
      </c>
      <c r="BU80" s="310">
        <f>IF(BR81=0,"-",(BR80/BR81)*BT80)</f>
        <v>-1.4727419252778335</v>
      </c>
      <c r="BV80" s="304"/>
      <c r="BW80" s="24">
        <f>BW78-BS!Y10</f>
        <v>-157902.89486866433</v>
      </c>
      <c r="BX80" s="306" t="s">
        <v>111</v>
      </c>
      <c r="BY80" s="308">
        <v>1</v>
      </c>
      <c r="BZ80" s="310">
        <f>IF(BW81=0,"-",(BW80/BW81)*BY80)</f>
        <v>-0.99891364745716227</v>
      </c>
      <c r="CA80" s="304"/>
      <c r="CB80" s="24">
        <f>CB78-BS!Z10</f>
        <v>57577.498880183208</v>
      </c>
      <c r="CC80" s="306" t="s">
        <v>111</v>
      </c>
      <c r="CD80" s="308">
        <v>1</v>
      </c>
      <c r="CE80" s="310">
        <f>IF(CB81=0,"-",(CB80/CB81)*CD80)</f>
        <v>0.35083604593393802</v>
      </c>
      <c r="CF80" s="304"/>
      <c r="CG80" s="24">
        <f>CG78-BS!AA10</f>
        <v>-6605.9189675870584</v>
      </c>
      <c r="CH80" s="306" t="s">
        <v>111</v>
      </c>
      <c r="CI80" s="308">
        <v>1</v>
      </c>
      <c r="CJ80" s="310">
        <f>IF(CG81=0,"-",(CG80/CG81)*CI80)</f>
        <v>-3.7982603377965454E-2</v>
      </c>
      <c r="CK80" s="304"/>
      <c r="CL80" s="24">
        <f>CL78-BS!AB10</f>
        <v>-99922.540717220691</v>
      </c>
      <c r="CM80" s="306" t="s">
        <v>111</v>
      </c>
      <c r="CN80" s="308">
        <v>1</v>
      </c>
      <c r="CO80" s="310">
        <f>IF(CL81=0,"-",(CL80/CL81)*CN80)</f>
        <v>-0.56465754518262468</v>
      </c>
      <c r="CP80" s="304"/>
      <c r="CQ80" s="24">
        <f>CQ78-BS!AC10</f>
        <v>-92744.606694560614</v>
      </c>
      <c r="CR80" s="306" t="s">
        <v>111</v>
      </c>
      <c r="CS80" s="308">
        <v>1</v>
      </c>
      <c r="CT80" s="310">
        <f>IF(CQ81=0,"-",(CQ80/CQ81)*CS80)</f>
        <v>-0.62896698844264531</v>
      </c>
    </row>
    <row r="81" spans="1:98" ht="18" customHeight="1" x14ac:dyDescent="0.2">
      <c r="A81" s="22"/>
      <c r="B81" s="321"/>
      <c r="C81" s="323"/>
      <c r="D81" s="305"/>
      <c r="E81" s="25">
        <f>PL!K28+PL!K13+PL!K24</f>
        <v>38839.450957405199</v>
      </c>
      <c r="F81" s="307"/>
      <c r="G81" s="309"/>
      <c r="H81" s="311"/>
      <c r="I81" s="305"/>
      <c r="J81" s="25">
        <f>PL!L28+PL!L13+PL!L24</f>
        <v>69681.862035697064</v>
      </c>
      <c r="K81" s="307"/>
      <c r="L81" s="309"/>
      <c r="M81" s="311"/>
      <c r="N81" s="305"/>
      <c r="O81" s="25">
        <f>PL!M28+PL!M13+PL!M24</f>
        <v>23169.512874227559</v>
      </c>
      <c r="P81" s="307"/>
      <c r="Q81" s="309"/>
      <c r="R81" s="311"/>
      <c r="S81" s="305"/>
      <c r="T81" s="25">
        <f>PL!N28+PL!N13+PL!N24</f>
        <v>26307.370454108095</v>
      </c>
      <c r="U81" s="307"/>
      <c r="V81" s="309"/>
      <c r="W81" s="311"/>
      <c r="X81" s="305"/>
      <c r="Y81" s="25">
        <f>PL!O28+PL!O13+PL!O24</f>
        <v>40099.503311262924</v>
      </c>
      <c r="Z81" s="307"/>
      <c r="AA81" s="309"/>
      <c r="AB81" s="311"/>
      <c r="AC81" s="305"/>
      <c r="AD81" s="25">
        <f>PL!P28+PL!P13+PL!P24</f>
        <v>35882.655956081777</v>
      </c>
      <c r="AE81" s="307"/>
      <c r="AF81" s="309"/>
      <c r="AG81" s="311"/>
      <c r="AH81" s="305"/>
      <c r="AI81" s="25">
        <f>PL!Q28+PL!Q13+PL!Q24</f>
        <v>91289.855671096797</v>
      </c>
      <c r="AJ81" s="307"/>
      <c r="AK81" s="309"/>
      <c r="AL81" s="311"/>
      <c r="AM81" s="305"/>
      <c r="AN81" s="25">
        <f>PL!R28+PL!R13+PL!R24</f>
        <v>129153.24596472079</v>
      </c>
      <c r="AO81" s="307"/>
      <c r="AP81" s="309"/>
      <c r="AQ81" s="311"/>
      <c r="AR81" s="305"/>
      <c r="AS81" s="25">
        <f>PL!S28+PL!S13+PL!S24</f>
        <v>110309.32099785429</v>
      </c>
      <c r="AT81" s="307"/>
      <c r="AU81" s="309"/>
      <c r="AV81" s="311"/>
      <c r="AW81" s="305"/>
      <c r="AX81" s="25">
        <f>PL!T28+PL!T13+PL!T24</f>
        <v>177143.09650059437</v>
      </c>
      <c r="AY81" s="307"/>
      <c r="AZ81" s="309"/>
      <c r="BA81" s="311"/>
      <c r="BB81" s="305"/>
      <c r="BC81" s="25">
        <f>PL!U28+PL!U13+PL!U24</f>
        <v>153262.08205976035</v>
      </c>
      <c r="BD81" s="307"/>
      <c r="BE81" s="309"/>
      <c r="BF81" s="311"/>
      <c r="BG81" s="305"/>
      <c r="BH81" s="25">
        <f>PL!V28+PL!W13+PL!W24</f>
        <v>138750.82289078247</v>
      </c>
      <c r="BI81" s="307"/>
      <c r="BJ81" s="309"/>
      <c r="BK81" s="311"/>
      <c r="BL81" s="305"/>
      <c r="BM81" s="25">
        <f>PL!W28+PL!W13+PL!W24</f>
        <v>155604.84889990045</v>
      </c>
      <c r="BN81" s="307"/>
      <c r="BO81" s="309"/>
      <c r="BP81" s="311"/>
      <c r="BQ81" s="305"/>
      <c r="BR81" s="25">
        <f>PL!X28+PL!X13+PL!X24</f>
        <v>213860.64035600831</v>
      </c>
      <c r="BS81" s="307"/>
      <c r="BT81" s="309"/>
      <c r="BU81" s="311"/>
      <c r="BV81" s="305"/>
      <c r="BW81" s="25">
        <f>PL!Y28+PL!Y13+PL!Y24</f>
        <v>158074.61963366147</v>
      </c>
      <c r="BX81" s="307"/>
      <c r="BY81" s="309"/>
      <c r="BZ81" s="311"/>
      <c r="CA81" s="305"/>
      <c r="CB81" s="25">
        <f>PL!Z28+PL!Z13+PL!Z24</f>
        <v>164115.11743871658</v>
      </c>
      <c r="CC81" s="307"/>
      <c r="CD81" s="309"/>
      <c r="CE81" s="311"/>
      <c r="CF81" s="305"/>
      <c r="CG81" s="25">
        <f>PL!AA28+PL!AA13+PL!AA24</f>
        <v>173919.59423769507</v>
      </c>
      <c r="CH81" s="307"/>
      <c r="CI81" s="309"/>
      <c r="CJ81" s="311"/>
      <c r="CK81" s="305"/>
      <c r="CL81" s="25">
        <f>PL!AB28+PL!AB13+PL!AB24</f>
        <v>176961.31322375793</v>
      </c>
      <c r="CM81" s="307"/>
      <c r="CN81" s="309"/>
      <c r="CO81" s="311"/>
      <c r="CP81" s="305"/>
      <c r="CQ81" s="25">
        <f>PL!AC28+PL!AC13+PL!AC24</f>
        <v>147455.44424231397</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１６　化学工業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723024.814380617</v>
      </c>
      <c r="F4" s="156">
        <f>BS!L9</f>
        <v>1451698.7457790643</v>
      </c>
      <c r="G4" s="156">
        <f>BS!M9</f>
        <v>730416.15619800403</v>
      </c>
      <c r="H4" s="156">
        <f>BS!N9</f>
        <v>580910.38739962934</v>
      </c>
      <c r="I4" s="156">
        <f>BS!O9</f>
        <v>884972.01158426353</v>
      </c>
      <c r="J4" s="156">
        <f>BS!P9</f>
        <v>734966.63359350374</v>
      </c>
      <c r="K4" s="156">
        <f>BS!Q9</f>
        <v>714047.6083432727</v>
      </c>
      <c r="L4" s="156">
        <f>BS!R9</f>
        <v>792999.32452253893</v>
      </c>
      <c r="M4" s="156">
        <f>BS!S9</f>
        <v>886407.5082656322</v>
      </c>
      <c r="N4" s="156">
        <f>BS!T9</f>
        <v>1103741.0603727486</v>
      </c>
      <c r="O4" s="156">
        <f>BS!U9</f>
        <v>1007245.3291933706</v>
      </c>
      <c r="P4" s="156">
        <f>BS!V9</f>
        <v>1090288.4997005861</v>
      </c>
      <c r="Q4" s="156">
        <f>BS!W9</f>
        <v>1413116.5461301659</v>
      </c>
      <c r="R4" s="156">
        <f>BS!X9</f>
        <v>1401520.4539959265</v>
      </c>
      <c r="S4" s="156">
        <f>BS!Y9</f>
        <v>1047878.1784269899</v>
      </c>
      <c r="T4" s="156">
        <f>BS!Z9</f>
        <v>1049164.9821349161</v>
      </c>
      <c r="U4" s="156">
        <f>BS!AA9</f>
        <v>1189437.9013605441</v>
      </c>
      <c r="V4" s="156">
        <f>BS!AB9</f>
        <v>1125375.7250653717</v>
      </c>
      <c r="W4" s="156">
        <f>BS!AC9</f>
        <v>1052124.488266327</v>
      </c>
    </row>
    <row r="5" spans="1:23" x14ac:dyDescent="0.2">
      <c r="A5" s="339"/>
      <c r="B5" s="339"/>
      <c r="C5" s="157" t="s">
        <v>387</v>
      </c>
      <c r="D5" s="204" t="s">
        <v>254</v>
      </c>
      <c r="E5" s="158">
        <f>BS!K15</f>
        <v>552425.1660805</v>
      </c>
      <c r="F5" s="158">
        <f>BS!L15</f>
        <v>846803.66618427401</v>
      </c>
      <c r="G5" s="158">
        <f>BS!M15</f>
        <v>508845.06590201269</v>
      </c>
      <c r="H5" s="158">
        <f>BS!N15</f>
        <v>489488.71104435821</v>
      </c>
      <c r="I5" s="158">
        <f>BS!O15</f>
        <v>604848.92805496161</v>
      </c>
      <c r="J5" s="158">
        <f>BS!P15</f>
        <v>449149.10800948722</v>
      </c>
      <c r="K5" s="158">
        <f>BS!Q15</f>
        <v>531896.49559552141</v>
      </c>
      <c r="L5" s="158">
        <f>BS!R15</f>
        <v>496629.69632398983</v>
      </c>
      <c r="M5" s="158">
        <f>BS!S15</f>
        <v>513463.3386591422</v>
      </c>
      <c r="N5" s="158">
        <f>BS!T15</f>
        <v>599841.27137208637</v>
      </c>
      <c r="O5" s="158">
        <f>BS!U15</f>
        <v>672972.41587468062</v>
      </c>
      <c r="P5" s="158">
        <f>BS!V15</f>
        <v>762505.46305860591</v>
      </c>
      <c r="Q5" s="158">
        <f>BS!W15</f>
        <v>740322.5087091059</v>
      </c>
      <c r="R5" s="158">
        <f>BS!X15</f>
        <v>793907.65587115404</v>
      </c>
      <c r="S5" s="158">
        <f>BS!Y15</f>
        <v>762507.84757310944</v>
      </c>
      <c r="T5" s="158">
        <f>BS!Z15</f>
        <v>832265.55400724709</v>
      </c>
      <c r="U5" s="158">
        <f>BS!AA15</f>
        <v>886993.23529411783</v>
      </c>
      <c r="V5" s="158">
        <f>BS!AB15</f>
        <v>864572.91240194242</v>
      </c>
      <c r="W5" s="158">
        <f>BS!AC15</f>
        <v>716107.40513007087</v>
      </c>
    </row>
    <row r="6" spans="1:23" x14ac:dyDescent="0.2">
      <c r="A6" s="339"/>
      <c r="B6" s="339"/>
      <c r="C6" s="157" t="s">
        <v>388</v>
      </c>
      <c r="D6" s="204" t="s">
        <v>254</v>
      </c>
      <c r="E6" s="158">
        <f>BS!K8</f>
        <v>1280029.8944900399</v>
      </c>
      <c r="F6" s="158">
        <f>BS!L8</f>
        <v>2298913.1693198266</v>
      </c>
      <c r="G6" s="158">
        <f>BS!M8</f>
        <v>1244015.0662148716</v>
      </c>
      <c r="H6" s="158">
        <f>BS!N8</f>
        <v>1072302.7175163082</v>
      </c>
      <c r="I6" s="158">
        <f>BS!O8</f>
        <v>1504699.5125575608</v>
      </c>
      <c r="J6" s="158">
        <f>BS!P8</f>
        <v>1185041.6634543312</v>
      </c>
      <c r="K6" s="158">
        <f>BS!Q8</f>
        <v>1250050.0263006692</v>
      </c>
      <c r="L6" s="158">
        <f>BS!R8</f>
        <v>1290527.8624314081</v>
      </c>
      <c r="M6" s="158">
        <f>BS!S8</f>
        <v>1401143.0900424384</v>
      </c>
      <c r="N6" s="158">
        <f>BS!T8</f>
        <v>1704920.9635898073</v>
      </c>
      <c r="O6" s="158">
        <f>BS!U8</f>
        <v>1684842.6971435859</v>
      </c>
      <c r="P6" s="158">
        <f>BS!V8</f>
        <v>1857428.0964775525</v>
      </c>
      <c r="Q6" s="158">
        <f>BS!W8</f>
        <v>2154656.6592039405</v>
      </c>
      <c r="R6" s="158">
        <f>BS!X8</f>
        <v>2198144.850498992</v>
      </c>
      <c r="S6" s="158">
        <f>BS!Y8</f>
        <v>1812164.1372413367</v>
      </c>
      <c r="T6" s="158">
        <f>BS!Z8</f>
        <v>1887100.6746579786</v>
      </c>
      <c r="U6" s="158">
        <f>BS!AA8</f>
        <v>2079157.8189275709</v>
      </c>
      <c r="V6" s="158">
        <f>BS!AB8</f>
        <v>1992480.2754949569</v>
      </c>
      <c r="W6" s="158">
        <f>BS!AC8</f>
        <v>1770974.0804074949</v>
      </c>
    </row>
    <row r="7" spans="1:23" x14ac:dyDescent="0.2">
      <c r="A7" s="339"/>
      <c r="B7" s="339"/>
      <c r="C7" s="157" t="s">
        <v>389</v>
      </c>
      <c r="D7" s="204" t="s">
        <v>254</v>
      </c>
      <c r="E7" s="158">
        <f>BS!K31</f>
        <v>438487.69050410303</v>
      </c>
      <c r="F7" s="158">
        <f>BS!L31</f>
        <v>646107.8147612157</v>
      </c>
      <c r="G7" s="158">
        <f>BS!M31</f>
        <v>450649.65695295081</v>
      </c>
      <c r="H7" s="158">
        <f>BS!N31</f>
        <v>381684.727987085</v>
      </c>
      <c r="I7" s="158">
        <f>BS!O31</f>
        <v>476407.63618073281</v>
      </c>
      <c r="J7" s="158">
        <f>BS!P31</f>
        <v>325496.44295917987</v>
      </c>
      <c r="K7" s="158">
        <f>BS!Q31</f>
        <v>344966.48215360742</v>
      </c>
      <c r="L7" s="158">
        <f>BS!R31</f>
        <v>419243.08164442942</v>
      </c>
      <c r="M7" s="158">
        <f>BS!S31</f>
        <v>411678.63974223257</v>
      </c>
      <c r="N7" s="158">
        <f>BS!T31</f>
        <v>648987.53234823782</v>
      </c>
      <c r="O7" s="158">
        <f>BS!U31</f>
        <v>454853.18951926258</v>
      </c>
      <c r="P7" s="158">
        <f>BS!V31</f>
        <v>444824.64797438617</v>
      </c>
      <c r="Q7" s="158">
        <f>BS!W31</f>
        <v>537172.58932243101</v>
      </c>
      <c r="R7" s="158">
        <f>BS!X31</f>
        <v>511831.6487416731</v>
      </c>
      <c r="S7" s="158">
        <f>BS!Y31</f>
        <v>444129.16164963483</v>
      </c>
      <c r="T7" s="158">
        <f>BS!Z31</f>
        <v>508245.18371759844</v>
      </c>
      <c r="U7" s="158">
        <f>BS!AA31</f>
        <v>518422.68507402955</v>
      </c>
      <c r="V7" s="158">
        <f>BS!AB31</f>
        <v>440113.85057900636</v>
      </c>
      <c r="W7" s="158">
        <f>BS!AC31</f>
        <v>465288.75004547939</v>
      </c>
    </row>
    <row r="8" spans="1:23" x14ac:dyDescent="0.2">
      <c r="A8" s="339"/>
      <c r="B8" s="339"/>
      <c r="C8" s="157" t="s">
        <v>390</v>
      </c>
      <c r="D8" s="204" t="s">
        <v>254</v>
      </c>
      <c r="E8" s="158">
        <f>BS!K37</f>
        <v>287992.18444704998</v>
      </c>
      <c r="F8" s="158">
        <f>BS!L37</f>
        <v>259789.91799324649</v>
      </c>
      <c r="G8" s="158">
        <f>BS!M37</f>
        <v>215983.9078445757</v>
      </c>
      <c r="H8" s="158">
        <f>BS!N37</f>
        <v>217985.86155972813</v>
      </c>
      <c r="I8" s="158">
        <f>BS!O37</f>
        <v>228958.67654857851</v>
      </c>
      <c r="J8" s="158">
        <f>BS!P37</f>
        <v>350210.70148797956</v>
      </c>
      <c r="K8" s="158">
        <f>BS!Q37</f>
        <v>330954.53748258244</v>
      </c>
      <c r="L8" s="158">
        <f>BS!R37</f>
        <v>325289.88161193579</v>
      </c>
      <c r="M8" s="158">
        <f>BS!S37</f>
        <v>324437.10040649422</v>
      </c>
      <c r="N8" s="158">
        <f>BS!T37</f>
        <v>265815.25095471658</v>
      </c>
      <c r="O8" s="158">
        <f>BS!U37</f>
        <v>350187.34058436449</v>
      </c>
      <c r="P8" s="158">
        <f>BS!V37</f>
        <v>326367.40252662799</v>
      </c>
      <c r="Q8" s="158">
        <f>BS!W37</f>
        <v>333367.56886982656</v>
      </c>
      <c r="R8" s="158">
        <f>BS!X37</f>
        <v>364352.84350184526</v>
      </c>
      <c r="S8" s="158">
        <f>BS!Y37</f>
        <v>346604.24809935113</v>
      </c>
      <c r="T8" s="158">
        <f>BS!Z37</f>
        <v>390409.8624904732</v>
      </c>
      <c r="U8" s="158">
        <f>BS!AA37</f>
        <v>317278.89595838339</v>
      </c>
      <c r="V8" s="158">
        <f>BS!AB37</f>
        <v>309697.49084796413</v>
      </c>
      <c r="W8" s="158">
        <f>BS!AC37</f>
        <v>295800.75550300168</v>
      </c>
    </row>
    <row r="9" spans="1:23" x14ac:dyDescent="0.2">
      <c r="A9" s="339"/>
      <c r="B9" s="339"/>
      <c r="C9" s="159" t="s">
        <v>391</v>
      </c>
      <c r="D9" s="205" t="s">
        <v>254</v>
      </c>
      <c r="E9" s="160">
        <f>BS!K43</f>
        <v>553550.01953888196</v>
      </c>
      <c r="F9" s="160">
        <f>BS!L43</f>
        <v>1393015.436565364</v>
      </c>
      <c r="G9" s="160">
        <f>BS!M43</f>
        <v>577381.50141734572</v>
      </c>
      <c r="H9" s="160">
        <f>BS!N43</f>
        <v>472632.12796949386</v>
      </c>
      <c r="I9" s="160">
        <f>BS!O43</f>
        <v>799333.19982824905</v>
      </c>
      <c r="J9" s="160">
        <f>BS!P43</f>
        <v>509334.51900716953</v>
      </c>
      <c r="K9" s="160">
        <f>BS!Q43</f>
        <v>574129.00666448171</v>
      </c>
      <c r="L9" s="160">
        <f>BS!R43</f>
        <v>545994.89917504345</v>
      </c>
      <c r="M9" s="160">
        <f>BS!S43</f>
        <v>665027.34989371127</v>
      </c>
      <c r="N9" s="160">
        <f>BS!T43</f>
        <v>790118.18028685404</v>
      </c>
      <c r="O9" s="160">
        <f>BS!U43</f>
        <v>879802.16703996062</v>
      </c>
      <c r="P9" s="160">
        <f>BS!V43</f>
        <v>1086236.0459765396</v>
      </c>
      <c r="Q9" s="160">
        <f>BS!W43</f>
        <v>1284116.5010116843</v>
      </c>
      <c r="R9" s="160">
        <f>BS!X43</f>
        <v>1321960.3582554755</v>
      </c>
      <c r="S9" s="160">
        <f>BS!Y43</f>
        <v>1021430.7274923503</v>
      </c>
      <c r="T9" s="160">
        <f>BS!Z43</f>
        <v>988445.62844990555</v>
      </c>
      <c r="U9" s="160">
        <f>BS!AA43</f>
        <v>1243456.2378951579</v>
      </c>
      <c r="V9" s="160">
        <f>BS!AB43</f>
        <v>1242668.9340679867</v>
      </c>
      <c r="W9" s="160">
        <f>BS!AC43</f>
        <v>1009884.574859014</v>
      </c>
    </row>
    <row r="10" spans="1:23" x14ac:dyDescent="0.2">
      <c r="A10" s="339"/>
      <c r="B10" s="339" t="s">
        <v>398</v>
      </c>
      <c r="C10" s="155" t="s">
        <v>310</v>
      </c>
      <c r="D10" s="203" t="s">
        <v>254</v>
      </c>
      <c r="E10" s="156">
        <f>PL!K6</f>
        <v>1199263.5717076999</v>
      </c>
      <c r="F10" s="156">
        <f>PL!L6</f>
        <v>2634019.778099373</v>
      </c>
      <c r="G10" s="156">
        <f>PL!M6</f>
        <v>1348723.4490983936</v>
      </c>
      <c r="H10" s="156">
        <f>PL!N6</f>
        <v>1056744.785635201</v>
      </c>
      <c r="I10" s="156">
        <f>PL!O6</f>
        <v>1435780.6975102983</v>
      </c>
      <c r="J10" s="156">
        <f>PL!P6</f>
        <v>1139646.9441218986</v>
      </c>
      <c r="K10" s="156">
        <f>PL!Q6</f>
        <v>1113270.3754271546</v>
      </c>
      <c r="L10" s="156">
        <f>PL!R6</f>
        <v>1178692.5444474781</v>
      </c>
      <c r="M10" s="156">
        <f>PL!S6</f>
        <v>1123776.1018134595</v>
      </c>
      <c r="N10" s="156">
        <f>PL!T6</f>
        <v>2145264.2362076058</v>
      </c>
      <c r="O10" s="156">
        <f>PL!U6</f>
        <v>1635288.0735911727</v>
      </c>
      <c r="P10" s="156">
        <f>PL!V6</f>
        <v>1532630.3077977516</v>
      </c>
      <c r="Q10" s="156">
        <f>PL!W6</f>
        <v>1688215.9641749286</v>
      </c>
      <c r="R10" s="156">
        <f>PL!X6</f>
        <v>1799739.0706540067</v>
      </c>
      <c r="S10" s="156">
        <f>PL!Y6</f>
        <v>1500599.2514027345</v>
      </c>
      <c r="T10" s="156">
        <f>PL!Z6</f>
        <v>1620330.270631151</v>
      </c>
      <c r="U10" s="156">
        <f>PL!AA6</f>
        <v>1662799.7204881951</v>
      </c>
      <c r="V10" s="156">
        <f>PL!AB6</f>
        <v>1460414.3403063128</v>
      </c>
      <c r="W10" s="156">
        <f>PL!AC6</f>
        <v>1506041.9205020922</v>
      </c>
    </row>
    <row r="11" spans="1:23" x14ac:dyDescent="0.2">
      <c r="A11" s="339"/>
      <c r="B11" s="339"/>
      <c r="C11" s="157" t="s">
        <v>392</v>
      </c>
      <c r="D11" s="204" t="s">
        <v>254</v>
      </c>
      <c r="E11" s="158">
        <f>PL!K6-PL!K8</f>
        <v>306725.96131301392</v>
      </c>
      <c r="F11" s="158">
        <f>PL!L6-PL!L8</f>
        <v>661306.31934394594</v>
      </c>
      <c r="G11" s="158">
        <f>PL!M6-PL!M8</f>
        <v>310862.93687277893</v>
      </c>
      <c r="H11" s="158">
        <f>PL!N6-PL!N8</f>
        <v>239205.87865029508</v>
      </c>
      <c r="I11" s="158">
        <f>PL!O6-PL!O8</f>
        <v>321363.13890539389</v>
      </c>
      <c r="J11" s="158">
        <f>PL!P6-PL!P8</f>
        <v>262631.4922409174</v>
      </c>
      <c r="K11" s="158">
        <f>PL!Q6-PL!Q8</f>
        <v>284076.80553272599</v>
      </c>
      <c r="L11" s="158">
        <f>PL!R6-PL!R8</f>
        <v>275923.99031723349</v>
      </c>
      <c r="M11" s="158">
        <f>PL!S6-PL!S8</f>
        <v>314569.70655569748</v>
      </c>
      <c r="N11" s="158">
        <f>PL!T6-PL!T8</f>
        <v>361089.23237506347</v>
      </c>
      <c r="O11" s="158">
        <f>PL!U6-PL!U8</f>
        <v>390349.4646326676</v>
      </c>
      <c r="P11" s="158">
        <f>PL!V6-PL!V8</f>
        <v>356583.64706786303</v>
      </c>
      <c r="Q11" s="158">
        <f>PL!W6-PL!W8</f>
        <v>423494.23575747735</v>
      </c>
      <c r="R11" s="158">
        <f>PL!X6-PL!X8</f>
        <v>496963.25054111518</v>
      </c>
      <c r="S11" s="158">
        <f>PL!Y6-PL!Y8</f>
        <v>361339.71962690796</v>
      </c>
      <c r="T11" s="158">
        <f>PL!Z6-PL!Z8</f>
        <v>354797.83740703831</v>
      </c>
      <c r="U11" s="158">
        <f>PL!AA6-PL!AA8</f>
        <v>387696.99959983956</v>
      </c>
      <c r="V11" s="158">
        <f>PL!AB6-PL!AB8</f>
        <v>360698.35973104206</v>
      </c>
      <c r="W11" s="158">
        <f>PL!AC6-PL!AC8</f>
        <v>347516.69201382599</v>
      </c>
    </row>
    <row r="12" spans="1:23" x14ac:dyDescent="0.2">
      <c r="A12" s="339"/>
      <c r="B12" s="339"/>
      <c r="C12" s="157" t="s">
        <v>69</v>
      </c>
      <c r="D12" s="204" t="s">
        <v>254</v>
      </c>
      <c r="E12" s="158">
        <f>PL!K42</f>
        <v>62810.758108639857</v>
      </c>
      <c r="F12" s="158">
        <f>PL!L42</f>
        <v>317126.86927158711</v>
      </c>
      <c r="G12" s="158">
        <f>PL!M42</f>
        <v>64077.478323002346</v>
      </c>
      <c r="H12" s="158">
        <f>PL!N42</f>
        <v>17578.194261997705</v>
      </c>
      <c r="I12" s="158">
        <f>PL!O42</f>
        <v>84862.009942757897</v>
      </c>
      <c r="J12" s="158">
        <f>PL!P42</f>
        <v>33912.800304008881</v>
      </c>
      <c r="K12" s="158">
        <f>PL!Q42</f>
        <v>52756.042279608366</v>
      </c>
      <c r="L12" s="158">
        <f>PL!R42</f>
        <v>74617.272617318114</v>
      </c>
      <c r="M12" s="158">
        <f>PL!S42</f>
        <v>64991.964004110232</v>
      </c>
      <c r="N12" s="158">
        <f>PL!T42</f>
        <v>140153.65215431669</v>
      </c>
      <c r="O12" s="158">
        <f>PL!U42</f>
        <v>90232.819437355851</v>
      </c>
      <c r="P12" s="158">
        <f>PL!V42</f>
        <v>78214.046966491354</v>
      </c>
      <c r="Q12" s="158">
        <f>PL!W42</f>
        <v>95068.072975609321</v>
      </c>
      <c r="R12" s="158">
        <f>PL!X42</f>
        <v>150554.6767849637</v>
      </c>
      <c r="S12" s="158">
        <f>PL!Y42</f>
        <v>107873.72514254945</v>
      </c>
      <c r="T12" s="158">
        <f>PL!Z42</f>
        <v>105959.12816116503</v>
      </c>
      <c r="U12" s="158">
        <f>PL!AA42</f>
        <v>106881.14265706282</v>
      </c>
      <c r="V12" s="158">
        <f>PL!AB42</f>
        <v>115888.07452372058</v>
      </c>
      <c r="W12" s="158">
        <f>PL!AC42</f>
        <v>97483.280152810621</v>
      </c>
    </row>
    <row r="13" spans="1:23" x14ac:dyDescent="0.2">
      <c r="A13" s="339"/>
      <c r="B13" s="339"/>
      <c r="C13" s="157" t="s">
        <v>311</v>
      </c>
      <c r="D13" s="204" t="s">
        <v>254</v>
      </c>
      <c r="E13" s="158">
        <f>PL!K34</f>
        <v>58883.059788980099</v>
      </c>
      <c r="F13" s="158">
        <f>PL!L34</f>
        <v>314966.71490593342</v>
      </c>
      <c r="G13" s="158">
        <f>PL!M34</f>
        <v>68028.075798494639</v>
      </c>
      <c r="H13" s="158">
        <f>PL!N34</f>
        <v>19453.835466321518</v>
      </c>
      <c r="I13" s="158">
        <f>PL!O34</f>
        <v>87797.712712291919</v>
      </c>
      <c r="J13" s="158">
        <f>PL!P34</f>
        <v>29917.541731271191</v>
      </c>
      <c r="K13" s="158">
        <f>PL!Q34</f>
        <v>55424.127092153809</v>
      </c>
      <c r="L13" s="158">
        <f>PL!R34</f>
        <v>75947.549212629761</v>
      </c>
      <c r="M13" s="158">
        <f>PL!S34</f>
        <v>58798.701840306894</v>
      </c>
      <c r="N13" s="158">
        <f>PL!T34</f>
        <v>140109.35791278037</v>
      </c>
      <c r="O13" s="158">
        <f>PL!U34</f>
        <v>102145.02910872283</v>
      </c>
      <c r="P13" s="158">
        <f>PL!V34</f>
        <v>94067.627221694536</v>
      </c>
      <c r="Q13" s="158">
        <f>PL!W34</f>
        <v>103689.56079046405</v>
      </c>
      <c r="R13" s="158">
        <f>PL!X34</f>
        <v>162205.33261365557</v>
      </c>
      <c r="S13" s="158">
        <f>PL!Y34</f>
        <v>118607.21027551361</v>
      </c>
      <c r="T13" s="158">
        <f>PL!Z34</f>
        <v>118199.33137788069</v>
      </c>
      <c r="U13" s="158">
        <f>PL!AA34</f>
        <v>118898.34433773509</v>
      </c>
      <c r="V13" s="158">
        <f>PL!AB34</f>
        <v>131514.98001494209</v>
      </c>
      <c r="W13" s="158">
        <f>PL!AC34</f>
        <v>116369.58450063672</v>
      </c>
    </row>
    <row r="14" spans="1:23" x14ac:dyDescent="0.2">
      <c r="A14" s="339"/>
      <c r="B14" s="339"/>
      <c r="C14" s="157" t="s">
        <v>393</v>
      </c>
      <c r="D14" s="204" t="s">
        <v>254</v>
      </c>
      <c r="E14" s="158">
        <f>PL!K37</f>
        <v>63157.518561938195</v>
      </c>
      <c r="F14" s="158">
        <f>PL!L37</f>
        <v>309420.64640617464</v>
      </c>
      <c r="G14" s="158">
        <f>PL!M37</f>
        <v>64791.579223148714</v>
      </c>
      <c r="H14" s="158">
        <f>PL!N37</f>
        <v>-77269.518826870495</v>
      </c>
      <c r="I14" s="158">
        <f>PL!O37</f>
        <v>81822.012310330552</v>
      </c>
      <c r="J14" s="158">
        <f>PL!P37</f>
        <v>24915.700702793751</v>
      </c>
      <c r="K14" s="158">
        <f>PL!Q37</f>
        <v>48432.766119921114</v>
      </c>
      <c r="L14" s="158">
        <f>PL!R37</f>
        <v>67521.58220618761</v>
      </c>
      <c r="M14" s="158">
        <f>PL!S37</f>
        <v>56977.91264922743</v>
      </c>
      <c r="N14" s="158">
        <f>PL!T37</f>
        <v>133077.77862410553</v>
      </c>
      <c r="O14" s="158">
        <f>PL!U37</f>
        <v>94104.925877780945</v>
      </c>
      <c r="P14" s="158">
        <f>PL!V37</f>
        <v>78265.49118480341</v>
      </c>
      <c r="Q14" s="158">
        <f>PL!W37</f>
        <v>94813.331982430056</v>
      </c>
      <c r="R14" s="158">
        <f>PL!X37</f>
        <v>138723.2326374354</v>
      </c>
      <c r="S14" s="158">
        <f>PL!Y37</f>
        <v>111368.84004380979</v>
      </c>
      <c r="T14" s="158">
        <f>PL!Z37</f>
        <v>115610.73306367535</v>
      </c>
      <c r="U14" s="158">
        <f>PL!AA37</f>
        <v>108228.6086434574</v>
      </c>
      <c r="V14" s="158">
        <f>PL!AB37</f>
        <v>126406.61991034739</v>
      </c>
      <c r="W14" s="158">
        <f>PL!AC37</f>
        <v>129849.33581953794</v>
      </c>
    </row>
    <row r="15" spans="1:23" x14ac:dyDescent="0.2">
      <c r="A15" s="339"/>
      <c r="B15" s="339"/>
      <c r="C15" s="159" t="s">
        <v>394</v>
      </c>
      <c r="D15" s="205" t="s">
        <v>254</v>
      </c>
      <c r="E15" s="160">
        <f>PL!K38</f>
        <v>38326.320828448603</v>
      </c>
      <c r="F15" s="160">
        <f>PL!L38</f>
        <v>188081.52436082973</v>
      </c>
      <c r="G15" s="160">
        <f>PL!M38</f>
        <v>37626.65341626251</v>
      </c>
      <c r="H15" s="160">
        <f>PL!N38</f>
        <v>-66559.98295911937</v>
      </c>
      <c r="I15" s="160">
        <f>PL!O38</f>
        <v>48925.206147699799</v>
      </c>
      <c r="J15" s="160">
        <f>PL!P38</f>
        <v>9784.896796626912</v>
      </c>
      <c r="K15" s="160">
        <f>PL!Q38</f>
        <v>29490.480118135019</v>
      </c>
      <c r="L15" s="160">
        <f>PL!R38</f>
        <v>40646.889696761682</v>
      </c>
      <c r="M15" s="160">
        <f>PL!S38</f>
        <v>35017.523582025831</v>
      </c>
      <c r="N15" s="160">
        <f>PL!T38</f>
        <v>71632.75866834895</v>
      </c>
      <c r="O15" s="160">
        <f>PL!U38</f>
        <v>56732.43026997034</v>
      </c>
      <c r="P15" s="160">
        <f>PL!V38</f>
        <v>45780.98743647369</v>
      </c>
      <c r="Q15" s="160">
        <f>PL!W38</f>
        <v>63365.397796625366</v>
      </c>
      <c r="R15" s="160">
        <f>PL!X38</f>
        <v>90907.121801878064</v>
      </c>
      <c r="S15" s="160">
        <f>PL!Y38</f>
        <v>76839.41727238649</v>
      </c>
      <c r="T15" s="160">
        <f>PL!Z38</f>
        <v>82418.284699908851</v>
      </c>
      <c r="U15" s="160">
        <f>PL!AA38</f>
        <v>73017.917567026816</v>
      </c>
      <c r="V15" s="160">
        <f>PL!AB38</f>
        <v>85285.503548748602</v>
      </c>
      <c r="W15" s="160">
        <f>PL!AC38</f>
        <v>91139.5346552665</v>
      </c>
    </row>
    <row r="16" spans="1:23" x14ac:dyDescent="0.2">
      <c r="A16" s="339"/>
      <c r="B16" s="78"/>
      <c r="C16" s="78" t="s">
        <v>317</v>
      </c>
      <c r="D16" s="202" t="s">
        <v>318</v>
      </c>
      <c r="E16" s="100">
        <f>PL!K5</f>
        <v>44.330988667448203</v>
      </c>
      <c r="F16" s="100">
        <f>PL!L5</f>
        <v>54.422334780511335</v>
      </c>
      <c r="G16" s="100">
        <f>PL!M5</f>
        <v>43.407483229999812</v>
      </c>
      <c r="H16" s="100">
        <f>PL!N5</f>
        <v>39.506979629464183</v>
      </c>
      <c r="I16" s="100">
        <f>PL!O5</f>
        <v>49.648616716943572</v>
      </c>
      <c r="J16" s="100">
        <f>PL!P5</f>
        <v>40.416491332096975</v>
      </c>
      <c r="K16" s="100">
        <f>PL!Q5</f>
        <v>44.346558655475739</v>
      </c>
      <c r="L16" s="100">
        <f>PL!R5</f>
        <v>38.738654818750213</v>
      </c>
      <c r="M16" s="100">
        <f>PL!S5</f>
        <v>41.406447223094183</v>
      </c>
      <c r="N16" s="100">
        <f>PL!T5</f>
        <v>57.010429946302693</v>
      </c>
      <c r="O16" s="100">
        <f>PL!U5</f>
        <v>49.672331974328955</v>
      </c>
      <c r="P16" s="100">
        <f>PL!V5</f>
        <v>50.785976675603671</v>
      </c>
      <c r="Q16" s="100">
        <f>PL!W5</f>
        <v>56.625834204602057</v>
      </c>
      <c r="R16" s="100">
        <f>PL!X5</f>
        <v>60.417782884031745</v>
      </c>
      <c r="S16" s="100">
        <f>PL!Y5</f>
        <v>53.984947156673428</v>
      </c>
      <c r="T16" s="100">
        <f>PL!Z5</f>
        <v>48.910387242720894</v>
      </c>
      <c r="U16" s="100">
        <f>PL!AA5</f>
        <v>51.941376550620248</v>
      </c>
      <c r="V16" s="100">
        <f>PL!AB5</f>
        <v>49.512327231976094</v>
      </c>
      <c r="W16" s="100">
        <f>PL!AC5</f>
        <v>47.812806985628526</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4.9069758744707661</v>
      </c>
      <c r="F18" s="165">
        <f>(F12/F6)*100</f>
        <v>13.794643203745471</v>
      </c>
      <c r="G18" s="165">
        <f t="shared" si="0"/>
        <v>5.150860312163986</v>
      </c>
      <c r="H18" s="165">
        <f t="shared" si="0"/>
        <v>1.6392940141672603</v>
      </c>
      <c r="I18" s="165">
        <f t="shared" si="0"/>
        <v>5.6397977958081897</v>
      </c>
      <c r="J18" s="165">
        <f t="shared" si="0"/>
        <v>2.8617390721229947</v>
      </c>
      <c r="K18" s="165">
        <f t="shared" si="0"/>
        <v>4.2203144809917532</v>
      </c>
      <c r="L18" s="165">
        <f t="shared" si="0"/>
        <v>5.7819187628181901</v>
      </c>
      <c r="M18" s="165">
        <f t="shared" si="0"/>
        <v>4.6384958442853774</v>
      </c>
      <c r="N18" s="165">
        <f t="shared" ref="N18:W18" si="1">(N12/N6)*100</f>
        <v>8.2205366200210985</v>
      </c>
      <c r="O18" s="165">
        <f t="shared" si="1"/>
        <v>5.3555634357042896</v>
      </c>
      <c r="P18" s="165">
        <f t="shared" si="1"/>
        <v>4.210878855273986</v>
      </c>
      <c r="Q18" s="165">
        <f t="shared" si="1"/>
        <v>4.4122144736847853</v>
      </c>
      <c r="R18" s="165">
        <f t="shared" si="1"/>
        <v>6.8491699603320892</v>
      </c>
      <c r="S18" s="165">
        <f t="shared" ref="S18:T18" si="2">(S12/S6)*100</f>
        <v>5.9527568681921919</v>
      </c>
      <c r="T18" s="165">
        <f t="shared" si="2"/>
        <v>5.6149165534249654</v>
      </c>
      <c r="U18" s="165">
        <f t="shared" ref="U18:V18" si="3">(U12/U6)*100</f>
        <v>5.140597874969977</v>
      </c>
      <c r="V18" s="165">
        <f t="shared" si="3"/>
        <v>5.8162721081358031</v>
      </c>
      <c r="W18" s="165">
        <f t="shared" si="1"/>
        <v>5.5045006717647764</v>
      </c>
    </row>
    <row r="19" spans="1:23" x14ac:dyDescent="0.2">
      <c r="A19" s="341"/>
      <c r="B19" s="163"/>
      <c r="C19" s="164" t="s">
        <v>400</v>
      </c>
      <c r="D19" s="204" t="s">
        <v>404</v>
      </c>
      <c r="E19" s="166">
        <f t="shared" ref="E19:M19" si="4">(E13/E6)*100</f>
        <v>4.6001316096167377</v>
      </c>
      <c r="F19" s="166">
        <f>(F13/F6)*100</f>
        <v>13.700679047357051</v>
      </c>
      <c r="G19" s="166">
        <f t="shared" si="4"/>
        <v>5.4684286103930946</v>
      </c>
      <c r="H19" s="166">
        <f t="shared" si="4"/>
        <v>1.8142111503159233</v>
      </c>
      <c r="I19" s="166">
        <f t="shared" si="4"/>
        <v>5.8349000567602234</v>
      </c>
      <c r="J19" s="166">
        <f t="shared" si="4"/>
        <v>2.5245983034945119</v>
      </c>
      <c r="K19" s="166">
        <f t="shared" si="4"/>
        <v>4.4337527239748145</v>
      </c>
      <c r="L19" s="166">
        <f t="shared" si="4"/>
        <v>5.8849987996029336</v>
      </c>
      <c r="M19" s="166">
        <f t="shared" si="4"/>
        <v>4.1964808775187965</v>
      </c>
      <c r="N19" s="166">
        <f t="shared" ref="N19:W19" si="5">(N13/N6)*100</f>
        <v>8.2179385968586018</v>
      </c>
      <c r="O19" s="166">
        <f t="shared" si="5"/>
        <v>6.0625855031983322</v>
      </c>
      <c r="P19" s="166">
        <f t="shared" si="5"/>
        <v>5.0644020837245565</v>
      </c>
      <c r="Q19" s="166">
        <f t="shared" si="5"/>
        <v>4.8123472641238907</v>
      </c>
      <c r="R19" s="166">
        <f t="shared" si="5"/>
        <v>7.3791921663776616</v>
      </c>
      <c r="S19" s="166">
        <f t="shared" ref="S19:T19" si="6">(S13/S6)*100</f>
        <v>6.5450589070849707</v>
      </c>
      <c r="T19" s="166">
        <f t="shared" si="6"/>
        <v>6.2635413661384725</v>
      </c>
      <c r="U19" s="166">
        <f t="shared" ref="U19:V19" si="7">(U13/U6)*100</f>
        <v>5.7185819784985261</v>
      </c>
      <c r="V19" s="166">
        <f t="shared" si="7"/>
        <v>6.6005662205249251</v>
      </c>
      <c r="W19" s="166">
        <f t="shared" si="5"/>
        <v>6.5709366268003473</v>
      </c>
    </row>
    <row r="20" spans="1:23" x14ac:dyDescent="0.2">
      <c r="A20" s="341"/>
      <c r="B20" s="163"/>
      <c r="C20" s="164" t="s">
        <v>401</v>
      </c>
      <c r="D20" s="204" t="s">
        <v>404</v>
      </c>
      <c r="E20" s="166">
        <f t="shared" ref="E20:M20" si="8">(E15/E6)*100</f>
        <v>2.9941738855808282</v>
      </c>
      <c r="F20" s="166">
        <f>(F15/F6)*100</f>
        <v>8.1813235432670517</v>
      </c>
      <c r="G20" s="166">
        <f t="shared" si="8"/>
        <v>3.0246139647446579</v>
      </c>
      <c r="H20" s="166">
        <f t="shared" si="8"/>
        <v>-6.2072008092348314</v>
      </c>
      <c r="I20" s="166">
        <f t="shared" si="8"/>
        <v>3.2514934536358613</v>
      </c>
      <c r="J20" s="166">
        <f t="shared" si="8"/>
        <v>0.82570065664227166</v>
      </c>
      <c r="K20" s="166">
        <f t="shared" si="8"/>
        <v>2.3591439940533867</v>
      </c>
      <c r="L20" s="166">
        <f t="shared" si="8"/>
        <v>3.1496328657469861</v>
      </c>
      <c r="M20" s="166">
        <f t="shared" si="8"/>
        <v>2.499211096345999</v>
      </c>
      <c r="N20" s="166">
        <f t="shared" ref="N20:W20" si="9">(N15/N6)*100</f>
        <v>4.201529583959255</v>
      </c>
      <c r="O20" s="166">
        <f t="shared" si="9"/>
        <v>3.3672241548811774</v>
      </c>
      <c r="P20" s="166">
        <f t="shared" si="9"/>
        <v>2.4647515305326362</v>
      </c>
      <c r="Q20" s="166">
        <f t="shared" si="9"/>
        <v>2.940858234928081</v>
      </c>
      <c r="R20" s="166">
        <f t="shared" si="9"/>
        <v>4.1356292685280325</v>
      </c>
      <c r="S20" s="166">
        <f t="shared" ref="S20:T20" si="10">(S15/S6)*100</f>
        <v>4.2402018500023608</v>
      </c>
      <c r="T20" s="166">
        <f t="shared" si="10"/>
        <v>4.367455632161569</v>
      </c>
      <c r="U20" s="166">
        <f t="shared" ref="U20:V20" si="11">(U15/U6)*100</f>
        <v>3.5118987554628935</v>
      </c>
      <c r="V20" s="166">
        <f t="shared" si="11"/>
        <v>4.2803687744192409</v>
      </c>
      <c r="W20" s="166">
        <f t="shared" si="9"/>
        <v>5.1462941024125897</v>
      </c>
    </row>
    <row r="21" spans="1:23" x14ac:dyDescent="0.2">
      <c r="A21" s="341"/>
      <c r="B21" s="163"/>
      <c r="C21" s="164" t="s">
        <v>402</v>
      </c>
      <c r="D21" s="204" t="s">
        <v>404</v>
      </c>
      <c r="E21" s="166">
        <f>(E12/(E6-BS!K22-BS!K27-BS!K28))*100</f>
        <v>5.3457920022352878</v>
      </c>
      <c r="F21" s="166">
        <f>(F12/(F6-BS!L22-BS!L27-BS!L28))*100</f>
        <v>15.035145639794271</v>
      </c>
      <c r="G21" s="166">
        <f>(G12/(G6-BS!M22-BS!M27-BS!M28))*100</f>
        <v>5.7894647487843534</v>
      </c>
      <c r="H21" s="166">
        <f>(H12/(H6-BS!N22-BS!N27-BS!N28))*100</f>
        <v>1.8031940172513503</v>
      </c>
      <c r="I21" s="166">
        <f>(I12/(I6-BS!O22-BS!O27-BS!O28))*100</f>
        <v>6.4473213215024749</v>
      </c>
      <c r="J21" s="166">
        <f>(J12/(J6-BS!P22-BS!P27-BS!P28))*100</f>
        <v>3.211534363556793</v>
      </c>
      <c r="K21" s="166">
        <f>(K12/(K6-BS!Q22-BS!Q27-BS!Q28))*100</f>
        <v>4.8216950690435549</v>
      </c>
      <c r="L21" s="166">
        <f>(L12/(L6-BS!R22-BS!R27-BS!R28))*100</f>
        <v>6.2805242582870484</v>
      </c>
      <c r="M21" s="166">
        <f>(M12/(M6-BS!S22-BS!S27-BS!S28))*100</f>
        <v>4.9714849760535653</v>
      </c>
      <c r="N21" s="166">
        <f>(N12/(N6-BS!T22-BS!T27-BS!T28))*100</f>
        <v>8.4189483155690645</v>
      </c>
      <c r="O21" s="166">
        <f>(O12/(O6-BS!U22-BS!U27-BS!U28))*100</f>
        <v>5.7555248179224163</v>
      </c>
      <c r="P21" s="166">
        <f>(P12/(P6-BS!V22-BS!V27-BS!V28))*100</f>
        <v>4.6963809186625936</v>
      </c>
      <c r="Q21" s="166">
        <f>(Q12/(Q6-BS!W22-BS!W27-BS!W28))*100</f>
        <v>4.8919385519230207</v>
      </c>
      <c r="R21" s="166">
        <f>(R12/(R6-BS!X22-BS!X27-BS!X28))*100</f>
        <v>7.6793539969522779</v>
      </c>
      <c r="S21" s="166">
        <f>(S12/(S6-BS!Y22-BS!Y27-BS!Y28))*100</f>
        <v>7.1161354773911789</v>
      </c>
      <c r="T21" s="166">
        <f>(T12/(T6-BS!Z22-BS!Z27-BS!Z28))*100</f>
        <v>6.2990191650581009</v>
      </c>
      <c r="U21" s="166">
        <f>(U12/(U6-BS!AA22-BS!AA27-BS!AA28))*100</f>
        <v>5.8460849404778257</v>
      </c>
      <c r="V21" s="166">
        <f>(V12/(V6-BS!AB22-BS!AB27-BS!AB28))*100</f>
        <v>6.7546615730241522</v>
      </c>
      <c r="W21" s="166">
        <f>(W12/(W6-BS!AC22-BS!AC27-BS!AC28))*100</f>
        <v>6.4192183748317824</v>
      </c>
    </row>
    <row r="22" spans="1:23" x14ac:dyDescent="0.2">
      <c r="A22" s="341"/>
      <c r="B22" s="167"/>
      <c r="C22" s="168" t="s">
        <v>403</v>
      </c>
      <c r="D22" s="205" t="s">
        <v>404</v>
      </c>
      <c r="E22" s="169">
        <f t="shared" ref="E22:M22" si="12">(E15/E9)*100</f>
        <v>6.9237321787785646</v>
      </c>
      <c r="F22" s="169">
        <f>(F15/F9)*100</f>
        <v>13.501754497750998</v>
      </c>
      <c r="G22" s="169">
        <f t="shared" si="12"/>
        <v>6.5167750133832278</v>
      </c>
      <c r="H22" s="169">
        <f t="shared" si="12"/>
        <v>-14.082830814966412</v>
      </c>
      <c r="I22" s="169">
        <f t="shared" si="12"/>
        <v>6.1207524169160301</v>
      </c>
      <c r="J22" s="169">
        <f t="shared" si="12"/>
        <v>1.9211140088640208</v>
      </c>
      <c r="K22" s="169">
        <f t="shared" si="12"/>
        <v>5.1365598629941926</v>
      </c>
      <c r="L22" s="169">
        <f t="shared" si="12"/>
        <v>7.4445548407459521</v>
      </c>
      <c r="M22" s="169">
        <f t="shared" si="12"/>
        <v>5.2655764590166925</v>
      </c>
      <c r="N22" s="169">
        <f t="shared" ref="N22:W22" si="13">(N15/N9)*100</f>
        <v>9.0660815629305649</v>
      </c>
      <c r="O22" s="169">
        <f t="shared" si="13"/>
        <v>6.4483167233882881</v>
      </c>
      <c r="P22" s="169">
        <f t="shared" si="13"/>
        <v>4.2146444694086744</v>
      </c>
      <c r="Q22" s="169">
        <f t="shared" si="13"/>
        <v>4.9345521022978271</v>
      </c>
      <c r="R22" s="169">
        <f t="shared" si="13"/>
        <v>6.8766904570303158</v>
      </c>
      <c r="S22" s="169">
        <f t="shared" ref="S22:T22" si="14">(S15/S9)*100</f>
        <v>7.5227242733366824</v>
      </c>
      <c r="T22" s="169">
        <f t="shared" si="14"/>
        <v>8.3381707933858102</v>
      </c>
      <c r="U22" s="169">
        <f t="shared" ref="U22:V22" si="15">(U15/U9)*100</f>
        <v>5.872174294660085</v>
      </c>
      <c r="V22" s="169">
        <f t="shared" si="15"/>
        <v>6.8630913037762173</v>
      </c>
      <c r="W22" s="169">
        <f t="shared" si="13"/>
        <v>9.0247476715831727</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25.5761926359732</v>
      </c>
      <c r="F24" s="166">
        <f>(F11/F10)*100</f>
        <v>25.106353598495911</v>
      </c>
      <c r="G24" s="166">
        <f t="shared" si="16"/>
        <v>23.048678888217395</v>
      </c>
      <c r="H24" s="166">
        <f t="shared" si="16"/>
        <v>22.636106835058602</v>
      </c>
      <c r="I24" s="166">
        <f t="shared" si="16"/>
        <v>22.382466867165057</v>
      </c>
      <c r="J24" s="166">
        <f t="shared" si="16"/>
        <v>23.044987186209301</v>
      </c>
      <c r="K24" s="166">
        <f t="shared" si="16"/>
        <v>25.517323716058428</v>
      </c>
      <c r="L24" s="166">
        <f t="shared" si="16"/>
        <v>23.409326852625096</v>
      </c>
      <c r="M24" s="166">
        <f t="shared" si="16"/>
        <v>27.992204679212364</v>
      </c>
      <c r="N24" s="166">
        <f t="shared" ref="N24:W24" si="17">(N11/N10)*100</f>
        <v>16.83192337245114</v>
      </c>
      <c r="O24" s="166">
        <f t="shared" si="17"/>
        <v>23.870379227767561</v>
      </c>
      <c r="P24" s="166">
        <f t="shared" si="17"/>
        <v>23.266122642468218</v>
      </c>
      <c r="Q24" s="166">
        <f t="shared" si="17"/>
        <v>25.085311639287163</v>
      </c>
      <c r="R24" s="166">
        <f t="shared" si="17"/>
        <v>27.613072286113333</v>
      </c>
      <c r="S24" s="166">
        <f t="shared" ref="S24:T24" si="18">(S11/S10)*100</f>
        <v>24.079694781210488</v>
      </c>
      <c r="T24" s="166">
        <f t="shared" si="18"/>
        <v>21.896636990484506</v>
      </c>
      <c r="U24" s="166">
        <f t="shared" ref="U24:V24" si="19">(U11/U10)*100</f>
        <v>23.31591681324149</v>
      </c>
      <c r="V24" s="166">
        <f t="shared" si="19"/>
        <v>24.698357841062272</v>
      </c>
      <c r="W24" s="166">
        <f t="shared" si="17"/>
        <v>23.074835254118891</v>
      </c>
    </row>
    <row r="25" spans="1:23" x14ac:dyDescent="0.2">
      <c r="A25" s="341"/>
      <c r="B25" s="163"/>
      <c r="C25" s="164" t="s">
        <v>407</v>
      </c>
      <c r="D25" s="204" t="s">
        <v>404</v>
      </c>
      <c r="E25" s="166">
        <f t="shared" ref="E25:M25" si="20">(E12/E10)*100</f>
        <v>5.2374440106773212</v>
      </c>
      <c r="F25" s="166">
        <f>(F12/F10)*100</f>
        <v>12.039654064420732</v>
      </c>
      <c r="G25" s="166">
        <f t="shared" si="20"/>
        <v>4.7509723632251974</v>
      </c>
      <c r="H25" s="166">
        <f t="shared" si="20"/>
        <v>1.6634285308000447</v>
      </c>
      <c r="I25" s="166">
        <f t="shared" si="20"/>
        <v>5.9105133597291042</v>
      </c>
      <c r="J25" s="166">
        <f t="shared" si="20"/>
        <v>2.9757286218267178</v>
      </c>
      <c r="K25" s="166">
        <f t="shared" si="20"/>
        <v>4.738834648264687</v>
      </c>
      <c r="L25" s="166">
        <f t="shared" si="20"/>
        <v>6.3305119701334487</v>
      </c>
      <c r="M25" s="166">
        <f t="shared" si="20"/>
        <v>5.7833552341281704</v>
      </c>
      <c r="N25" s="166">
        <f t="shared" ref="N25:W25" si="21">(N12/N10)*100</f>
        <v>6.533164996125608</v>
      </c>
      <c r="O25" s="166">
        <f t="shared" si="21"/>
        <v>5.517854676161134</v>
      </c>
      <c r="P25" s="166">
        <f t="shared" si="21"/>
        <v>5.1032559233986259</v>
      </c>
      <c r="Q25" s="166">
        <f t="shared" si="21"/>
        <v>5.6312743744294211</v>
      </c>
      <c r="R25" s="166">
        <f t="shared" si="21"/>
        <v>8.3653613593138072</v>
      </c>
      <c r="S25" s="166">
        <f t="shared" ref="S25:T25" si="22">(S12/S10)*100</f>
        <v>7.1887097798903286</v>
      </c>
      <c r="T25" s="166">
        <f t="shared" si="22"/>
        <v>6.539353740511916</v>
      </c>
      <c r="U25" s="166">
        <f t="shared" ref="U25:V25" si="23">(U12/U10)*100</f>
        <v>6.4277820918614728</v>
      </c>
      <c r="V25" s="166">
        <f t="shared" si="23"/>
        <v>7.9352873582036851</v>
      </c>
      <c r="W25" s="166">
        <f t="shared" si="21"/>
        <v>6.4728131950212333</v>
      </c>
    </row>
    <row r="26" spans="1:23" x14ac:dyDescent="0.2">
      <c r="A26" s="341"/>
      <c r="B26" s="163"/>
      <c r="C26" s="164" t="s">
        <v>408</v>
      </c>
      <c r="D26" s="204" t="s">
        <v>404</v>
      </c>
      <c r="E26" s="166">
        <f t="shared" ref="E26:M26" si="24">(E13/E10)*100</f>
        <v>4.9099348281823607</v>
      </c>
      <c r="F26" s="166">
        <f>(F13/F10)*100</f>
        <v>11.957644263901605</v>
      </c>
      <c r="G26" s="166">
        <f t="shared" si="24"/>
        <v>5.0438861906027244</v>
      </c>
      <c r="H26" s="166">
        <f t="shared" si="24"/>
        <v>1.8409208856070174</v>
      </c>
      <c r="I26" s="166">
        <f t="shared" si="24"/>
        <v>6.1149807115067567</v>
      </c>
      <c r="J26" s="166">
        <f t="shared" si="24"/>
        <v>2.6251587726866363</v>
      </c>
      <c r="K26" s="166">
        <f t="shared" si="24"/>
        <v>4.9784965373652321</v>
      </c>
      <c r="L26" s="166">
        <f t="shared" si="24"/>
        <v>6.4433723255822235</v>
      </c>
      <c r="M26" s="166">
        <f t="shared" si="24"/>
        <v>5.2322434820799515</v>
      </c>
      <c r="N26" s="166">
        <f t="shared" ref="N26:W26" si="25">(N13/N10)*100</f>
        <v>6.5311002508700478</v>
      </c>
      <c r="O26" s="166">
        <f t="shared" si="25"/>
        <v>6.2463018448124155</v>
      </c>
      <c r="P26" s="166">
        <f t="shared" si="25"/>
        <v>6.1376593391827825</v>
      </c>
      <c r="Q26" s="166">
        <f t="shared" si="25"/>
        <v>6.1419606845821777</v>
      </c>
      <c r="R26" s="166">
        <f t="shared" si="25"/>
        <v>9.012713857165517</v>
      </c>
      <c r="S26" s="166">
        <f t="shared" ref="S26:T26" si="26">(S13/S10)*100</f>
        <v>7.9039897004241215</v>
      </c>
      <c r="T26" s="166">
        <f t="shared" si="26"/>
        <v>7.2947678334639567</v>
      </c>
      <c r="U26" s="166">
        <f t="shared" ref="U26:V26" si="27">(U13/U10)*100</f>
        <v>7.1504909985687721</v>
      </c>
      <c r="V26" s="166">
        <f t="shared" si="27"/>
        <v>9.005319681218527</v>
      </c>
      <c r="W26" s="166">
        <f t="shared" si="25"/>
        <v>7.7268489619359864</v>
      </c>
    </row>
    <row r="27" spans="1:23" x14ac:dyDescent="0.2">
      <c r="A27" s="341"/>
      <c r="B27" s="163"/>
      <c r="C27" s="164" t="s">
        <v>409</v>
      </c>
      <c r="D27" s="204" t="s">
        <v>404</v>
      </c>
      <c r="E27" s="166">
        <f t="shared" ref="E27:M27" si="28">(E15/E10)*100</f>
        <v>3.1958213133976519</v>
      </c>
      <c r="F27" s="166">
        <f>(F15/F10)*100</f>
        <v>7.1404750231808629</v>
      </c>
      <c r="G27" s="166">
        <f t="shared" si="28"/>
        <v>2.7897975260543961</v>
      </c>
      <c r="H27" s="166">
        <f t="shared" si="28"/>
        <v>-6.2985863629419931</v>
      </c>
      <c r="I27" s="166">
        <f t="shared" si="28"/>
        <v>3.407568177545365</v>
      </c>
      <c r="J27" s="166">
        <f t="shared" si="28"/>
        <v>0.85859018418780608</v>
      </c>
      <c r="K27" s="166">
        <f t="shared" si="28"/>
        <v>2.6489953176756109</v>
      </c>
      <c r="L27" s="166">
        <f t="shared" si="28"/>
        <v>3.4484726223338624</v>
      </c>
      <c r="M27" s="166">
        <f t="shared" si="28"/>
        <v>3.1160587527637724</v>
      </c>
      <c r="N27" s="166">
        <f t="shared" ref="N27:W27" si="29">(N15/N10)*100</f>
        <v>3.3391112134037719</v>
      </c>
      <c r="O27" s="166">
        <f t="shared" si="29"/>
        <v>3.4692621554673937</v>
      </c>
      <c r="P27" s="166">
        <f t="shared" si="29"/>
        <v>2.9870861357463787</v>
      </c>
      <c r="Q27" s="166">
        <f t="shared" si="29"/>
        <v>3.753394064579501</v>
      </c>
      <c r="R27" s="166">
        <f t="shared" si="29"/>
        <v>5.0511278709331657</v>
      </c>
      <c r="S27" s="166">
        <f t="shared" ref="S27:T27" si="30">(S15/S10)*100</f>
        <v>5.1205821408053032</v>
      </c>
      <c r="T27" s="166">
        <f t="shared" si="30"/>
        <v>5.0865114473116204</v>
      </c>
      <c r="U27" s="166">
        <f t="shared" ref="U27:V27" si="31">(U15/U10)*100</f>
        <v>4.391263521838269</v>
      </c>
      <c r="V27" s="166">
        <f t="shared" si="31"/>
        <v>5.8398155369290956</v>
      </c>
      <c r="W27" s="166">
        <f t="shared" si="29"/>
        <v>6.0515934792095241</v>
      </c>
    </row>
    <row r="28" spans="1:23" x14ac:dyDescent="0.2">
      <c r="A28" s="341"/>
      <c r="B28" s="163"/>
      <c r="C28" s="164" t="s">
        <v>410</v>
      </c>
      <c r="D28" s="204" t="s">
        <v>404</v>
      </c>
      <c r="E28" s="166">
        <f>(PL!K11/PL!K6)*100</f>
        <v>11.153890103223016</v>
      </c>
      <c r="F28" s="166">
        <f>(PL!L11/PL!L6)*100</f>
        <v>6.6326845499799187</v>
      </c>
      <c r="G28" s="166">
        <f>(PL!M11/PL!M6)*100</f>
        <v>7.403447208977525</v>
      </c>
      <c r="H28" s="166">
        <f>(PL!N11/PL!N6)*100</f>
        <v>7.4158238685894995</v>
      </c>
      <c r="I28" s="166">
        <f>(PL!O11/PL!O6)*100</f>
        <v>7.8136853187292878</v>
      </c>
      <c r="J28" s="166">
        <f>(PL!P11/PL!P6)*100</f>
        <v>8.4994930864469964</v>
      </c>
      <c r="K28" s="166">
        <f>(PL!Q11/PL!Q6)*100</f>
        <v>12.973120104189654</v>
      </c>
      <c r="L28" s="166">
        <f>(PL!R11/PL!R6)*100</f>
        <v>11.176369267311413</v>
      </c>
      <c r="M28" s="166">
        <f>(PL!S11/PL!S6)*100</f>
        <v>9.2676574952536193</v>
      </c>
      <c r="N28" s="166">
        <f>(PL!T11/PL!T6)*100</f>
        <v>8.0957994669111653</v>
      </c>
      <c r="O28" s="166">
        <f>(PL!U11/PL!U6)*100</f>
        <v>5.6736142958739073</v>
      </c>
      <c r="P28" s="166">
        <f>(PL!V11/PL!V6)*100</f>
        <v>8.4762528313007213</v>
      </c>
      <c r="Q28" s="166">
        <f>(PL!W11/PL!W6)*100</f>
        <v>9.6659212394528549</v>
      </c>
      <c r="R28" s="166">
        <f>(PL!X11/PL!X6)*100</f>
        <v>8.0246153347922089</v>
      </c>
      <c r="S28" s="166">
        <f>(PL!Y11/PL!Y6)*100</f>
        <v>12.514962186429401</v>
      </c>
      <c r="T28" s="166">
        <f>(PL!Z11/PL!Z6)*100</f>
        <v>10.021907078647537</v>
      </c>
      <c r="U28" s="166">
        <f>(PL!AA11/PL!AA6)*100</f>
        <v>10.143276840464084</v>
      </c>
      <c r="V28" s="166">
        <f>(PL!AB11/PL!AB6)*100</f>
        <v>10.257773624720725</v>
      </c>
      <c r="W28" s="166">
        <f>(PL!AC11/PL!AC6)*100</f>
        <v>9.6881700035307059</v>
      </c>
    </row>
    <row r="29" spans="1:23" x14ac:dyDescent="0.2">
      <c r="A29" s="341"/>
      <c r="B29" s="163"/>
      <c r="C29" s="164" t="s">
        <v>411</v>
      </c>
      <c r="D29" s="204" t="s">
        <v>404</v>
      </c>
      <c r="E29" s="166">
        <f>(PL!K16/PL!K6)*100</f>
        <v>20.338748625296123</v>
      </c>
      <c r="F29" s="166">
        <f>(PL!L16/PL!L6)*100</f>
        <v>13.066699534075182</v>
      </c>
      <c r="G29" s="166">
        <f>(PL!M16/PL!M6)*100</f>
        <v>18.297706524992368</v>
      </c>
      <c r="H29" s="166">
        <f>(PL!N16/PL!N6)*100</f>
        <v>20.972678304258555</v>
      </c>
      <c r="I29" s="166">
        <f>(PL!O16/PL!O6)*100</f>
        <v>16.471953507436123</v>
      </c>
      <c r="J29" s="166">
        <f>(PL!P16/PL!P6)*100</f>
        <v>20.069258564382594</v>
      </c>
      <c r="K29" s="166">
        <f>(PL!Q16/PL!Q6)*100</f>
        <v>20.778489067793704</v>
      </c>
      <c r="L29" s="166">
        <f>(PL!R16/PL!R6)*100</f>
        <v>17.078814882491653</v>
      </c>
      <c r="M29" s="166">
        <f>(PL!S16/PL!S6)*100</f>
        <v>22.208849445084191</v>
      </c>
      <c r="N29" s="166">
        <f>(PL!T16/PL!T6)*100</f>
        <v>10.298758376325521</v>
      </c>
      <c r="O29" s="166">
        <f>(PL!U16/PL!U6)*100</f>
        <v>18.352524551606432</v>
      </c>
      <c r="P29" s="166">
        <f>(PL!V16/PL!V6)*100</f>
        <v>18.162866719069591</v>
      </c>
      <c r="Q29" s="166">
        <f>(PL!W16/PL!W6)*100</f>
        <v>19.45403726485775</v>
      </c>
      <c r="R29" s="166">
        <f>(PL!X16/PL!X6)*100</f>
        <v>19.24771092679952</v>
      </c>
      <c r="S29" s="166">
        <f>(PL!Y16/PL!Y6)*100</f>
        <v>16.890985001320168</v>
      </c>
      <c r="T29" s="166">
        <f>(PL!Z16/PL!Z6)*100</f>
        <v>15.357283249972451</v>
      </c>
      <c r="U29" s="166">
        <f>(PL!AA16/PL!AA6)*100</f>
        <v>16.888134721380037</v>
      </c>
      <c r="V29" s="166">
        <f>(PL!AB16/PL!AB6)*100</f>
        <v>16.763070470069334</v>
      </c>
      <c r="W29" s="166">
        <f>(PL!AC16/PL!AC6)*100</f>
        <v>16.602022059097639</v>
      </c>
    </row>
    <row r="30" spans="1:23" x14ac:dyDescent="0.2">
      <c r="A30" s="341"/>
      <c r="B30" s="167"/>
      <c r="C30" s="168" t="s">
        <v>412</v>
      </c>
      <c r="D30" s="205" t="s">
        <v>404</v>
      </c>
      <c r="E30" s="169">
        <f>(PL!K17/PL!K6)*100</f>
        <v>8.6618349945564397</v>
      </c>
      <c r="F30" s="169">
        <f>(PL!L17/PL!L6)*100</f>
        <v>5.1798584076436498</v>
      </c>
      <c r="G30" s="169">
        <f>(PL!M17/PL!M6)*100</f>
        <v>8.1902862103517364</v>
      </c>
      <c r="H30" s="169">
        <f>(PL!N17/PL!N6)*100</f>
        <v>9.9043888417380472</v>
      </c>
      <c r="I30" s="169">
        <f>(PL!O17/PL!O6)*100</f>
        <v>6.9617787293609377</v>
      </c>
      <c r="J30" s="169">
        <f>(PL!P17/PL!P6)*100</f>
        <v>8.4209468737982149</v>
      </c>
      <c r="K30" s="169">
        <f>(PL!Q17/PL!Q6)*100</f>
        <v>8.8819012623946758</v>
      </c>
      <c r="L30" s="169">
        <f>(PL!R17/PL!R6)*100</f>
        <v>6.941137905465415</v>
      </c>
      <c r="M30" s="169">
        <f>(PL!S17/PL!S6)*100</f>
        <v>7.8635770200960531</v>
      </c>
      <c r="N30" s="169">
        <f>(PL!T17/PL!T6)*100</f>
        <v>3.6706957042396868</v>
      </c>
      <c r="O30" s="169">
        <f>(PL!U17/PL!U6)*100</f>
        <v>6.8547991252529696</v>
      </c>
      <c r="P30" s="169">
        <f>(PL!V17/PL!V6)*100</f>
        <v>7.3298133414944955</v>
      </c>
      <c r="Q30" s="169">
        <f>(PL!W17/PL!W6)*100</f>
        <v>6.9779569890798658</v>
      </c>
      <c r="R30" s="169">
        <f>(PL!X17/PL!X6)*100</f>
        <v>7.3542051156811921</v>
      </c>
      <c r="S30" s="169">
        <f>(PL!Y17/PL!Y6)*100</f>
        <v>7.1580189954149427</v>
      </c>
      <c r="T30" s="169">
        <f>(PL!Z17/PL!Z6)*100</f>
        <v>6.5433287104739684</v>
      </c>
      <c r="U30" s="169">
        <f>(PL!AA17/PL!AA6)*100</f>
        <v>6.486860712789376</v>
      </c>
      <c r="V30" s="169">
        <f>(PL!AB17/PL!AB6)*100</f>
        <v>6.6808550818572758</v>
      </c>
      <c r="W30" s="169">
        <f>(PL!AC17/PL!AC6)*100</f>
        <v>6.7397111235112686</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0.93690278396621585</v>
      </c>
      <c r="F32" s="166">
        <f>F10/F6</f>
        <v>1.1457674057688283</v>
      </c>
      <c r="G32" s="166">
        <f t="shared" si="32"/>
        <v>1.0841697064024434</v>
      </c>
      <c r="H32" s="166">
        <f t="shared" si="32"/>
        <v>0.98549110094848702</v>
      </c>
      <c r="I32" s="166">
        <f t="shared" si="32"/>
        <v>0.95419762253387053</v>
      </c>
      <c r="J32" s="166">
        <f t="shared" si="32"/>
        <v>0.96169356678978735</v>
      </c>
      <c r="K32" s="166">
        <f t="shared" si="32"/>
        <v>0.89058065837709477</v>
      </c>
      <c r="L32" s="166">
        <f t="shared" si="32"/>
        <v>0.91334141536996527</v>
      </c>
      <c r="M32" s="166">
        <f t="shared" si="32"/>
        <v>0.80204235370380494</v>
      </c>
      <c r="N32" s="166">
        <f t="shared" ref="N32:W32" si="33">N10/N6</f>
        <v>1.2582778216830832</v>
      </c>
      <c r="O32" s="166">
        <f t="shared" si="33"/>
        <v>0.97058798210870001</v>
      </c>
      <c r="P32" s="166">
        <f t="shared" si="33"/>
        <v>0.82513574049205396</v>
      </c>
      <c r="Q32" s="166">
        <f t="shared" si="33"/>
        <v>0.78351971158071043</v>
      </c>
      <c r="R32" s="166">
        <f t="shared" si="33"/>
        <v>0.81875362774452976</v>
      </c>
      <c r="S32" s="166">
        <f t="shared" ref="S32:T32" si="34">S10/S6</f>
        <v>0.82807027275526024</v>
      </c>
      <c r="T32" s="166">
        <f t="shared" si="34"/>
        <v>0.85863477894459583</v>
      </c>
      <c r="U32" s="166">
        <f t="shared" ref="U32:V32" si="35">U10/U6</f>
        <v>0.79974675580224441</v>
      </c>
      <c r="V32" s="166">
        <f t="shared" si="35"/>
        <v>0.73296301010735365</v>
      </c>
      <c r="W32" s="166">
        <f t="shared" si="33"/>
        <v>0.85040314094013014</v>
      </c>
    </row>
    <row r="33" spans="1:23" x14ac:dyDescent="0.2">
      <c r="A33" s="341"/>
      <c r="B33" s="163"/>
      <c r="C33" s="164" t="s">
        <v>415</v>
      </c>
      <c r="D33" s="204" t="s">
        <v>136</v>
      </c>
      <c r="E33" s="166">
        <f t="shared" ref="E33:M33" si="36">E10/E5</f>
        <v>2.1709068401365008</v>
      </c>
      <c r="F33" s="166">
        <f>F10/F5</f>
        <v>3.1105436635251653</v>
      </c>
      <c r="G33" s="166">
        <f t="shared" si="36"/>
        <v>2.650558174731549</v>
      </c>
      <c r="H33" s="166">
        <f t="shared" si="36"/>
        <v>2.1588746824836114</v>
      </c>
      <c r="I33" s="166">
        <f t="shared" si="36"/>
        <v>2.3737839829317369</v>
      </c>
      <c r="J33" s="166">
        <f t="shared" si="36"/>
        <v>2.5373465599709624</v>
      </c>
      <c r="K33" s="166">
        <f t="shared" si="36"/>
        <v>2.0930206997899394</v>
      </c>
      <c r="L33" s="166">
        <f t="shared" si="36"/>
        <v>2.3733831326883164</v>
      </c>
      <c r="M33" s="166">
        <f t="shared" si="36"/>
        <v>2.1886199407110305</v>
      </c>
      <c r="N33" s="166">
        <f t="shared" ref="N33:W33" si="37">N10/N5</f>
        <v>3.5763865185543078</v>
      </c>
      <c r="O33" s="166">
        <f t="shared" si="37"/>
        <v>2.4299481450004814</v>
      </c>
      <c r="P33" s="166">
        <f t="shared" si="37"/>
        <v>2.0099925601188176</v>
      </c>
      <c r="Q33" s="166">
        <f t="shared" si="37"/>
        <v>2.280379083865296</v>
      </c>
      <c r="R33" s="166">
        <f t="shared" si="37"/>
        <v>2.2669375428545968</v>
      </c>
      <c r="S33" s="166">
        <f t="shared" ref="S33:T33" si="38">S10/S5</f>
        <v>1.9679787639941067</v>
      </c>
      <c r="T33" s="166">
        <f t="shared" si="38"/>
        <v>1.9468909446383764</v>
      </c>
      <c r="U33" s="166">
        <f t="shared" ref="U33:V33" si="39">U10/U5</f>
        <v>1.8746475782724856</v>
      </c>
      <c r="V33" s="166">
        <f t="shared" si="39"/>
        <v>1.6891742956056921</v>
      </c>
      <c r="W33" s="166">
        <f t="shared" si="37"/>
        <v>2.1030950241724438</v>
      </c>
    </row>
    <row r="34" spans="1:23" x14ac:dyDescent="0.2">
      <c r="A34" s="341"/>
      <c r="B34" s="163"/>
      <c r="C34" s="164" t="s">
        <v>416</v>
      </c>
      <c r="D34" s="204" t="s">
        <v>136</v>
      </c>
      <c r="E34" s="166">
        <f>PL!K6/BS!K16</f>
        <v>2.6929063173601628</v>
      </c>
      <c r="F34" s="166">
        <f>PL!L6/BS!L16</f>
        <v>4.0133822946809659</v>
      </c>
      <c r="G34" s="166">
        <f>PL!M6/BS!M16</f>
        <v>3.6513522530603111</v>
      </c>
      <c r="H34" s="166">
        <f>PL!N6/BS!N16</f>
        <v>2.6696642719948369</v>
      </c>
      <c r="I34" s="166">
        <f>PL!O6/BS!O16</f>
        <v>3.3027234012958493</v>
      </c>
      <c r="J34" s="166">
        <f>PL!P6/BS!P16</f>
        <v>3.6371207926530307</v>
      </c>
      <c r="K34" s="166">
        <f>PL!Q6/BS!Q16</f>
        <v>2.8791458454569003</v>
      </c>
      <c r="L34" s="166">
        <f>PL!R6/BS!R16</f>
        <v>2.929260030500223</v>
      </c>
      <c r="M34" s="166">
        <f>PL!S6/BS!S16</f>
        <v>2.6728828205242583</v>
      </c>
      <c r="N34" s="166">
        <f>PL!T6/BS!T16</f>
        <v>3.8156718421440425</v>
      </c>
      <c r="O34" s="166">
        <f>PL!U6/BS!U16</f>
        <v>2.9151177296111439</v>
      </c>
      <c r="P34" s="166">
        <f>PL!V6/BS!V16</f>
        <v>2.5380802720150863</v>
      </c>
      <c r="Q34" s="166">
        <f>PL!W6/BS!W16</f>
        <v>3.1795777594124415</v>
      </c>
      <c r="R34" s="166">
        <f>PL!X6/BS!X16</f>
        <v>3.1150495195803036</v>
      </c>
      <c r="S34" s="166">
        <f>PL!Y6/BS!Y16</f>
        <v>3.197889188718976</v>
      </c>
      <c r="T34" s="166">
        <f>PL!Z6/BS!Z16</f>
        <v>2.4183998255458179</v>
      </c>
      <c r="U34" s="166">
        <f>PL!AA6/BS!AA16</f>
        <v>2.507095077833871</v>
      </c>
      <c r="V34" s="166">
        <f>PL!AB6/BS!AB16</f>
        <v>2.4054387252010971</v>
      </c>
      <c r="W34" s="166">
        <f>PL!AC6/BS!AC16</f>
        <v>3.1520620446746719</v>
      </c>
    </row>
    <row r="35" spans="1:23" x14ac:dyDescent="0.2">
      <c r="A35" s="341"/>
      <c r="B35" s="163"/>
      <c r="C35" s="164" t="s">
        <v>417</v>
      </c>
      <c r="D35" s="204" t="s">
        <v>429</v>
      </c>
      <c r="E35" s="166">
        <f>(BS!K11/PL!K6)*365</f>
        <v>95.250734959960354</v>
      </c>
      <c r="F35" s="166">
        <f>(BS!L11/PL!L6)*365</f>
        <v>78.893893273346634</v>
      </c>
      <c r="G35" s="166">
        <f>(BS!M11/PL!M6)*365</f>
        <v>111.40969410854576</v>
      </c>
      <c r="H35" s="166">
        <f>(BS!N11/PL!N6)*365</f>
        <v>82.891730510583017</v>
      </c>
      <c r="I35" s="166">
        <f>(BS!O11/PL!O6)*365</f>
        <v>89.055935883040746</v>
      </c>
      <c r="J35" s="166">
        <f>(BS!P11/PL!P6)*365</f>
        <v>100.0513396949893</v>
      </c>
      <c r="K35" s="166">
        <f>(BS!Q11/PL!Q6)*365</f>
        <v>91.143608396516939</v>
      </c>
      <c r="L35" s="166">
        <f>(BS!R11/PL!R6)*365</f>
        <v>75.411371557821184</v>
      </c>
      <c r="M35" s="166">
        <f>(BS!S11/PL!S6)*365</f>
        <v>82.853784328467668</v>
      </c>
      <c r="N35" s="166">
        <f>(BS!T11/PL!T6)*365</f>
        <v>82.505596846305536</v>
      </c>
      <c r="O35" s="166">
        <f>(BS!U11/PL!U6)*365</f>
        <v>77.017481840859062</v>
      </c>
      <c r="P35" s="166">
        <f>(BS!V11/PL!V6)*365</f>
        <v>90.075909899229799</v>
      </c>
      <c r="Q35" s="166">
        <f>(BS!W11/PL!W6)*365</f>
        <v>74.050333169523768</v>
      </c>
      <c r="R35" s="166">
        <f>(BS!X11/PL!X6)*365</f>
        <v>81.066873737640876</v>
      </c>
      <c r="S35" s="166">
        <f>(BS!Y11/PL!Y6)*365</f>
        <v>73.479329837699424</v>
      </c>
      <c r="T35" s="166">
        <f>(BS!Z11/PL!Z6)*365</f>
        <v>67.776631723242275</v>
      </c>
      <c r="U35" s="166">
        <f>(BS!AA11/PL!AA6)*365</f>
        <v>82.656394079279835</v>
      </c>
      <c r="V35" s="166">
        <f>(BS!AB11/PL!AB6)*365</f>
        <v>73.887699579086089</v>
      </c>
      <c r="W35" s="166">
        <f>(BS!AC11/PL!AC6)*365</f>
        <v>75.616481270951056</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44.684414052354406</v>
      </c>
      <c r="F40" s="166">
        <f>BS!L13/PL!L6*365</f>
        <v>34.508407744377024</v>
      </c>
      <c r="G40" s="166">
        <f>BS!M13/PL!M6*365</f>
        <v>23.651171233937621</v>
      </c>
      <c r="H40" s="166">
        <f>BS!N13/PL!N6*365</f>
        <v>46.042848730276368</v>
      </c>
      <c r="I40" s="166">
        <f>BS!O13/PL!O6*365</f>
        <v>51.542875793820286</v>
      </c>
      <c r="J40" s="166">
        <f>BS!P13/PL!P6*365</f>
        <v>46.09727063913418</v>
      </c>
      <c r="K40" s="166">
        <f>BS!Q13/PL!Q6*365</f>
        <v>50.49769936262269</v>
      </c>
      <c r="L40" s="166">
        <f>BS!R13/PL!R6*365</f>
        <v>55.05667361331686</v>
      </c>
      <c r="M40" s="166">
        <f>BS!S13/PL!S6*365</f>
        <v>61.133355429584512</v>
      </c>
      <c r="N40" s="166">
        <f>BS!T13/PL!T6*365</f>
        <v>59.320613187672762</v>
      </c>
      <c r="O40" s="166">
        <f>BS!U13/PL!U6*365</f>
        <v>59.074790996282886</v>
      </c>
      <c r="P40" s="166">
        <f>BS!V13/PL!V6*365</f>
        <v>57.293826087253912</v>
      </c>
      <c r="Q40" s="166">
        <f>BS!W13/PL!W6*365</f>
        <v>29.568726823354655</v>
      </c>
      <c r="R40" s="166">
        <f>BS!X13/PL!X6*365</f>
        <v>45.569562261211907</v>
      </c>
      <c r="S40" s="166">
        <f>BS!Y13/PL!Y6*365</f>
        <v>39.120270681710046</v>
      </c>
      <c r="T40" s="166">
        <f>BS!Z13/PL!Z6*365</f>
        <v>52.460651702413493</v>
      </c>
      <c r="U40" s="166">
        <f>BS!AA13/PL!AA6*365</f>
        <v>64.156766820512587</v>
      </c>
      <c r="V40" s="166">
        <f>BS!AB13/PL!AB6*365</f>
        <v>64.798221551275404</v>
      </c>
      <c r="W40" s="166">
        <f>BS!AC13/PL!AC6*365</f>
        <v>44.210461653337894</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67.522221237581817</v>
      </c>
      <c r="F44" s="166">
        <f>BS!L32/PL!L6*365</f>
        <v>47.74248473945589</v>
      </c>
      <c r="G44" s="166">
        <f>BS!M32/PL!M6*365</f>
        <v>75.774810567292448</v>
      </c>
      <c r="H44" s="166">
        <f>BS!N32/PL!N6*365</f>
        <v>60.791305915704918</v>
      </c>
      <c r="I44" s="166">
        <f>BS!O32/PL!O6*365</f>
        <v>64.995330607495731</v>
      </c>
      <c r="J44" s="166">
        <f>BS!P32/PL!P6*365</f>
        <v>49.557719622566125</v>
      </c>
      <c r="K44" s="166">
        <f>BS!Q32/PL!Q6*365</f>
        <v>48.262311832696369</v>
      </c>
      <c r="L44" s="166">
        <f>BS!R32/PL!R6*365</f>
        <v>54.966440549183098</v>
      </c>
      <c r="M44" s="166">
        <f>BS!S32/PL!S6*365</f>
        <v>54.912085601977161</v>
      </c>
      <c r="N44" s="166">
        <f>BS!T32/PL!T6*365</f>
        <v>77.026999665322421</v>
      </c>
      <c r="O44" s="166">
        <f>BS!U32/PL!U6*365</f>
        <v>48.204315728193464</v>
      </c>
      <c r="P44" s="166">
        <f>BS!V32/PL!V6*365</f>
        <v>54.543674807846109</v>
      </c>
      <c r="Q44" s="166">
        <f>BS!W32/PL!W6*365</f>
        <v>44.965304951908585</v>
      </c>
      <c r="R44" s="166">
        <f>BS!X32/PL!X6*365</f>
        <v>47.954840552694286</v>
      </c>
      <c r="S44" s="166">
        <f>BS!Y32/PL!Y6*365</f>
        <v>47.163811454887423</v>
      </c>
      <c r="T44" s="166">
        <f>BS!Z32/PL!Z6*365</f>
        <v>57.834902494804894</v>
      </c>
      <c r="U44" s="166">
        <f>BS!AA32/PL!AA6*365</f>
        <v>50.049995435369667</v>
      </c>
      <c r="V44" s="166">
        <f>BS!AB32/PL!AB6*365</f>
        <v>45.712721357942534</v>
      </c>
      <c r="W44" s="166">
        <f>BS!AC32/PL!AC6*365</f>
        <v>60.801595079005388</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2.3124014981633096</v>
      </c>
      <c r="F48" s="169">
        <f>F6/F9</f>
        <v>1.6503142097176289</v>
      </c>
      <c r="G48" s="169">
        <f t="shared" si="40"/>
        <v>2.1545807462848843</v>
      </c>
      <c r="H48" s="169">
        <f t="shared" si="40"/>
        <v>2.268789305803435</v>
      </c>
      <c r="I48" s="169">
        <f t="shared" si="40"/>
        <v>1.8824434076813927</v>
      </c>
      <c r="J48" s="169">
        <f t="shared" si="40"/>
        <v>2.3266470644171089</v>
      </c>
      <c r="K48" s="169">
        <f t="shared" si="40"/>
        <v>2.1772981538819769</v>
      </c>
      <c r="L48" s="169">
        <f t="shared" si="40"/>
        <v>2.3636262250458695</v>
      </c>
      <c r="M48" s="169">
        <f t="shared" si="40"/>
        <v>2.1068954386107244</v>
      </c>
      <c r="N48" s="169">
        <f t="shared" ref="N48:W48" si="41">N6/N9</f>
        <v>2.1578050045258195</v>
      </c>
      <c r="O48" s="169">
        <f t="shared" si="41"/>
        <v>1.9150244910309027</v>
      </c>
      <c r="P48" s="169">
        <f t="shared" si="41"/>
        <v>1.7099672795407022</v>
      </c>
      <c r="Q48" s="169">
        <f t="shared" si="41"/>
        <v>1.677929266936766</v>
      </c>
      <c r="R48" s="169">
        <f t="shared" si="41"/>
        <v>1.6627918051943502</v>
      </c>
      <c r="S48" s="169">
        <f t="shared" ref="S48:T48" si="42">S6/S9</f>
        <v>1.7741429628715653</v>
      </c>
      <c r="T48" s="169">
        <f t="shared" si="42"/>
        <v>1.9091598165266375</v>
      </c>
      <c r="U48" s="169">
        <f t="shared" ref="U48:V48" si="43">U6/U9</f>
        <v>1.6720796080825768</v>
      </c>
      <c r="V48" s="169">
        <f t="shared" si="43"/>
        <v>1.6033878540540933</v>
      </c>
      <c r="W48" s="169">
        <f t="shared" si="41"/>
        <v>1.7536400936262777</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164.89056136317046</v>
      </c>
      <c r="F50" s="166">
        <f>(F4/F7)*100</f>
        <v>224.68366929063902</v>
      </c>
      <c r="G50" s="166">
        <f t="shared" si="44"/>
        <v>162.0807083570601</v>
      </c>
      <c r="H50" s="166">
        <f t="shared" si="44"/>
        <v>152.19639267811772</v>
      </c>
      <c r="I50" s="166">
        <f t="shared" si="44"/>
        <v>185.7594094584444</v>
      </c>
      <c r="J50" s="166">
        <f t="shared" si="44"/>
        <v>225.7986683085428</v>
      </c>
      <c r="K50" s="166">
        <f t="shared" si="44"/>
        <v>206.99043103710002</v>
      </c>
      <c r="L50" s="166">
        <f t="shared" si="44"/>
        <v>189.15024701471438</v>
      </c>
      <c r="M50" s="166">
        <f t="shared" si="44"/>
        <v>215.31539960893892</v>
      </c>
      <c r="N50" s="166">
        <f t="shared" ref="N50:W50" si="45">(N4/N7)*100</f>
        <v>170.07122715887496</v>
      </c>
      <c r="O50" s="166">
        <f t="shared" si="45"/>
        <v>221.44405104819316</v>
      </c>
      <c r="P50" s="166">
        <f t="shared" si="45"/>
        <v>245.10523521245321</v>
      </c>
      <c r="Q50" s="166">
        <f t="shared" si="45"/>
        <v>263.06564672494125</v>
      </c>
      <c r="R50" s="166">
        <f t="shared" si="45"/>
        <v>273.82450019289234</v>
      </c>
      <c r="S50" s="166">
        <f t="shared" ref="S50:T50" si="46">(S4/S7)*100</f>
        <v>235.93996272049375</v>
      </c>
      <c r="T50" s="166">
        <f t="shared" si="46"/>
        <v>206.42890788668535</v>
      </c>
      <c r="U50" s="166">
        <f t="shared" ref="U50:V50" si="47">(U4/U7)*100</f>
        <v>229.43399963114945</v>
      </c>
      <c r="V50" s="166">
        <f t="shared" si="47"/>
        <v>255.70104725966846</v>
      </c>
      <c r="W50" s="166">
        <f t="shared" si="45"/>
        <v>226.12291575145272</v>
      </c>
    </row>
    <row r="51" spans="1:23" x14ac:dyDescent="0.2">
      <c r="A51" s="341"/>
      <c r="B51" s="167"/>
      <c r="C51" s="168" t="s">
        <v>434</v>
      </c>
      <c r="D51" s="205" t="s">
        <v>404</v>
      </c>
      <c r="E51" s="169">
        <f>((BS!K10+BS!K11+BS!K12)/BS!K31)*100</f>
        <v>122.44561487937682</v>
      </c>
      <c r="F51" s="169">
        <f>((BS!L10+BS!L11+BS!L12)/BS!L31)*100</f>
        <v>136.71776861185549</v>
      </c>
      <c r="G51" s="169">
        <f>((BS!M10+BS!M11+BS!M12)/BS!M31)*100</f>
        <v>132.73837671376336</v>
      </c>
      <c r="H51" s="169">
        <f>((BS!N10+BS!N11+BS!N12)/BS!N31)*100</f>
        <v>106.74565627800696</v>
      </c>
      <c r="I51" s="169">
        <f>((BS!O10+BS!O11+BS!O12)/BS!O31)*100</f>
        <v>133.50619200505952</v>
      </c>
      <c r="J51" s="169">
        <f>((BS!P10+BS!P11+BS!P12)/BS!P31)*100</f>
        <v>164.37352047247828</v>
      </c>
      <c r="K51" s="169">
        <f>((BS!Q10+BS!Q11+BS!Q12)/BS!Q31)*100</f>
        <v>149.09411537146352</v>
      </c>
      <c r="L51" s="169">
        <f>((BS!R10+BS!R11+BS!R12)/BS!R31)*100</f>
        <v>132.53610674082137</v>
      </c>
      <c r="M51" s="169">
        <f>((BS!S10+BS!S11+BS!S12)/BS!S31)*100</f>
        <v>148.65675606687066</v>
      </c>
      <c r="N51" s="169">
        <f>((BS!T10+BS!T11+BS!T12)/BS!T31)*100</f>
        <v>101.84624116216519</v>
      </c>
      <c r="O51" s="169">
        <f>((BS!U10+BS!U11+BS!U12)/BS!U31)*100</f>
        <v>130.45175084447641</v>
      </c>
      <c r="P51" s="169">
        <f>((BS!V10+BS!V11+BS!V12)/BS!V31)*100</f>
        <v>170.63434845178824</v>
      </c>
      <c r="Q51" s="169">
        <f>((BS!W10+BS!W11+BS!W12)/BS!W31)*100</f>
        <v>179.73118252391595</v>
      </c>
      <c r="R51" s="169">
        <f>((BS!X10+BS!X11+BS!X12)/BS!X31)*100</f>
        <v>216.62462933159802</v>
      </c>
      <c r="S51" s="169">
        <f>((BS!Y10+BS!Y11+BS!Y12)/BS!Y31)*100</f>
        <v>184.52496316466767</v>
      </c>
      <c r="T51" s="169">
        <f>((BS!Z10+BS!Z11+BS!Z12)/BS!Z31)*100</f>
        <v>140.71460056951219</v>
      </c>
      <c r="U51" s="169">
        <f>((BS!AA10+BS!AA11+BS!AA12)/BS!AA31)*100</f>
        <v>141.34502226869731</v>
      </c>
      <c r="V51" s="169">
        <f>((BS!AB10+BS!AB11+BS!AB12)/BS!AB31)*100</f>
        <v>174.78685639579703</v>
      </c>
      <c r="W51" s="169">
        <f>((BS!AC10+BS!AC11+BS!AC12)/BS!AC31)*100</f>
        <v>163.69996887885952</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43.24508528446632</v>
      </c>
      <c r="F53" s="166">
        <f>(F9/F6)*100</f>
        <v>60.594521583323299</v>
      </c>
      <c r="G53" s="166">
        <f t="shared" si="48"/>
        <v>46.412741862856016</v>
      </c>
      <c r="H53" s="166">
        <f t="shared" si="48"/>
        <v>44.076371368732062</v>
      </c>
      <c r="I53" s="166">
        <f t="shared" si="48"/>
        <v>53.122446917631429</v>
      </c>
      <c r="J53" s="166">
        <f t="shared" si="48"/>
        <v>42.980304804008952</v>
      </c>
      <c r="K53" s="166">
        <f t="shared" si="48"/>
        <v>45.928482427501578</v>
      </c>
      <c r="L53" s="166">
        <f t="shared" si="48"/>
        <v>42.307873783241405</v>
      </c>
      <c r="M53" s="166">
        <f t="shared" si="48"/>
        <v>47.46320019845858</v>
      </c>
      <c r="N53" s="166">
        <f t="shared" ref="N53:W53" si="49">(N9/N6)*100</f>
        <v>46.343390524286569</v>
      </c>
      <c r="O53" s="166">
        <f t="shared" si="49"/>
        <v>52.218653321852635</v>
      </c>
      <c r="P53" s="166">
        <f t="shared" si="49"/>
        <v>58.480651177641263</v>
      </c>
      <c r="Q53" s="166">
        <f t="shared" si="49"/>
        <v>59.597267876827956</v>
      </c>
      <c r="R53" s="166">
        <f t="shared" si="49"/>
        <v>60.139820083075165</v>
      </c>
      <c r="S53" s="166">
        <f t="shared" ref="S53:T53" si="50">(S9/S6)*100</f>
        <v>56.36524344021494</v>
      </c>
      <c r="T53" s="166">
        <f t="shared" si="50"/>
        <v>52.379061791658422</v>
      </c>
      <c r="U53" s="166">
        <f t="shared" ref="U53:V53" si="51">(U9/U6)*100</f>
        <v>59.805764938831452</v>
      </c>
      <c r="V53" s="166">
        <f t="shared" si="51"/>
        <v>62.36794157268595</v>
      </c>
      <c r="W53" s="166">
        <f t="shared" si="49"/>
        <v>57.024243665194874</v>
      </c>
    </row>
    <row r="54" spans="1:23" x14ac:dyDescent="0.2">
      <c r="A54" s="341"/>
      <c r="B54" s="167"/>
      <c r="C54" s="168" t="s">
        <v>437</v>
      </c>
      <c r="D54" s="205" t="s">
        <v>404</v>
      </c>
      <c r="E54" s="169">
        <f t="shared" ref="E54:M54" si="52">(E7+E8)/E9*100</f>
        <v>131.24014981633007</v>
      </c>
      <c r="F54" s="169">
        <f>(F7+F8)/F9*100</f>
        <v>65.03142097176287</v>
      </c>
      <c r="G54" s="169">
        <f t="shared" si="52"/>
        <v>115.45807462848852</v>
      </c>
      <c r="H54" s="169">
        <f t="shared" si="52"/>
        <v>126.87893058034325</v>
      </c>
      <c r="I54" s="169">
        <f t="shared" si="52"/>
        <v>88.244340768139224</v>
      </c>
      <c r="J54" s="169">
        <f t="shared" si="52"/>
        <v>132.66470644171048</v>
      </c>
      <c r="K54" s="169">
        <f t="shared" si="52"/>
        <v>117.72981538819809</v>
      </c>
      <c r="L54" s="169">
        <f t="shared" si="52"/>
        <v>136.36262250458705</v>
      </c>
      <c r="M54" s="169">
        <f t="shared" si="52"/>
        <v>110.68954386107239</v>
      </c>
      <c r="N54" s="169">
        <f t="shared" ref="N54:W54" si="53">(N7+N8)/N9*100</f>
        <v>115.78050045258207</v>
      </c>
      <c r="O54" s="169">
        <f t="shared" si="53"/>
        <v>91.502449103090484</v>
      </c>
      <c r="P54" s="169">
        <f t="shared" si="53"/>
        <v>70.996727954070323</v>
      </c>
      <c r="Q54" s="169">
        <f t="shared" si="53"/>
        <v>67.792926693676719</v>
      </c>
      <c r="R54" s="169">
        <f t="shared" si="53"/>
        <v>66.279180519435158</v>
      </c>
      <c r="S54" s="169">
        <f t="shared" ref="S54:T54" si="54">(S7+S8)/S9*100</f>
        <v>77.414296287156475</v>
      </c>
      <c r="T54" s="169">
        <f t="shared" si="54"/>
        <v>90.915981652663618</v>
      </c>
      <c r="U54" s="169">
        <f t="shared" ref="U54:V54" si="55">(U7+U8)/U9*100</f>
        <v>67.207960808257667</v>
      </c>
      <c r="V54" s="169">
        <f t="shared" si="55"/>
        <v>60.338785405409368</v>
      </c>
      <c r="W54" s="169">
        <f t="shared" si="53"/>
        <v>75.364009362627783</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65.644380455782212</v>
      </c>
      <c r="F56" s="166">
        <f>(F5/(F8+F9))*100</f>
        <v>51.234324952342433</v>
      </c>
      <c r="G56" s="166">
        <f t="shared" si="56"/>
        <v>64.137541158417548</v>
      </c>
      <c r="H56" s="166">
        <f t="shared" si="56"/>
        <v>70.876912919402969</v>
      </c>
      <c r="I56" s="166">
        <f t="shared" si="56"/>
        <v>58.820743599194671</v>
      </c>
      <c r="J56" s="166">
        <f t="shared" si="56"/>
        <v>52.254273224944548</v>
      </c>
      <c r="K56" s="166">
        <f t="shared" si="56"/>
        <v>58.767668358921711</v>
      </c>
      <c r="L56" s="166">
        <f t="shared" si="56"/>
        <v>56.999698293296717</v>
      </c>
      <c r="M56" s="166">
        <f t="shared" si="56"/>
        <v>51.893055733670515</v>
      </c>
      <c r="N56" s="166">
        <f t="shared" ref="N56:W56" si="57">(N5/(N8+N9))*100</f>
        <v>56.806731714781556</v>
      </c>
      <c r="O56" s="166">
        <f t="shared" si="57"/>
        <v>54.713671271432197</v>
      </c>
      <c r="P56" s="166">
        <f t="shared" si="57"/>
        <v>53.978734362186152</v>
      </c>
      <c r="Q56" s="166">
        <f t="shared" si="57"/>
        <v>45.770003086542815</v>
      </c>
      <c r="R56" s="166">
        <f t="shared" si="57"/>
        <v>47.079490040392045</v>
      </c>
      <c r="S56" s="166">
        <f t="shared" ref="S56:T56" si="58">(S5/(S8+S9))*100</f>
        <v>55.737452709738669</v>
      </c>
      <c r="T56" s="166">
        <f t="shared" si="58"/>
        <v>60.359157248570149</v>
      </c>
      <c r="U56" s="166">
        <f t="shared" ref="U56:V56" si="59">(U5/(U8+U9))*100</f>
        <v>56.831759345615716</v>
      </c>
      <c r="V56" s="166">
        <f t="shared" si="59"/>
        <v>55.693868311326867</v>
      </c>
      <c r="W56" s="166">
        <f t="shared" si="57"/>
        <v>54.845328233221565</v>
      </c>
    </row>
    <row r="57" spans="1:23" x14ac:dyDescent="0.2">
      <c r="A57" s="341"/>
      <c r="B57" s="167"/>
      <c r="C57" s="168" t="s">
        <v>440</v>
      </c>
      <c r="D57" s="205" t="s">
        <v>404</v>
      </c>
      <c r="E57" s="169">
        <f t="shared" ref="E57:M57" si="60">(E5/E9)*100</f>
        <v>99.796792806670126</v>
      </c>
      <c r="F57" s="169">
        <f>(F5/F9)*100</f>
        <v>60.789252147281545</v>
      </c>
      <c r="G57" s="169">
        <f t="shared" si="60"/>
        <v>88.129783280709376</v>
      </c>
      <c r="H57" s="169">
        <f t="shared" si="60"/>
        <v>103.56653347864501</v>
      </c>
      <c r="I57" s="169">
        <f t="shared" si="60"/>
        <v>75.669186289888145</v>
      </c>
      <c r="J57" s="169">
        <f t="shared" si="60"/>
        <v>88.183520112675666</v>
      </c>
      <c r="K57" s="169">
        <f t="shared" si="60"/>
        <v>92.644072921116006</v>
      </c>
      <c r="L57" s="169">
        <f t="shared" si="60"/>
        <v>90.958669590935614</v>
      </c>
      <c r="M57" s="169">
        <f t="shared" si="60"/>
        <v>77.209356689045507</v>
      </c>
      <c r="N57" s="169">
        <f t="shared" ref="N57:W57" si="61">(N5/N9)*100</f>
        <v>75.917917893537492</v>
      </c>
      <c r="O57" s="169">
        <f t="shared" si="61"/>
        <v>76.491334198329412</v>
      </c>
      <c r="P57" s="169">
        <f t="shared" si="61"/>
        <v>70.197031840634978</v>
      </c>
      <c r="Q57" s="169">
        <f t="shared" si="61"/>
        <v>57.652285296999672</v>
      </c>
      <c r="R57" s="169">
        <f t="shared" si="61"/>
        <v>60.055330019035814</v>
      </c>
      <c r="S57" s="169">
        <f t="shared" ref="S57:T57" si="62">(S5/S9)*100</f>
        <v>74.650960368609049</v>
      </c>
      <c r="T57" s="169">
        <f t="shared" si="62"/>
        <v>84.199426863004874</v>
      </c>
      <c r="U57" s="169">
        <f t="shared" ref="U57:V57" si="63">(U5/U9)*100</f>
        <v>71.332887178688537</v>
      </c>
      <c r="V57" s="169">
        <f t="shared" si="63"/>
        <v>69.573873515264168</v>
      </c>
      <c r="W57" s="169">
        <f t="shared" si="61"/>
        <v>70.9098270195922</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6.9451046197587596</v>
      </c>
      <c r="G59" s="166">
        <f>(ＣＦ!E22+PL!M32+(PL!M37-PL!M38))/PL!M32</f>
        <v>60.536283580627938</v>
      </c>
      <c r="H59" s="166">
        <f>(ＣＦ!F22+PL!N32+(PL!N37-PL!N38))/PL!N32</f>
        <v>-0.85487328049027933</v>
      </c>
      <c r="I59" s="166">
        <f>(ＣＦ!G22+PL!O32+(PL!O37-PL!O38))/PL!O32</f>
        <v>2.8122953919385409</v>
      </c>
      <c r="J59" s="166">
        <f>(ＣＦ!H22+PL!P32+(PL!P37-PL!P38))/PL!P32</f>
        <v>13.250663678671566</v>
      </c>
      <c r="K59" s="166">
        <f>(ＣＦ!I22+PL!Q32+(PL!Q37-PL!Q38))/PL!Q32</f>
        <v>13.994756712289112</v>
      </c>
      <c r="L59" s="166">
        <f>(ＣＦ!J22+PL!R32+(PL!R37-PL!R38))/PL!R32</f>
        <v>30.265665045555405</v>
      </c>
      <c r="M59" s="166">
        <f>(ＣＦ!K22+PL!S32+(PL!S37-PL!S38))/PL!S32</f>
        <v>6.6826472269589798</v>
      </c>
      <c r="N59" s="166">
        <f>(ＣＦ!L22+PL!T32+(PL!T37-PL!T38))/PL!T32</f>
        <v>-1.590746606524136</v>
      </c>
      <c r="O59" s="166">
        <f>(ＣＦ!M22+PL!U32+(PL!U37-PL!U38))/PL!U32</f>
        <v>22.324825228614809</v>
      </c>
      <c r="P59" s="166">
        <f>(ＣＦ!N22+PL!V32+(PL!V37-PL!V38))/PL!V32</f>
        <v>41.643649742806204</v>
      </c>
      <c r="Q59" s="166">
        <f>(ＣＦ!O22+PL!W32+(PL!W37-PL!W38))/PL!W32</f>
        <v>27.757995098988602</v>
      </c>
      <c r="R59" s="166">
        <f>(ＣＦ!P22+PL!X32+(PL!X37-PL!X38))/PL!X32</f>
        <v>102.76573496030635</v>
      </c>
      <c r="S59" s="166">
        <f>(ＣＦ!Q22+PL!Y32+(PL!Y37-PL!Y38))/PL!Y32</f>
        <v>48.448718038747145</v>
      </c>
      <c r="T59" s="166">
        <f>(ＣＦ!R22+PL!Z32+(PL!Z37-PL!Z38))/PL!Z32</f>
        <v>12.729413640279024</v>
      </c>
      <c r="U59" s="166">
        <f>(ＣＦ!S22+PL!AA32+(PL!AA37-PL!AA38))/PL!AA32</f>
        <v>9.9346997076099139</v>
      </c>
      <c r="V59" s="166">
        <f>(ＣＦ!T22+PL!AB32+(PL!AB37-PL!AB38))/PL!AB32</f>
        <v>82.894066168557401</v>
      </c>
      <c r="W59" s="166">
        <f>(ＣＦ!U22+PL!AC32+(PL!AC37-PL!AC38))/PL!AC32</f>
        <v>75.69176670303888</v>
      </c>
    </row>
    <row r="60" spans="1:23" x14ac:dyDescent="0.2">
      <c r="A60" s="341"/>
      <c r="B60" s="163"/>
      <c r="C60" s="164" t="s">
        <v>444</v>
      </c>
      <c r="D60" s="204" t="s">
        <v>404</v>
      </c>
      <c r="E60" s="176" t="s">
        <v>455</v>
      </c>
      <c r="F60" s="166">
        <f>(ＣＦ!D22/(BS!L33+BS!L38+BS!L39))*100</f>
        <v>-30.472795088266956</v>
      </c>
      <c r="G60" s="166">
        <f>(ＣＦ!E22/(BS!M33+BS!M38+BS!M39))*100</f>
        <v>148.49287930969527</v>
      </c>
      <c r="H60" s="166">
        <f>(ＣＦ!F22/(BS!N33+BS!N38+BS!N39))*100</f>
        <v>-0.98101620640365461</v>
      </c>
      <c r="I60" s="166">
        <f>(ＣＦ!G22/(BS!O33+BS!O38+BS!O39))*100</f>
        <v>-6.2242989745533812</v>
      </c>
      <c r="J60" s="166">
        <f>(ＣＦ!H22/(BS!P33+BS!P38+BS!P39))*100</f>
        <v>19.691309183216688</v>
      </c>
      <c r="K60" s="166">
        <f>(ＣＦ!I22/(BS!Q33+BS!Q38+BS!Q39))*100</f>
        <v>26.197199054736991</v>
      </c>
      <c r="L60" s="166">
        <f>(ＣＦ!J22/(BS!R33+BS!R38+BS!R39))*100</f>
        <v>67.296529675442713</v>
      </c>
      <c r="M60" s="166">
        <f>(ＣＦ!K22/(BS!S33+BS!S38+BS!S39))*100</f>
        <v>10.180346760183008</v>
      </c>
      <c r="N60" s="166">
        <f>(ＣＦ!L22/(BS!T33+BS!T38+BS!T39))*100</f>
        <v>-31.657536714873729</v>
      </c>
      <c r="O60" s="166">
        <f>(ＣＦ!M22/(BS!U33+BS!U38+BS!U39))*100</f>
        <v>32.051072068246484</v>
      </c>
      <c r="P60" s="166">
        <f>(ＣＦ!N22/(BS!V33+BS!V38+BS!V39))*100</f>
        <v>63.900127107205584</v>
      </c>
      <c r="Q60" s="166">
        <f>(ＣＦ!O22/(BS!W33+BS!W38+BS!W39))*100</f>
        <v>23.761046744021023</v>
      </c>
      <c r="R60" s="166">
        <f>(ＣＦ!P22/(BS!X33+BS!X38+BS!X39))*100</f>
        <v>97.334471158245094</v>
      </c>
      <c r="S60" s="166">
        <f>(ＣＦ!Q22/(BS!Y33+BS!Y38+BS!Y39))*100</f>
        <v>81.377104278116974</v>
      </c>
      <c r="T60" s="166">
        <f>(ＣＦ!R22/(BS!Z33+BS!Z38+BS!Z39))*100</f>
        <v>1.7924528794541186</v>
      </c>
      <c r="U60" s="166">
        <f>(ＣＦ!S22/(BS!AA33+BS!AA38+BS!AA39))*100</f>
        <v>-2.6541563847164462</v>
      </c>
      <c r="V60" s="166">
        <f>(ＣＦ!T22/(BS!AB33+BS!AB38+BS!AB39))*100</f>
        <v>67.255699527657399</v>
      </c>
      <c r="W60" s="166">
        <f>(ＣＦ!U22/(BS!AC33+BS!AC38+BS!AC39))*100</f>
        <v>66.794245711271031</v>
      </c>
    </row>
    <row r="61" spans="1:23" x14ac:dyDescent="0.2">
      <c r="A61" s="341"/>
      <c r="B61" s="167"/>
      <c r="C61" s="168" t="s">
        <v>445</v>
      </c>
      <c r="D61" s="205" t="s">
        <v>404</v>
      </c>
      <c r="E61" s="177" t="s">
        <v>455</v>
      </c>
      <c r="F61" s="169">
        <f>(ＣＦ!D22/ＣＦ!D26)</f>
        <v>0.26389339018733843</v>
      </c>
      <c r="G61" s="169">
        <f>(ＣＦ!E22/ＣＦ!E26)</f>
        <v>10.531703429565507</v>
      </c>
      <c r="H61" s="169">
        <f>(ＣＦ!F22/ＣＦ!F26)</f>
        <v>3.2961065191297344E-2</v>
      </c>
      <c r="I61" s="169">
        <f>(ＣＦ!G22/ＣＦ!G26)</f>
        <v>-0.18534828585519275</v>
      </c>
      <c r="J61" s="169">
        <f>(ＣＦ!H22/ＣＦ!H26)</f>
        <v>-0.66462402514369701</v>
      </c>
      <c r="K61" s="169">
        <f>(ＣＦ!I22/ＣＦ!I26)</f>
        <v>-0.69557387198442289</v>
      </c>
      <c r="L61" s="169">
        <f>(ＣＦ!J22/ＣＦ!J26)</f>
        <v>-1.5701220154604225</v>
      </c>
      <c r="M61" s="169">
        <f>(ＣＦ!K22/ＣＦ!K26)</f>
        <v>0.75918464165812183</v>
      </c>
      <c r="N61" s="169">
        <f>(ＣＦ!L22/ＣＦ!L26)</f>
        <v>0.30708326939306252</v>
      </c>
      <c r="O61" s="169">
        <f>(ＣＦ!M22/ＣＦ!M26)</f>
        <v>0.61588742555207932</v>
      </c>
      <c r="P61" s="169">
        <f>(ＣＦ!N22/ＣＦ!N26)</f>
        <v>-2.8119630245544811</v>
      </c>
      <c r="Q61" s="169">
        <f>(ＣＦ!O22/ＣＦ!O26)</f>
        <v>1.6900720400487919</v>
      </c>
      <c r="R61" s="169">
        <f>(ＣＦ!P22/ＣＦ!P26)</f>
        <v>-3.5562956425057624</v>
      </c>
      <c r="S61" s="169">
        <f>(ＣＦ!Q22/ＣＦ!Q26)</f>
        <v>-0.5803497479545402</v>
      </c>
      <c r="T61" s="169">
        <f>(ＣＦ!R22/ＣＦ!R26)</f>
        <v>-1.5223439086783336E-2</v>
      </c>
      <c r="U61" s="169">
        <f>(ＣＦ!S22/ＣＦ!S26)</f>
        <v>-5.3827780203834184E-2</v>
      </c>
      <c r="V61" s="169">
        <f>(ＣＦ!T22/ＣＦ!T26)</f>
        <v>-0.90512994715226902</v>
      </c>
      <c r="W61" s="169">
        <f>(ＣＦ!U22/ＣＦ!U26)</f>
        <v>-2.5425533492826449</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46.892889014981982</v>
      </c>
      <c r="F63" s="166">
        <f>(PL!L47/PL!L6)*100</f>
        <v>45.15742017459408</v>
      </c>
      <c r="G63" s="166">
        <f>(PL!M47/PL!M6)*100</f>
        <v>33.736864606447206</v>
      </c>
      <c r="H63" s="166">
        <f>(PL!N47/PL!N6)*100</f>
        <v>43.815642446100419</v>
      </c>
      <c r="I63" s="166">
        <f>(PL!O47/PL!O6)*100</f>
        <v>43.072081866627208</v>
      </c>
      <c r="J63" s="166">
        <f>(PL!P47/PL!P6)*100</f>
        <v>51.886637809759641</v>
      </c>
      <c r="K63" s="166">
        <f>(PL!Q47/PL!Q6)*100</f>
        <v>50.342471969553301</v>
      </c>
      <c r="L63" s="166">
        <f>(PL!R47/PL!R6)*100</f>
        <v>44.776241823272905</v>
      </c>
      <c r="M63" s="166">
        <f>(PL!S47/PL!S6)*100</f>
        <v>50.764560316695196</v>
      </c>
      <c r="N63" s="166">
        <f>(PL!T47/PL!T6)*100</f>
        <v>75.235483669269058</v>
      </c>
      <c r="O63" s="166">
        <f>(PL!U47/PL!U6)*100</f>
        <v>55.363537665709195</v>
      </c>
      <c r="P63" s="166">
        <f>(PL!V47/PL!V6)*100</f>
        <v>46.96467451814857</v>
      </c>
      <c r="Q63" s="166">
        <f>(PL!W47/PL!W6)*100</f>
        <v>50.338693438547175</v>
      </c>
      <c r="R63" s="166">
        <f>(PL!X47/PL!X6)*100</f>
        <v>50.66095227614268</v>
      </c>
      <c r="S63" s="166">
        <f>(PL!Y47/PL!Y6)*100</f>
        <v>46.633403738299279</v>
      </c>
      <c r="T63" s="166">
        <f>(PL!Z47/PL!Z6)*100</f>
        <v>51.430610776792093</v>
      </c>
      <c r="U63" s="166">
        <f>(PL!AA47/PL!AA6)*100</f>
        <v>49.555677061452535</v>
      </c>
      <c r="V63" s="166">
        <f>(PL!AB47/PL!AB6)*100</f>
        <v>50.982378187840652</v>
      </c>
      <c r="W63" s="166">
        <f>(PL!AC47/PL!AC6)*100</f>
        <v>46.226187406828039</v>
      </c>
    </row>
    <row r="64" spans="1:23" x14ac:dyDescent="0.2">
      <c r="A64" s="341"/>
      <c r="B64" s="167"/>
      <c r="C64" s="168" t="s">
        <v>448</v>
      </c>
      <c r="D64" s="205" t="s">
        <v>404</v>
      </c>
      <c r="E64" s="172">
        <f>(PL!K34+PL!K11+PL!K17+PL!K32+PL!K18+PL!K26+PL!K24+PL!K13)/(BS!K18+BS!K19)*100</f>
        <v>317.1119823193946</v>
      </c>
      <c r="F64" s="172">
        <f>(PL!L34+PL!L11+PL!L17+PL!L32+PL!L18+PL!L26+PL!L24+PL!L13)/(BS!L18+BS!L19)*100</f>
        <v>320.58922814296676</v>
      </c>
      <c r="G64" s="172">
        <f>(PL!M34+PL!M11+PL!M17+PL!M32+PL!M18+PL!M26+PL!M24+PL!M13)/(BS!M18+BS!M19)*100</f>
        <v>419.53344965345372</v>
      </c>
      <c r="H64" s="172">
        <f>(PL!N34+PL!N11+PL!N17+PL!N32+PL!N18+PL!N26+PL!N24+PL!N13)/(BS!N18+BS!N19)*100</f>
        <v>223.34166778841555</v>
      </c>
      <c r="I64" s="172">
        <f>(PL!O34+PL!O11+PL!O17+PL!O32+PL!O18+PL!O26+PL!O24+PL!O13)/(BS!O18+BS!O19)*100</f>
        <v>107.14852466684653</v>
      </c>
      <c r="J64" s="172">
        <f>(PL!P34+PL!P11+PL!P17+PL!P32+PL!P18+PL!P26+PL!P24+PL!P13)/(BS!P18+BS!P19)*100</f>
        <v>251.71751678231118</v>
      </c>
      <c r="K64" s="172">
        <f>(PL!Q34+PL!Q11+PL!Q17+PL!Q32+PL!Q18+PL!Q26+PL!Q24+PL!Q13)/(BS!Q18+BS!Q19)*100</f>
        <v>362.78862662004576</v>
      </c>
      <c r="L64" s="172">
        <f>(PL!R34+PL!R11+PL!R17+PL!R32+PL!R18+PL!R26+PL!R24+PL!R13)/(BS!R18+BS!R19)*100</f>
        <v>376.57370493485536</v>
      </c>
      <c r="M64" s="172">
        <f>(PL!S34+PL!S11+PL!S17+PL!S32+PL!S18+PL!S26+PL!S24+PL!S13)/(BS!S18+BS!S19)*100</f>
        <v>296.95787397212433</v>
      </c>
      <c r="N64" s="172">
        <f>(PL!T34+PL!T11+PL!T17+PL!T32+PL!T18+PL!T26+PL!T24+PL!T13)/(BS!T18+BS!T19)*100</f>
        <v>342.23753774620775</v>
      </c>
      <c r="O64" s="172">
        <f>(PL!U34+PL!U11+PL!U17+PL!U32+PL!U18+PL!U26+PL!U24+PL!U13)/(BS!U18+BS!U19)*100</f>
        <v>101.27307610504994</v>
      </c>
      <c r="P64" s="172">
        <f>(PL!V34+PL!V11+PL!V17+PL!V32+PL!V18+PL!V26+PL!V24+PL!V13)/(BS!V18+BS!V19)*100</f>
        <v>188.252043004916</v>
      </c>
      <c r="Q64" s="172">
        <f>(PL!W34+PL!W11+PL!W17+PL!W32+PL!W18+PL!W26+PL!W24+PL!W13)/(BS!W18+BS!W19)*100</f>
        <v>171.09248043642401</v>
      </c>
      <c r="R64" s="172">
        <f>(PL!X34+PL!X11+PL!X17+PL!X32+PL!X18+PL!X26+PL!X24+PL!X13)/(BS!X18+BS!X19)*100</f>
        <v>287.48814592913379</v>
      </c>
      <c r="S64" s="172">
        <f>(PL!Y34+PL!Y11+PL!Y17+PL!Y32+PL!Y18+PL!Y26+PL!Y24+PL!Y13)/(BS!Y18+BS!Y19)*100</f>
        <v>324.84136422792756</v>
      </c>
      <c r="T64" s="172">
        <f>(PL!Z34+PL!Z11+PL!Z17+PL!Z32+PL!Z18+PL!Z26+PL!Z24+PL!Z13)/(BS!Z18+BS!Z19)*100</f>
        <v>218.84840466814231</v>
      </c>
      <c r="U64" s="172">
        <f>(PL!AA34+PL!AA11+PL!AA17+PL!AA32+PL!AA18+PL!AA26+PL!AA24+PL!AA13)/(BS!AA18+BS!AA19)*100</f>
        <v>161.2781724179344</v>
      </c>
      <c r="V64" s="172">
        <f>(PL!AB34+PL!AB11+PL!AB17+PL!AB32+PL!AB18+PL!AB26+PL!AB24+PL!AB13)/(BS!AB18+BS!AB19)*100</f>
        <v>219.86876311510514</v>
      </c>
      <c r="W64" s="172">
        <f>(PL!AC34+PL!AC11+PL!AC17+PL!AC32+PL!AC18+PL!AC26+PL!AC24+PL!AC13)/(BS!AC18+BS!AC19)*100</f>
        <v>277.11477836285331</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42.257420078017496</v>
      </c>
      <c r="F66" s="169">
        <f>(PL!L11+PL!L17)/PL!L47*100</f>
        <v>26.158586810212419</v>
      </c>
      <c r="G66" s="169">
        <f>(PL!M11+PL!M17)/PL!M47*100</f>
        <v>46.221643893811212</v>
      </c>
      <c r="H66" s="169">
        <f>(PL!N11+PL!N17)/PL!N47*100</f>
        <v>39.529747239547881</v>
      </c>
      <c r="I66" s="169">
        <f>(PL!O11+PL!O17)/PL!O47*100</f>
        <v>34.30403966504911</v>
      </c>
      <c r="J66" s="169">
        <f>(PL!P11+PL!P17)/PL!P47*100</f>
        <v>32.610399660666687</v>
      </c>
      <c r="K66" s="169">
        <f>(PL!Q11+PL!Q17)/PL!Q47*100</f>
        <v>43.412690143229469</v>
      </c>
      <c r="L66" s="169">
        <f>(PL!R11+PL!R17)/PL!R47*100</f>
        <v>40.462322059731399</v>
      </c>
      <c r="M66" s="169">
        <f>(PL!S11+PL!S17)/PL!S47*100</f>
        <v>33.74644517450028</v>
      </c>
      <c r="N66" s="169">
        <f>(PL!T11+PL!T17)/PL!T47*100</f>
        <v>15.639555429557284</v>
      </c>
      <c r="O66" s="169">
        <f>(PL!U11+PL!U17)/PL!U47*100</f>
        <v>22.629358508075732</v>
      </c>
      <c r="P66" s="169">
        <f>(PL!V11+PL!V17)/PL!V47*100</f>
        <v>33.655223495027684</v>
      </c>
      <c r="Q66" s="169">
        <f>(PL!W11+PL!W17)/PL!W47*100</f>
        <v>33.063786704856277</v>
      </c>
      <c r="R66" s="169">
        <f>(PL!X11+PL!X17)/PL!X47*100</f>
        <v>30.356358811904165</v>
      </c>
      <c r="S66" s="169">
        <f>(PL!Y11+PL!Y17)/PL!Y47*100</f>
        <v>42.186457785167491</v>
      </c>
      <c r="T66" s="169">
        <f>(PL!Z11+PL!Z17)/PL!Z47*100</f>
        <v>32.208903489430298</v>
      </c>
      <c r="U66" s="169">
        <f>(PL!AA11+PL!AA17)/PL!AA47*100</f>
        <v>33.558491255463863</v>
      </c>
      <c r="V66" s="169">
        <f>(PL!AB11+PL!AB17)/PL!AB47*100</f>
        <v>33.224477375631487</v>
      </c>
      <c r="W66" s="169">
        <f>(PL!AC11+PL!AC17)/PL!AC47*100</f>
        <v>35.538040337316296</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29.628771431401784</v>
      </c>
      <c r="F68" s="166">
        <f>(BS!L33+BS!L34+BS!L38+BS!L39+BS!L40)/BS!L8*100</f>
        <v>11.152829825624936</v>
      </c>
      <c r="G68" s="166">
        <f>(BS!M33+BS!M34+BS!M38+BS!M39+BS!M40)/BS!M8*100</f>
        <v>23.392637258159745</v>
      </c>
      <c r="H68" s="166">
        <f>(BS!N33+BS!N34+BS!N38+BS!N39+BS!N40)/BS!N8*100</f>
        <v>29.66440115984922</v>
      </c>
      <c r="I68" s="166">
        <f>(BS!O33+BS!O34+BS!O38+BS!O39+BS!O40)/BS!O8*100</f>
        <v>22.168375235914947</v>
      </c>
      <c r="J68" s="166">
        <f>(BS!P33+BS!P34+BS!P38+BS!P39+BS!P40)/BS!P8*100</f>
        <v>32.576444196180773</v>
      </c>
      <c r="K68" s="166">
        <f>(BS!Q33+BS!Q34+BS!Q38+BS!Q39+BS!Q40)/BS!Q8*100</f>
        <v>31.253927730854652</v>
      </c>
      <c r="L68" s="166">
        <f>(BS!R33+BS!R34+BS!R38+BS!R39+BS!R40)/BS!R8*100</f>
        <v>28.63975966649539</v>
      </c>
      <c r="M68" s="166">
        <f>(BS!S33+BS!S34+BS!S38+BS!S39+BS!S40)/BS!S8*100</f>
        <v>26.189662305439821</v>
      </c>
      <c r="N68" s="166">
        <f>(BS!T33+BS!T34+BS!T38+BS!T39+BS!T40)/BS!T8*100</f>
        <v>20.104658880700114</v>
      </c>
      <c r="O68" s="166">
        <f>(BS!U33+BS!U34+BS!U38+BS!U39+BS!U40)/BS!U8*100</f>
        <v>22.183098602806407</v>
      </c>
      <c r="P68" s="166">
        <f>(BS!V33+BS!V34+BS!V38+BS!V39+BS!V40)/BS!V8*100</f>
        <v>18.144919028843805</v>
      </c>
      <c r="Q68" s="166">
        <f>(BS!W33+BS!W34+BS!W38+BS!W39+BS!W40)/BS!W8*100</f>
        <v>18.917756039357155</v>
      </c>
      <c r="R68" s="166">
        <f>(BS!X33+BS!X34+BS!X38+BS!X39+BS!X40)/BS!X8*100</f>
        <v>17.519666585528071</v>
      </c>
      <c r="S68" s="166">
        <f>(BS!Y33+BS!Y34+BS!Y38+BS!Y39+BS!Y40)/BS!Y8*100</f>
        <v>19.010974611616092</v>
      </c>
      <c r="T68" s="166">
        <f>(BS!Z33+BS!Z34+BS!Z38+BS!Z39+BS!Z40)/BS!Z8*100</f>
        <v>25.005264765840394</v>
      </c>
      <c r="U68" s="166">
        <f>(BS!AA33+BS!AA34+BS!AA38+BS!AA39+BS!AA40)/BS!AA8*100</f>
        <v>16.814884046218481</v>
      </c>
      <c r="V68" s="166">
        <f>(BS!AB33+BS!AB34+BS!AB38+BS!AB39+BS!AB40)/BS!AB8*100</f>
        <v>18.755716369841078</v>
      </c>
      <c r="W68" s="166">
        <f>(BS!AC33+BS!AC34+BS!AC38+BS!AC39+BS!AC40)/BS!AC8*100</f>
        <v>20.154364666428869</v>
      </c>
    </row>
    <row r="69" spans="1:23" x14ac:dyDescent="0.2">
      <c r="A69" s="341"/>
      <c r="B69" s="163"/>
      <c r="C69" s="164" t="s">
        <v>453</v>
      </c>
      <c r="D69" s="204" t="s">
        <v>404</v>
      </c>
      <c r="E69" s="166">
        <f>PL!K32/PL!K6*100</f>
        <v>0.92606998091716419</v>
      </c>
      <c r="F69" s="166">
        <f>PL!L32/PL!L6*100</f>
        <v>0.31353456562917614</v>
      </c>
      <c r="G69" s="166">
        <f>PL!M32/PL!M6*100</f>
        <v>0.49761675105961989</v>
      </c>
      <c r="H69" s="166">
        <f>PL!N32/PL!N6*100</f>
        <v>0.69362781081357006</v>
      </c>
      <c r="I69" s="166">
        <f>PL!O32/PL!O6*100</f>
        <v>0.6310439604545619</v>
      </c>
      <c r="J69" s="166">
        <f>PL!P32/PL!P6*100</f>
        <v>0.63414521057274886</v>
      </c>
      <c r="K69" s="166">
        <f>PL!Q32/PL!Q6*100</f>
        <v>0.80296742516483521</v>
      </c>
      <c r="L69" s="166">
        <f>PL!R32/PL!R6*100</f>
        <v>0.63516734867751845</v>
      </c>
      <c r="M69" s="166">
        <f>PL!S32/PL!S6*100</f>
        <v>0.86630795197724531</v>
      </c>
      <c r="N69" s="166">
        <f>PL!T32/PL!T6*100</f>
        <v>0.2943536962169932</v>
      </c>
      <c r="O69" s="166">
        <f>PL!U32/PL!U6*100</f>
        <v>0.37588292992696887</v>
      </c>
      <c r="P69" s="166">
        <f>PL!V32/PL!V6*100</f>
        <v>0.34510850014618183</v>
      </c>
      <c r="Q69" s="166">
        <f>PL!W32/PL!W6*100</f>
        <v>0.24408678964666497</v>
      </c>
      <c r="R69" s="166">
        <f>PL!X32/PL!X6*100</f>
        <v>0.18508775098684813</v>
      </c>
      <c r="S69" s="166">
        <f>PL!Y32/PL!Y6*100</f>
        <v>0.38312847630989927</v>
      </c>
      <c r="T69" s="166">
        <f>PL!Z32/PL!Z6*100</f>
        <v>0.20078796290956671</v>
      </c>
      <c r="U69" s="166">
        <f>PL!AA32/PL!AA6*100</f>
        <v>0.18274920688754723</v>
      </c>
      <c r="V69" s="166">
        <f>PL!AB32/PL!AB6*100</f>
        <v>0.20362712784953713</v>
      </c>
      <c r="W69" s="166">
        <f>PL!AC32/PL!AC6*100</f>
        <v>0.21164403442365878</v>
      </c>
    </row>
    <row r="70" spans="1:23" x14ac:dyDescent="0.2">
      <c r="A70" s="341"/>
      <c r="B70" s="163"/>
      <c r="C70" s="164" t="s">
        <v>566</v>
      </c>
      <c r="D70" s="204" t="s">
        <v>254</v>
      </c>
      <c r="E70" s="158">
        <f>PL!K28+PL!K13+PL!K24</f>
        <v>38839.450957405199</v>
      </c>
      <c r="F70" s="158">
        <f>PL!L28+PL!L13+PL!L24</f>
        <v>69681.862035697064</v>
      </c>
      <c r="G70" s="158">
        <f>PL!M28+PL!M13+PL!M24</f>
        <v>23169.512874227559</v>
      </c>
      <c r="H70" s="158">
        <f>PL!N28+PL!N13+PL!N24</f>
        <v>26307.370454108095</v>
      </c>
      <c r="I70" s="158">
        <f>PL!O28+PL!O13+PL!O24</f>
        <v>40099.503311262924</v>
      </c>
      <c r="J70" s="158">
        <f>PL!P28+PL!P13+PL!P24</f>
        <v>35882.655956081777</v>
      </c>
      <c r="K70" s="158">
        <f>PL!Q28+PL!Q13+PL!Q24</f>
        <v>91289.855671096797</v>
      </c>
      <c r="L70" s="158">
        <f>PL!R28+PL!R13+PL!R24</f>
        <v>129153.24596472079</v>
      </c>
      <c r="M70" s="158">
        <f>PL!S28+PL!S13+PL!S24</f>
        <v>110309.32099785429</v>
      </c>
      <c r="N70" s="158">
        <f>PL!T28+PL!T13+PL!T24</f>
        <v>177143.09650059437</v>
      </c>
      <c r="O70" s="158">
        <f>PL!U28+PL!U13+PL!U24</f>
        <v>153262.08205976035</v>
      </c>
      <c r="P70" s="158">
        <f>PL!V28+PL!V13+PL!V24</f>
        <v>120429.38018578554</v>
      </c>
      <c r="Q70" s="158">
        <f>PL!W28+PL!W13+PL!W24</f>
        <v>155604.84889990045</v>
      </c>
      <c r="R70" s="158">
        <f>PL!X28+PL!X13+PL!X24</f>
        <v>213860.64035600831</v>
      </c>
      <c r="S70" s="158">
        <f>PL!Y28+PL!Y13+PL!Y24</f>
        <v>158074.61963366147</v>
      </c>
      <c r="T70" s="158">
        <f>PL!Z28+PL!Z13+PL!Z24</f>
        <v>164115.11743871658</v>
      </c>
      <c r="U70" s="158">
        <f>PL!AA28+PL!AA13+PL!AA24</f>
        <v>173919.59423769507</v>
      </c>
      <c r="V70" s="158">
        <f>PL!AB28+PL!AB13+PL!AB24</f>
        <v>176961.31322375793</v>
      </c>
      <c r="W70" s="158">
        <f>PL!AC28+PL!AC13+PL!AC24</f>
        <v>147455.44424231397</v>
      </c>
    </row>
    <row r="71" spans="1:23" x14ac:dyDescent="0.2">
      <c r="A71" s="342"/>
      <c r="B71" s="167"/>
      <c r="C71" s="168" t="s">
        <v>567</v>
      </c>
      <c r="D71" s="205" t="s">
        <v>441</v>
      </c>
      <c r="E71" s="266">
        <f>(BS!K33+BS!K34+BS!K38+BS!K39+BS!K40-BS!K10)/E70</f>
        <v>4.2227220593428152</v>
      </c>
      <c r="F71" s="266">
        <f>(BS!L33+BS!L34+BS!L38+BS!L39+BS!L40-BS!L10)/F70</f>
        <v>-0.50847522161570879</v>
      </c>
      <c r="G71" s="266">
        <f>(BS!M33+BS!M34+BS!M38+BS!M39+BS!M40-BS!M10)/G70</f>
        <v>4.6307777022155392</v>
      </c>
      <c r="H71" s="266">
        <f>(BS!N33+BS!N34+BS!N38+BS!N39+BS!N40-BS!N10)/H70</f>
        <v>6.2367605473364014</v>
      </c>
      <c r="I71" s="266">
        <f>(BS!O33+BS!O34+BS!O38+BS!O39+BS!O40-BS!O10)/I70</f>
        <v>1.5175008736945694</v>
      </c>
      <c r="J71" s="266">
        <f>(BS!P33+BS!P34+BS!P38+BS!P39+BS!P40-BS!P10)/J70</f>
        <v>4.8873137037424961</v>
      </c>
      <c r="K71" s="266">
        <f>(BS!Q33+BS!Q34+BS!Q38+BS!Q39+BS!Q40-BS!Q10)/K70</f>
        <v>1.8651350511397302</v>
      </c>
      <c r="L71" s="266">
        <f>(BS!R33+BS!R34+BS!R38+BS!R39+BS!R40-BS!R10)/L70</f>
        <v>0.66424403724093561</v>
      </c>
      <c r="M71" s="266">
        <f>(BS!S33+BS!S34+BS!S38+BS!S39+BS!S40-BS!S10)/M70</f>
        <v>0.56944376881016445</v>
      </c>
      <c r="N71" s="266">
        <f>(BS!T33+BS!T34+BS!T38+BS!T39+BS!T40-BS!T10)/N70</f>
        <v>1.3139256192356557</v>
      </c>
      <c r="O71" s="266">
        <f>(BS!U33+BS!U34+BS!U38+BS!U39+BS!U40-BS!U10)/O70</f>
        <v>0.90360162737424066</v>
      </c>
      <c r="P71" s="266">
        <f>(BS!V33+BS!V34+BS!V38+BS!V39+BS!V40-BS!V10)/P70</f>
        <v>-0.25455049874575297</v>
      </c>
      <c r="Q71" s="266">
        <f>(BS!W33+BS!W34+BS!W38+BS!W39+BS!W40-BS!W10)/Q70</f>
        <v>-0.97089839546928347</v>
      </c>
      <c r="R71" s="266">
        <f>(BS!X33+BS!X34+BS!X38+BS!X39+BS!X40-BS!X10)/R70</f>
        <v>-1.4727419252778335</v>
      </c>
      <c r="S71" s="266">
        <f>(BS!Y33+BS!Y34+BS!Y38+BS!Y39+BS!Y40-BS!Y10)/S70</f>
        <v>-0.99891364745716227</v>
      </c>
      <c r="T71" s="266">
        <f>(BS!Z33+BS!Z34+BS!Z38+BS!Z39+BS!Z40-BS!Z10)/T70</f>
        <v>0.35083604593393802</v>
      </c>
      <c r="U71" s="266">
        <f>(BS!AA33+BS!AA34+BS!AA38+BS!AA39+BS!AA40-BS!AA10)/U70</f>
        <v>-3.7982603377965454E-2</v>
      </c>
      <c r="V71" s="266">
        <f>(BS!AB33+BS!AB34+BS!AB38+BS!AB39+BS!AB40-BS!AB10)/V70</f>
        <v>-0.56465754518262468</v>
      </c>
      <c r="W71" s="266">
        <f>(BS!AC33+BS!AC34+BS!AC38+BS!AC39+BS!AC40-BS!AC10)/W70</f>
        <v>-0.62896698844264531</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１６　化学工業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1199263.5717076999</v>
      </c>
      <c r="D4" s="258">
        <f>PL!L6</f>
        <v>2634019.778099373</v>
      </c>
      <c r="E4" s="258">
        <f>PL!M6</f>
        <v>1348723.4490983936</v>
      </c>
      <c r="F4" s="258">
        <f>PL!N6</f>
        <v>1056744.785635201</v>
      </c>
      <c r="G4" s="258">
        <f>PL!O6</f>
        <v>1435780.6975102983</v>
      </c>
      <c r="H4" s="258">
        <f>PL!P6</f>
        <v>1139646.9441218986</v>
      </c>
      <c r="I4" s="258">
        <f>PL!Q6</f>
        <v>1113270.3754271546</v>
      </c>
      <c r="J4" s="258">
        <f>PL!R6</f>
        <v>1178692.5444474781</v>
      </c>
      <c r="K4" s="258">
        <f>PL!S6</f>
        <v>1123776.1018134595</v>
      </c>
      <c r="L4" s="258">
        <f>PL!T6</f>
        <v>2145264.2362076058</v>
      </c>
      <c r="M4" s="258">
        <f>PL!U6</f>
        <v>1635288.0735911727</v>
      </c>
      <c r="N4" s="258">
        <f>PL!V6</f>
        <v>1532630.3077977516</v>
      </c>
      <c r="O4" s="258">
        <f>PL!W6</f>
        <v>1688215.9641749286</v>
      </c>
      <c r="P4" s="258">
        <f>PL!X6</f>
        <v>1799739.0706540067</v>
      </c>
      <c r="Q4" s="258">
        <f>PL!Y6</f>
        <v>1500599.2514027345</v>
      </c>
      <c r="R4" s="258">
        <f>PL!Z6</f>
        <v>1620330.270631151</v>
      </c>
      <c r="S4" s="258">
        <f>PL!AA6</f>
        <v>1662799.7204881951</v>
      </c>
      <c r="T4" s="258">
        <f>PL!AB6</f>
        <v>1460414.3403063128</v>
      </c>
      <c r="U4" s="258">
        <f>PL!AC6</f>
        <v>1506041.9205020922</v>
      </c>
    </row>
    <row r="5" spans="1:21" ht="12.6" x14ac:dyDescent="0.2">
      <c r="A5" s="259" t="s">
        <v>69</v>
      </c>
      <c r="B5" s="256" t="s">
        <v>254</v>
      </c>
      <c r="C5" s="258">
        <f>PL!K42</f>
        <v>62810.758108639857</v>
      </c>
      <c r="D5" s="258">
        <f>PL!L42</f>
        <v>317126.86927158711</v>
      </c>
      <c r="E5" s="258">
        <f>PL!M42</f>
        <v>64077.478323002346</v>
      </c>
      <c r="F5" s="258">
        <f>PL!N42</f>
        <v>17578.194261997705</v>
      </c>
      <c r="G5" s="258">
        <f>PL!O42</f>
        <v>84862.009942757897</v>
      </c>
      <c r="H5" s="258">
        <f>PL!P42</f>
        <v>33912.800304008881</v>
      </c>
      <c r="I5" s="258">
        <f>PL!Q42</f>
        <v>52756.042279608366</v>
      </c>
      <c r="J5" s="258">
        <f>PL!R42</f>
        <v>74617.272617318114</v>
      </c>
      <c r="K5" s="258">
        <f>PL!S42</f>
        <v>64991.964004110232</v>
      </c>
      <c r="L5" s="258">
        <f>PL!T42</f>
        <v>140153.65215431669</v>
      </c>
      <c r="M5" s="258">
        <f>PL!U42</f>
        <v>90232.819437355851</v>
      </c>
      <c r="N5" s="258">
        <f>PL!V42</f>
        <v>78214.046966491354</v>
      </c>
      <c r="O5" s="258">
        <f>PL!W42</f>
        <v>95068.072975609321</v>
      </c>
      <c r="P5" s="258">
        <f>PL!X42</f>
        <v>150554.6767849637</v>
      </c>
      <c r="Q5" s="258">
        <f>PL!Y42</f>
        <v>107873.72514254945</v>
      </c>
      <c r="R5" s="258">
        <f>PL!Z42</f>
        <v>105959.12816116503</v>
      </c>
      <c r="S5" s="258">
        <f>PL!AA42</f>
        <v>106881.14265706282</v>
      </c>
      <c r="T5" s="258">
        <f>PL!AB42</f>
        <v>115888.07452372058</v>
      </c>
      <c r="U5" s="258">
        <f>PL!AC42</f>
        <v>97483.280152810621</v>
      </c>
    </row>
    <row r="6" spans="1:21" ht="12.6" x14ac:dyDescent="0.2">
      <c r="A6" s="255" t="s">
        <v>317</v>
      </c>
      <c r="B6" s="256" t="s">
        <v>318</v>
      </c>
      <c r="C6" s="260">
        <f>PL!K5</f>
        <v>44.330988667448203</v>
      </c>
      <c r="D6" s="260">
        <f>PL!L5</f>
        <v>54.422334780511335</v>
      </c>
      <c r="E6" s="260">
        <f>PL!M5</f>
        <v>43.407483229999812</v>
      </c>
      <c r="F6" s="260">
        <f>PL!N5</f>
        <v>39.506979629464183</v>
      </c>
      <c r="G6" s="260">
        <f>PL!O5</f>
        <v>49.648616716943572</v>
      </c>
      <c r="H6" s="260">
        <f>PL!P5</f>
        <v>40.416491332096975</v>
      </c>
      <c r="I6" s="260">
        <f>PL!Q5</f>
        <v>44.346558655475739</v>
      </c>
      <c r="J6" s="260">
        <f>PL!R5</f>
        <v>38.738654818750213</v>
      </c>
      <c r="K6" s="260">
        <f>PL!S5</f>
        <v>41.406447223094183</v>
      </c>
      <c r="L6" s="260">
        <f>PL!T5</f>
        <v>57.010429946302693</v>
      </c>
      <c r="M6" s="260">
        <f>PL!U5</f>
        <v>49.672331974328955</v>
      </c>
      <c r="N6" s="260">
        <f>PL!V5</f>
        <v>50.785976675603671</v>
      </c>
      <c r="O6" s="260">
        <f>PL!W5</f>
        <v>56.625834204602057</v>
      </c>
      <c r="P6" s="260">
        <f>PL!X5</f>
        <v>60.417782884031745</v>
      </c>
      <c r="Q6" s="260">
        <f>PL!Y5</f>
        <v>53.984947156673428</v>
      </c>
      <c r="R6" s="260">
        <f>PL!Z5</f>
        <v>48.910387242720894</v>
      </c>
      <c r="S6" s="260">
        <f>PL!AA5</f>
        <v>51.941376550620248</v>
      </c>
      <c r="T6" s="260">
        <f>PL!AB5</f>
        <v>49.512327231976094</v>
      </c>
      <c r="U6" s="260">
        <f>PL!AC5</f>
        <v>47.812806985628526</v>
      </c>
    </row>
    <row r="7" spans="1:21" ht="12.6" x14ac:dyDescent="0.2">
      <c r="A7" s="259" t="s">
        <v>344</v>
      </c>
      <c r="B7" s="256" t="s">
        <v>254</v>
      </c>
      <c r="C7" s="258">
        <f>BS!K33+BS!K34+BS!K38+BS!K39+BS!K40</f>
        <v>379257.13169206737</v>
      </c>
      <c r="D7" s="258">
        <f>BS!L33+BS!L34+BS!L38+BS!L39+BS!L40</f>
        <v>256393.8736131211</v>
      </c>
      <c r="E7" s="258">
        <f>BS!M33+BS!M34+BS!M38+BS!M39+BS!M40</f>
        <v>291007.93187650066</v>
      </c>
      <c r="F7" s="258">
        <f>BS!N33+BS!N34+BS!N38+BS!N39+BS!N40</f>
        <v>318092.17977200239</v>
      </c>
      <c r="G7" s="258">
        <f>BS!O33+BS!O34+BS!O38+BS!O39+BS!O40</f>
        <v>333567.43411674321</v>
      </c>
      <c r="H7" s="258">
        <f>BS!P33+BS!P34+BS!P38+BS!P39+BS!P40</f>
        <v>386044.43619669264</v>
      </c>
      <c r="I7" s="258">
        <f>BS!Q33+BS!Q34+BS!Q38+BS!Q39+BS!Q40</f>
        <v>390689.73181954073</v>
      </c>
      <c r="J7" s="258">
        <f>BS!R33+BS!R34+BS!R38+BS!R39+BS!R40</f>
        <v>369604.07822951552</v>
      </c>
      <c r="K7" s="258">
        <f>BS!S33+BS!S34+BS!S38+BS!S39+BS!S40</f>
        <v>366954.64369811921</v>
      </c>
      <c r="L7" s="258">
        <f>BS!T33+BS!T34+BS!T38+BS!T39+BS!T40</f>
        <v>342768.54391527612</v>
      </c>
      <c r="M7" s="258">
        <f>BS!U33+BS!U34+BS!U38+BS!U39+BS!U40</f>
        <v>373750.31680954457</v>
      </c>
      <c r="N7" s="258">
        <f>BS!V33+BS!V34+BS!V38+BS!V39+BS!V40</f>
        <v>337028.82412484672</v>
      </c>
      <c r="O7" s="258">
        <f>BS!W33+BS!W34+BS!W38+BS!W39+BS!W40</f>
        <v>407612.6902739646</v>
      </c>
      <c r="P7" s="258">
        <f>BS!X33+BS!X34+BS!X38+BS!X39+BS!X40</f>
        <v>385107.64887437789</v>
      </c>
      <c r="Q7" s="258">
        <f>BS!Y33+BS!Y34+BS!Y38+BS!Y39+BS!Y40</f>
        <v>344510.06405176228</v>
      </c>
      <c r="R7" s="258">
        <f>BS!Z33+BS!Z34+BS!Z38+BS!Z39+BS!Z40</f>
        <v>471874.52009618795</v>
      </c>
      <c r="S7" s="258">
        <f>BS!AA33+BS!AA34+BS!AA38+BS!AA39+BS!AA40</f>
        <v>349607.97639055626</v>
      </c>
      <c r="T7" s="258">
        <f>BS!AB33+BS!AB34+BS!AB38+BS!AB39+BS!AB40</f>
        <v>373703.94919686223</v>
      </c>
      <c r="U7" s="258">
        <f>BS!AC33+BS!AC34+BS!AC38+BS!AC39+BS!AC40</f>
        <v>356928.57431326178</v>
      </c>
    </row>
    <row r="8" spans="1:21" ht="12.6" x14ac:dyDescent="0.2">
      <c r="A8" s="259" t="s">
        <v>486</v>
      </c>
      <c r="B8" s="256" t="s">
        <v>254</v>
      </c>
      <c r="C8" s="258">
        <f>BS!K10</f>
        <v>215248.92536146901</v>
      </c>
      <c r="D8" s="258">
        <f>BS!L10</f>
        <v>291825.37385431741</v>
      </c>
      <c r="E8" s="258">
        <f>BS!M10</f>
        <v>183715.06828733181</v>
      </c>
      <c r="F8" s="258">
        <f>BS!N10</f>
        <v>154019.4096196577</v>
      </c>
      <c r="G8" s="258">
        <f>BS!O10</f>
        <v>272716.40280718345</v>
      </c>
      <c r="H8" s="258">
        <f>BS!P10</f>
        <v>210674.64001585689</v>
      </c>
      <c r="I8" s="258">
        <f>BS!Q10</f>
        <v>220421.82219389101</v>
      </c>
      <c r="J8" s="258">
        <f>BS!R10</f>
        <v>283814.80470713781</v>
      </c>
      <c r="K8" s="258">
        <f>BS!S10</f>
        <v>304139.68821421085</v>
      </c>
      <c r="L8" s="258">
        <f>BS!T10</f>
        <v>110015.69115241116</v>
      </c>
      <c r="M8" s="258">
        <f>BS!U10</f>
        <v>235262.45004558071</v>
      </c>
      <c r="N8" s="258">
        <f>BS!V10</f>
        <v>367684.18291478034</v>
      </c>
      <c r="O8" s="258">
        <f>BS!W10</f>
        <v>558689.18839811825</v>
      </c>
      <c r="P8" s="258">
        <f>BS!X10</f>
        <v>700069.18009343592</v>
      </c>
      <c r="Q8" s="258">
        <f>BS!Y10</f>
        <v>502412.95892042661</v>
      </c>
      <c r="R8" s="258">
        <f>BS!Z10</f>
        <v>414297.02121600474</v>
      </c>
      <c r="S8" s="258">
        <f>BS!AA10</f>
        <v>356213.89535814332</v>
      </c>
      <c r="T8" s="258">
        <f>BS!AB10</f>
        <v>473626.48991408292</v>
      </c>
      <c r="U8" s="258">
        <f>BS!AC10</f>
        <v>449673.18100782239</v>
      </c>
    </row>
    <row r="9" spans="1:21" ht="12.6" x14ac:dyDescent="0.2">
      <c r="A9" s="259" t="s">
        <v>326</v>
      </c>
      <c r="B9" s="256" t="s">
        <v>254</v>
      </c>
      <c r="C9" s="258">
        <f>PL!K13+PL!K24</f>
        <v>38839.450957405199</v>
      </c>
      <c r="D9" s="258">
        <f>PL!L13+PL!L24</f>
        <v>69681.862035697064</v>
      </c>
      <c r="E9" s="258">
        <f>PL!M13+PL!M24</f>
        <v>23169.512874227559</v>
      </c>
      <c r="F9" s="258">
        <f>PL!N13+PL!N24</f>
        <v>26307.370454108095</v>
      </c>
      <c r="G9" s="258">
        <f>PL!O13+PL!O24</f>
        <v>40099.503311262924</v>
      </c>
      <c r="H9" s="258">
        <f>PL!P13+PL!P24</f>
        <v>35882.655956081777</v>
      </c>
      <c r="I9" s="258">
        <f>PL!Q13+PL!Q24</f>
        <v>38533.813391488431</v>
      </c>
      <c r="J9" s="258">
        <f>PL!R13+PL!R24</f>
        <v>54535.973347402673</v>
      </c>
      <c r="K9" s="258">
        <f>PL!S13+PL!S24</f>
        <v>45317.356993744055</v>
      </c>
      <c r="L9" s="258">
        <f>PL!T13+PL!T24</f>
        <v>36989.444346277691</v>
      </c>
      <c r="M9" s="258">
        <f>PL!U13+PL!U24</f>
        <v>63029.26262240448</v>
      </c>
      <c r="N9" s="258">
        <f>PL!V13+PL!V24</f>
        <v>42215.333219294189</v>
      </c>
      <c r="O9" s="258">
        <f>PL!W13+PL!W24</f>
        <v>60536.77592429112</v>
      </c>
      <c r="P9" s="258">
        <f>PL!X13+PL!X24</f>
        <v>63305.963571044624</v>
      </c>
      <c r="Q9" s="258">
        <f>PL!Y13+PL!Y24</f>
        <v>50200.894491112027</v>
      </c>
      <c r="R9" s="258">
        <f>PL!Z13+PL!Z24</f>
        <v>58155.989277551533</v>
      </c>
      <c r="S9" s="258">
        <f>PL!AA13+PL!AA24</f>
        <v>67038.451580632245</v>
      </c>
      <c r="T9" s="258">
        <f>PL!AB13+PL!AB24</f>
        <v>61073.238700037356</v>
      </c>
      <c r="U9" s="258">
        <f>PL!AC13+PL!AC24</f>
        <v>49972.164089503363</v>
      </c>
    </row>
    <row r="10" spans="1:21" ht="12.6" x14ac:dyDescent="0.2">
      <c r="A10" s="255" t="s">
        <v>314</v>
      </c>
      <c r="B10" s="256" t="s">
        <v>254</v>
      </c>
      <c r="C10" s="258">
        <f>BS!K43</f>
        <v>553550.01953888196</v>
      </c>
      <c r="D10" s="258">
        <f>BS!L43</f>
        <v>1393015.436565364</v>
      </c>
      <c r="E10" s="258">
        <f>BS!M43</f>
        <v>577381.50141734572</v>
      </c>
      <c r="F10" s="258">
        <f>BS!N43</f>
        <v>472632.12796949386</v>
      </c>
      <c r="G10" s="258">
        <f>BS!O43</f>
        <v>799333.19982824905</v>
      </c>
      <c r="H10" s="258">
        <f>BS!P43</f>
        <v>509334.51900716953</v>
      </c>
      <c r="I10" s="258">
        <f>BS!Q43</f>
        <v>574129.00666448171</v>
      </c>
      <c r="J10" s="258">
        <f>BS!R43</f>
        <v>545994.89917504345</v>
      </c>
      <c r="K10" s="258">
        <f>BS!S43</f>
        <v>665027.34989371127</v>
      </c>
      <c r="L10" s="258">
        <f>BS!T43</f>
        <v>790118.18028685404</v>
      </c>
      <c r="M10" s="258">
        <f>BS!U43</f>
        <v>879802.16703996062</v>
      </c>
      <c r="N10" s="258">
        <f>BS!V43</f>
        <v>1086236.0459765396</v>
      </c>
      <c r="O10" s="258">
        <f>BS!W43</f>
        <v>1284116.5010116843</v>
      </c>
      <c r="P10" s="258">
        <f>BS!X43</f>
        <v>1321960.3582554755</v>
      </c>
      <c r="Q10" s="258">
        <f>BS!Y43</f>
        <v>1021430.7274923503</v>
      </c>
      <c r="R10" s="258">
        <f>BS!Z43</f>
        <v>988445.62844990555</v>
      </c>
      <c r="S10" s="258">
        <f>BS!AA43</f>
        <v>1243456.2378951579</v>
      </c>
      <c r="T10" s="258">
        <f>BS!AB43</f>
        <v>1242668.9340679867</v>
      </c>
      <c r="U10" s="258">
        <f>BS!AC43</f>
        <v>1009884.574859014</v>
      </c>
    </row>
    <row r="11" spans="1:21" ht="12.6" x14ac:dyDescent="0.2">
      <c r="A11" s="255" t="s">
        <v>542</v>
      </c>
      <c r="B11" s="256" t="s">
        <v>254</v>
      </c>
      <c r="C11" s="258">
        <f>BS!K30</f>
        <v>726479.87495115306</v>
      </c>
      <c r="D11" s="258">
        <f>BS!L30</f>
        <v>905897.73275446217</v>
      </c>
      <c r="E11" s="258">
        <f>BS!M30</f>
        <v>666633.56479752599</v>
      </c>
      <c r="F11" s="258">
        <f>BS!N30</f>
        <v>599670.58954681433</v>
      </c>
      <c r="G11" s="258">
        <f>BS!O30</f>
        <v>705366.31272931187</v>
      </c>
      <c r="H11" s="258">
        <f>BS!P30</f>
        <v>675707.14444716182</v>
      </c>
      <c r="I11" s="258">
        <f>BS!Q30</f>
        <v>675921.01963618735</v>
      </c>
      <c r="J11" s="258">
        <f>BS!R30</f>
        <v>744532.96325636515</v>
      </c>
      <c r="K11" s="258">
        <f>BS!S30</f>
        <v>736115.7401487265</v>
      </c>
      <c r="L11" s="258">
        <f>BS!T30</f>
        <v>914802.78330295486</v>
      </c>
      <c r="M11" s="258">
        <f>BS!U30</f>
        <v>805040.53010362666</v>
      </c>
      <c r="N11" s="258">
        <f>BS!V30</f>
        <v>771192.05050101352</v>
      </c>
      <c r="O11" s="258">
        <f>BS!W30</f>
        <v>870540.1581922567</v>
      </c>
      <c r="P11" s="258">
        <f>BS!X30</f>
        <v>876184.49224351766</v>
      </c>
      <c r="Q11" s="258">
        <f>BS!Y30</f>
        <v>790733.40974898566</v>
      </c>
      <c r="R11" s="258">
        <f>BS!Z30</f>
        <v>898655.04620807245</v>
      </c>
      <c r="S11" s="258">
        <f>BS!AA30</f>
        <v>835701.58103241294</v>
      </c>
      <c r="T11" s="258">
        <f>BS!AB30</f>
        <v>749811.34142697044</v>
      </c>
      <c r="U11" s="258">
        <f>BS!AC30</f>
        <v>761089.50554848101</v>
      </c>
    </row>
    <row r="12" spans="1:21" ht="12.6" x14ac:dyDescent="0.2">
      <c r="A12" s="255" t="s">
        <v>543</v>
      </c>
      <c r="B12" s="256" t="s">
        <v>254</v>
      </c>
      <c r="C12" s="258">
        <f>BS!K11</f>
        <v>312960.92223524803</v>
      </c>
      <c r="D12" s="258">
        <f>BS!L11</f>
        <v>569337.19247467432</v>
      </c>
      <c r="E12" s="258">
        <f>BS!M11</f>
        <v>411673.60794815019</v>
      </c>
      <c r="F12" s="258">
        <f>BS!N11</f>
        <v>239987.40818996413</v>
      </c>
      <c r="G12" s="258">
        <f>BS!O11</f>
        <v>350314.50339612231</v>
      </c>
      <c r="H12" s="258">
        <f>BS!P11</f>
        <v>312392.33846218232</v>
      </c>
      <c r="I12" s="258">
        <f>BS!Q11</f>
        <v>277993.09352705744</v>
      </c>
      <c r="J12" s="258">
        <f>BS!R11</f>
        <v>243525.53814181488</v>
      </c>
      <c r="K12" s="258">
        <f>BS!S11</f>
        <v>255093.43225517398</v>
      </c>
      <c r="L12" s="258">
        <f>BS!T11</f>
        <v>484921.38685299264</v>
      </c>
      <c r="M12" s="258">
        <f>BS!U11</f>
        <v>345056.90277364803</v>
      </c>
      <c r="N12" s="258">
        <f>BS!V11</f>
        <v>378227.58770964138</v>
      </c>
      <c r="O12" s="258">
        <f>BS!W11</f>
        <v>342501.24550482811</v>
      </c>
      <c r="P12" s="258">
        <f>BS!X11</f>
        <v>399723.89041481505</v>
      </c>
      <c r="Q12" s="258">
        <f>BS!Y11</f>
        <v>302090.48588500376</v>
      </c>
      <c r="R12" s="258">
        <f>BS!Z11</f>
        <v>300878.15896599734</v>
      </c>
      <c r="S12" s="258">
        <f>BS!AA11</f>
        <v>376550.76430572226</v>
      </c>
      <c r="T12" s="258">
        <f>BS!AB11</f>
        <v>295634.67407545762</v>
      </c>
      <c r="U12" s="258">
        <f>BS!AC11</f>
        <v>312004.35801346193</v>
      </c>
    </row>
    <row r="13" spans="1:21" ht="12.6" x14ac:dyDescent="0.2">
      <c r="A13" s="255" t="s">
        <v>544</v>
      </c>
      <c r="B13" s="256" t="s">
        <v>254</v>
      </c>
      <c r="C13" s="258">
        <f>BS!K13</f>
        <v>146817.506838609</v>
      </c>
      <c r="D13" s="258">
        <f>BS!L13</f>
        <v>249029.66714905933</v>
      </c>
      <c r="E13" s="258">
        <f>BS!M13</f>
        <v>87394.217100967275</v>
      </c>
      <c r="F13" s="258">
        <f>BS!N13</f>
        <v>133302.85016852024</v>
      </c>
      <c r="G13" s="258">
        <f>BS!O13</f>
        <v>202751.41413407659</v>
      </c>
      <c r="H13" s="258">
        <f>BS!P13</f>
        <v>143930.44826369695</v>
      </c>
      <c r="I13" s="258">
        <f>BS!Q13</f>
        <v>154020.80199351933</v>
      </c>
      <c r="J13" s="258">
        <f>BS!R13</f>
        <v>177794.22112354735</v>
      </c>
      <c r="K13" s="258">
        <f>BS!S13</f>
        <v>188219.73659023334</v>
      </c>
      <c r="L13" s="258">
        <f>BS!T13</f>
        <v>348653.12312717707</v>
      </c>
      <c r="M13" s="258">
        <f>BS!U13</f>
        <v>264669.31826332217</v>
      </c>
      <c r="N13" s="258">
        <f>BS!V13</f>
        <v>240576.03920827073</v>
      </c>
      <c r="O13" s="258">
        <f>BS!W13</f>
        <v>136762.73058497193</v>
      </c>
      <c r="P13" s="258">
        <f>BS!X13</f>
        <v>224694.03187425592</v>
      </c>
      <c r="Q13" s="258">
        <f>BS!Y13</f>
        <v>160832.46273875737</v>
      </c>
      <c r="R13" s="258">
        <f>BS!Z13</f>
        <v>232886.52594646084</v>
      </c>
      <c r="S13" s="258">
        <f>BS!AA13</f>
        <v>292273.57242897159</v>
      </c>
      <c r="T13" s="258">
        <f>BS!AB13</f>
        <v>259266.44378035114</v>
      </c>
      <c r="U13" s="258">
        <f>BS!AC13</f>
        <v>182418.65362925234</v>
      </c>
    </row>
    <row r="14" spans="1:21" ht="12.6" x14ac:dyDescent="0.2">
      <c r="A14" s="255" t="s">
        <v>545</v>
      </c>
      <c r="B14" s="256" t="s">
        <v>254</v>
      </c>
      <c r="C14" s="258">
        <f>BS!K32</f>
        <v>221854.63071512297</v>
      </c>
      <c r="D14" s="258">
        <f>BS!L32</f>
        <v>344533.28509406658</v>
      </c>
      <c r="E14" s="258">
        <f>BS!M32</f>
        <v>279997.98318656458</v>
      </c>
      <c r="F14" s="258">
        <f>BS!N32</f>
        <v>176002.45352979595</v>
      </c>
      <c r="G14" s="258">
        <f>BS!O32</f>
        <v>255668.60579326755</v>
      </c>
      <c r="H14" s="258">
        <f>BS!P32</f>
        <v>154735.07870002009</v>
      </c>
      <c r="I14" s="258">
        <f>BS!Q32</f>
        <v>147202.74524100902</v>
      </c>
      <c r="J14" s="258">
        <f>BS!R32</f>
        <v>177502.83197297991</v>
      </c>
      <c r="K14" s="258">
        <f>BS!S32</f>
        <v>169065.45068558052</v>
      </c>
      <c r="L14" s="258">
        <f>BS!T32</f>
        <v>452721.28110792168</v>
      </c>
      <c r="M14" s="258">
        <f>BS!U32</f>
        <v>215966.96604366618</v>
      </c>
      <c r="N14" s="258">
        <f>BS!V32</f>
        <v>229028.18934019085</v>
      </c>
      <c r="O14" s="258">
        <f>BS!W32</f>
        <v>207975.74151727682</v>
      </c>
      <c r="P14" s="258">
        <f>BS!X32</f>
        <v>236455.34293059475</v>
      </c>
      <c r="Q14" s="258">
        <f>BS!Y32</f>
        <v>193901.31551370901</v>
      </c>
      <c r="R14" s="258">
        <f>BS!Z32</f>
        <v>256744.22797625602</v>
      </c>
      <c r="S14" s="258">
        <f>BS!AA32</f>
        <v>228008.54361744694</v>
      </c>
      <c r="T14" s="258">
        <f>BS!AB32</f>
        <v>182902.77754949572</v>
      </c>
      <c r="U14" s="258">
        <f>BS!AC32</f>
        <v>250876.03019828995</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1.1963643691341694</v>
      </c>
      <c r="E16" s="262">
        <f t="shared" ref="E16:M16" si="0">E4/D4-1</f>
        <v>-0.48796001445684267</v>
      </c>
      <c r="F16" s="262">
        <f t="shared" si="0"/>
        <v>-0.21648519839880964</v>
      </c>
      <c r="G16" s="262">
        <f t="shared" si="0"/>
        <v>0.3586825476004234</v>
      </c>
      <c r="H16" s="262">
        <f t="shared" si="0"/>
        <v>-0.20625277516399798</v>
      </c>
      <c r="I16" s="262">
        <f t="shared" si="0"/>
        <v>-2.3144508771589134E-2</v>
      </c>
      <c r="J16" s="262">
        <f t="shared" si="0"/>
        <v>5.8765750409213391E-2</v>
      </c>
      <c r="K16" s="262">
        <f t="shared" si="0"/>
        <v>-4.6590981586093871E-2</v>
      </c>
      <c r="L16" s="262">
        <f t="shared" si="0"/>
        <v>0.90897833896427493</v>
      </c>
      <c r="M16" s="262">
        <f t="shared" si="0"/>
        <v>-0.23772184051227552</v>
      </c>
      <c r="N16" s="262">
        <f t="shared" ref="N16:R16" si="1">N4/M4-1</f>
        <v>-6.2776563622811477E-2</v>
      </c>
      <c r="O16" s="262">
        <f t="shared" si="1"/>
        <v>0.10151545065080914</v>
      </c>
      <c r="P16" s="262">
        <f t="shared" si="1"/>
        <v>6.6059739302122944E-2</v>
      </c>
      <c r="Q16" s="262">
        <f t="shared" si="1"/>
        <v>-0.16621288281671176</v>
      </c>
      <c r="R16" s="262">
        <f t="shared" si="1"/>
        <v>7.978880378388431E-2</v>
      </c>
      <c r="S16" s="262">
        <f>S4/R4-1</f>
        <v>2.6210366261010032E-2</v>
      </c>
      <c r="T16" s="262">
        <f>T4/S4-1</f>
        <v>-0.12171362412934628</v>
      </c>
      <c r="U16" s="262">
        <f>U4/T4-1</f>
        <v>3.1242900686807351E-2</v>
      </c>
    </row>
    <row r="17" spans="1:21" ht="12.6" x14ac:dyDescent="0.2">
      <c r="A17" s="255" t="s">
        <v>548</v>
      </c>
      <c r="B17" s="256" t="s">
        <v>110</v>
      </c>
      <c r="C17" s="262">
        <f>C5/C4</f>
        <v>5.2374440106773217E-2</v>
      </c>
      <c r="D17" s="262">
        <f t="shared" ref="D17:M17" si="2">D5/D4</f>
        <v>0.12039654064420732</v>
      </c>
      <c r="E17" s="262">
        <f t="shared" si="2"/>
        <v>4.7509723632251977E-2</v>
      </c>
      <c r="F17" s="262">
        <f t="shared" si="2"/>
        <v>1.6634285308000447E-2</v>
      </c>
      <c r="G17" s="262">
        <f t="shared" si="2"/>
        <v>5.910513359729104E-2</v>
      </c>
      <c r="H17" s="262">
        <f t="shared" si="2"/>
        <v>2.9757286218267179E-2</v>
      </c>
      <c r="I17" s="262">
        <f t="shared" si="2"/>
        <v>4.7388346482646872E-2</v>
      </c>
      <c r="J17" s="262">
        <f t="shared" si="2"/>
        <v>6.3305119701334484E-2</v>
      </c>
      <c r="K17" s="262">
        <f t="shared" si="2"/>
        <v>5.7833552341281708E-2</v>
      </c>
      <c r="L17" s="262">
        <f t="shared" si="2"/>
        <v>6.533164996125608E-2</v>
      </c>
      <c r="M17" s="262">
        <f t="shared" si="2"/>
        <v>5.5178546761611338E-2</v>
      </c>
      <c r="N17" s="262">
        <f>N5/N4</f>
        <v>5.1032559233986259E-2</v>
      </c>
      <c r="O17" s="262">
        <f>O5/O4</f>
        <v>5.6312743744294208E-2</v>
      </c>
      <c r="P17" s="262">
        <f t="shared" ref="P17:Q17" si="3">P5/P4</f>
        <v>8.3653613593138068E-2</v>
      </c>
      <c r="Q17" s="262">
        <f t="shared" si="3"/>
        <v>7.1887097798903288E-2</v>
      </c>
      <c r="R17" s="262">
        <f>R5/R4</f>
        <v>6.5393537405119162E-2</v>
      </c>
      <c r="S17" s="262">
        <f>S5/S4</f>
        <v>6.4277820918614725E-2</v>
      </c>
      <c r="T17" s="262">
        <f>T5/T4</f>
        <v>7.9352873582036854E-2</v>
      </c>
      <c r="U17" s="262">
        <f>U5/U4</f>
        <v>6.4728131950212334E-2</v>
      </c>
    </row>
    <row r="18" spans="1:21" ht="12.6" x14ac:dyDescent="0.2">
      <c r="A18" s="255" t="s">
        <v>549</v>
      </c>
      <c r="B18" s="256" t="s">
        <v>254</v>
      </c>
      <c r="C18" s="263">
        <f>C5/C6</f>
        <v>1416.8589511914306</v>
      </c>
      <c r="D18" s="263">
        <f t="shared" ref="D18:M18" si="4">D5/D6</f>
        <v>5827.1456112748474</v>
      </c>
      <c r="E18" s="263">
        <f t="shared" si="4"/>
        <v>1476.1850619968004</v>
      </c>
      <c r="F18" s="263">
        <f t="shared" si="4"/>
        <v>444.93895577094287</v>
      </c>
      <c r="G18" s="263">
        <f t="shared" si="4"/>
        <v>1709.2522522142508</v>
      </c>
      <c r="H18" s="263">
        <f t="shared" si="4"/>
        <v>839.08323524058233</v>
      </c>
      <c r="I18" s="263">
        <f t="shared" si="4"/>
        <v>1189.6310306615924</v>
      </c>
      <c r="J18" s="263">
        <f t="shared" si="4"/>
        <v>1926.1709774496867</v>
      </c>
      <c r="K18" s="263">
        <f t="shared" si="4"/>
        <v>1569.609767627235</v>
      </c>
      <c r="L18" s="263">
        <f t="shared" si="4"/>
        <v>2458.3861634849168</v>
      </c>
      <c r="M18" s="263">
        <f t="shared" si="4"/>
        <v>1816.5609676628203</v>
      </c>
      <c r="N18" s="263">
        <f>N5/N6</f>
        <v>1540.0717301566331</v>
      </c>
      <c r="O18" s="263">
        <f>O5/O6</f>
        <v>1678.8816325796929</v>
      </c>
      <c r="P18" s="263">
        <f t="shared" ref="P18:R18" si="5">P5/P6</f>
        <v>2491.8934392866458</v>
      </c>
      <c r="Q18" s="263">
        <f t="shared" si="5"/>
        <v>1998.218592851109</v>
      </c>
      <c r="R18" s="263">
        <f t="shared" si="5"/>
        <v>2166.3931556161301</v>
      </c>
      <c r="S18" s="263">
        <f t="shared" ref="S18:T18" si="6">S5/S6</f>
        <v>2057.7264168749975</v>
      </c>
      <c r="T18" s="263">
        <f t="shared" si="6"/>
        <v>2340.5903338124176</v>
      </c>
      <c r="U18" s="263">
        <f>U5/U6</f>
        <v>2038.8528994357505</v>
      </c>
    </row>
    <row r="19" spans="1:21" ht="12.6" x14ac:dyDescent="0.2">
      <c r="A19" s="255" t="s">
        <v>550</v>
      </c>
      <c r="B19" s="256" t="s">
        <v>441</v>
      </c>
      <c r="C19" s="264">
        <f>(C7-C8)/(C5+C9)</f>
        <v>1.6134566553034584</v>
      </c>
      <c r="D19" s="264">
        <f t="shared" ref="D19:M19" si="7">(D7-D8)/(D5+D9)</f>
        <v>-9.159953582601324E-2</v>
      </c>
      <c r="E19" s="264">
        <f t="shared" si="7"/>
        <v>1.2297600423448805</v>
      </c>
      <c r="F19" s="264">
        <f t="shared" si="7"/>
        <v>3.7386500826348201</v>
      </c>
      <c r="G19" s="264">
        <f t="shared" si="7"/>
        <v>0.48695818196329171</v>
      </c>
      <c r="H19" s="264">
        <f t="shared" si="7"/>
        <v>2.5126248265693039</v>
      </c>
      <c r="I19" s="264">
        <f t="shared" si="7"/>
        <v>1.8651350511397302</v>
      </c>
      <c r="J19" s="264">
        <f t="shared" si="7"/>
        <v>0.66424403724093561</v>
      </c>
      <c r="K19" s="264">
        <f t="shared" si="7"/>
        <v>0.56944376881016445</v>
      </c>
      <c r="L19" s="264">
        <f t="shared" si="7"/>
        <v>1.3139256192356557</v>
      </c>
      <c r="M19" s="264">
        <f t="shared" si="7"/>
        <v>0.90360162737424066</v>
      </c>
      <c r="N19" s="264">
        <f>(N7-N8)/(N5+N9)</f>
        <v>-0.25455049874575297</v>
      </c>
      <c r="O19" s="264">
        <f>(O7-O8)/(O5+O9)</f>
        <v>-0.97089839546928347</v>
      </c>
      <c r="P19" s="264">
        <f t="shared" ref="P19:Q19" si="8">(P7-P8)/(P5+P9)</f>
        <v>-1.4727419252778335</v>
      </c>
      <c r="Q19" s="264">
        <f t="shared" si="8"/>
        <v>-0.99891364745716227</v>
      </c>
      <c r="R19" s="264">
        <f>(R7-R8)/(R5+R9)</f>
        <v>0.35083604593393802</v>
      </c>
      <c r="S19" s="264">
        <f>(S7-S8)/(S5+S9)</f>
        <v>-3.7982603377965454E-2</v>
      </c>
      <c r="T19" s="264">
        <f>(T7-T8)/(T5+T9)</f>
        <v>-0.56465754518262457</v>
      </c>
      <c r="U19" s="264">
        <f>(U7-U8)/(U5+U9)</f>
        <v>-0.62896698844264531</v>
      </c>
    </row>
    <row r="20" spans="1:21" ht="12.6" x14ac:dyDescent="0.2">
      <c r="A20" s="255" t="s">
        <v>551</v>
      </c>
      <c r="B20" s="256" t="s">
        <v>552</v>
      </c>
      <c r="C20" s="264">
        <f>(C12+C13-C14)/(C4/12)</f>
        <v>2.3806989953336855</v>
      </c>
      <c r="D20" s="264">
        <f t="shared" ref="D20:M20" si="9">(D12+D13-D14)/(D4/12)</f>
        <v>2.1586788913403105</v>
      </c>
      <c r="E20" s="264">
        <f t="shared" si="9"/>
        <v>1.9491305679514825</v>
      </c>
      <c r="F20" s="264">
        <f t="shared" si="9"/>
        <v>2.2403267942516538</v>
      </c>
      <c r="G20" s="264">
        <f t="shared" si="9"/>
        <v>2.4855938981709143</v>
      </c>
      <c r="H20" s="264">
        <f t="shared" si="9"/>
        <v>3.1755909275032552</v>
      </c>
      <c r="I20" s="264">
        <f t="shared" si="9"/>
        <v>3.0699943866227919</v>
      </c>
      <c r="J20" s="264">
        <f t="shared" si="9"/>
        <v>2.482244535516327</v>
      </c>
      <c r="K20" s="264">
        <f t="shared" si="9"/>
        <v>2.9284949311586312</v>
      </c>
      <c r="L20" s="264">
        <f t="shared" si="9"/>
        <v>2.1303849984215635</v>
      </c>
      <c r="M20" s="264">
        <f t="shared" si="9"/>
        <v>2.8894670830339222</v>
      </c>
      <c r="N20" s="264">
        <f t="shared" ref="N20:R20" si="10">(N12+N13-N14)/(N4/12)</f>
        <v>3.0518157099826064</v>
      </c>
      <c r="O20" s="264">
        <f t="shared" si="10"/>
        <v>1.9283426314839396</v>
      </c>
      <c r="P20" s="264">
        <f t="shared" si="10"/>
        <v>2.5867921790517858</v>
      </c>
      <c r="Q20" s="264">
        <f t="shared" si="10"/>
        <v>2.1513136130801764</v>
      </c>
      <c r="R20" s="264">
        <f t="shared" si="10"/>
        <v>2.0515851264937277</v>
      </c>
      <c r="S20" s="264">
        <f t="shared" ref="S20:T20" si="11">(S12+S13-S14)/(S4/12)</f>
        <v>3.181254754994721</v>
      </c>
      <c r="T20" s="264">
        <f t="shared" si="11"/>
        <v>3.0566531432028148</v>
      </c>
      <c r="U20" s="264">
        <f>(U12+U13-U14)/(U4/12)</f>
        <v>1.9405593812148016</v>
      </c>
    </row>
    <row r="21" spans="1:21" ht="12.6" x14ac:dyDescent="0.2">
      <c r="A21" s="255" t="s">
        <v>553</v>
      </c>
      <c r="B21" s="256" t="s">
        <v>110</v>
      </c>
      <c r="C21" s="262">
        <f>C10/(C10+C11)</f>
        <v>0.43245085284466483</v>
      </c>
      <c r="D21" s="262">
        <f t="shared" ref="D21:U21" si="12">D10/(D10+D11)</f>
        <v>0.60594521583323313</v>
      </c>
      <c r="E21" s="262">
        <f t="shared" si="12"/>
        <v>0.46412741862856016</v>
      </c>
      <c r="F21" s="262">
        <f t="shared" si="12"/>
        <v>0.44076371368732059</v>
      </c>
      <c r="G21" s="262">
        <f t="shared" si="12"/>
        <v>0.53122446917631416</v>
      </c>
      <c r="H21" s="262">
        <f t="shared" si="12"/>
        <v>0.42980304804008945</v>
      </c>
      <c r="I21" s="262">
        <f t="shared" si="12"/>
        <v>0.45928482427501577</v>
      </c>
      <c r="J21" s="262">
        <f t="shared" si="12"/>
        <v>0.4230787378324139</v>
      </c>
      <c r="K21" s="262">
        <f t="shared" si="12"/>
        <v>0.47463200198458594</v>
      </c>
      <c r="L21" s="262">
        <f t="shared" si="12"/>
        <v>0.46343390524286526</v>
      </c>
      <c r="M21" s="262">
        <f t="shared" si="12"/>
        <v>0.52218653321852593</v>
      </c>
      <c r="N21" s="262">
        <f>N10/(N10+N11)</f>
        <v>0.58480651177641241</v>
      </c>
      <c r="O21" s="262">
        <f>O10/(O10+O11)</f>
        <v>0.59597267876827931</v>
      </c>
      <c r="P21" s="262">
        <f>P10/(P10+P11)</f>
        <v>0.60139820083075146</v>
      </c>
      <c r="Q21" s="262">
        <f>Q10/(Q10+Q11)</f>
        <v>0.56365243440214963</v>
      </c>
      <c r="R21" s="262">
        <f t="shared" ref="R21:S21" si="13">R10/(R10+R11)</f>
        <v>0.52379061791658432</v>
      </c>
      <c r="S21" s="262">
        <f t="shared" si="13"/>
        <v>0.59805764938831452</v>
      </c>
      <c r="T21" s="262">
        <f t="shared" ref="T21" si="14">T10/(T10+T11)</f>
        <v>0.62367941572685937</v>
      </c>
      <c r="U21" s="262">
        <f t="shared" si="12"/>
        <v>0.57024243665194863</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tabSelected="1"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１６　化学工業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5118</v>
      </c>
      <c r="L4" s="68">
        <v>4146</v>
      </c>
      <c r="M4" s="68">
        <v>4105.7449184795496</v>
      </c>
      <c r="N4" s="68">
        <v>3491.02409931588</v>
      </c>
      <c r="O4" s="68">
        <v>4296.2853634802996</v>
      </c>
      <c r="P4" s="68">
        <v>4293.7611283656697</v>
      </c>
      <c r="Q4" s="68">
        <v>3950.2797821639601</v>
      </c>
      <c r="R4" s="68">
        <v>5474.3471962253416</v>
      </c>
      <c r="S4" s="68">
        <v>5462.1231689000078</v>
      </c>
      <c r="T4" s="68">
        <v>5058.0306305679942</v>
      </c>
      <c r="U4" s="68">
        <v>5014.2564048999766</v>
      </c>
      <c r="V4" s="68">
        <v>4980.8620499999906</v>
      </c>
      <c r="W4" s="68">
        <v>4957.3227119999592</v>
      </c>
      <c r="X4" s="68">
        <v>4943.1579710000206</v>
      </c>
      <c r="Y4" s="68">
        <v>4630.0320595999901</v>
      </c>
      <c r="Z4" s="68">
        <v>4881</v>
      </c>
      <c r="AA4" s="68">
        <v>4998</v>
      </c>
      <c r="AB4" s="68">
        <v>5354</v>
      </c>
      <c r="AC4" s="68">
        <v>5497</v>
      </c>
    </row>
    <row r="5" spans="1:29" s="31" customFormat="1" ht="18" customHeight="1" x14ac:dyDescent="0.2">
      <c r="A5" s="363" t="s">
        <v>34</v>
      </c>
      <c r="B5" s="364"/>
      <c r="C5" s="364"/>
      <c r="D5" s="364"/>
      <c r="E5" s="364"/>
      <c r="F5" s="364"/>
      <c r="G5" s="364"/>
      <c r="H5" s="364"/>
      <c r="I5" s="364"/>
      <c r="J5" s="364"/>
      <c r="K5" s="251">
        <v>44.330988667448203</v>
      </c>
      <c r="L5" s="251">
        <v>54.422334780511335</v>
      </c>
      <c r="M5" s="251">
        <v>43.407483229999812</v>
      </c>
      <c r="N5" s="251">
        <v>39.506979629464183</v>
      </c>
      <c r="O5" s="251">
        <v>49.648616716943572</v>
      </c>
      <c r="P5" s="251">
        <v>40.416491332096975</v>
      </c>
      <c r="Q5" s="251">
        <v>44.346558655475739</v>
      </c>
      <c r="R5" s="251">
        <v>38.738654818750213</v>
      </c>
      <c r="S5" s="251">
        <v>41.406447223094183</v>
      </c>
      <c r="T5" s="251">
        <v>57.010429946302693</v>
      </c>
      <c r="U5" s="251">
        <v>49.672331974328955</v>
      </c>
      <c r="V5" s="251">
        <v>50.785976675603671</v>
      </c>
      <c r="W5" s="251">
        <v>56.625834204602057</v>
      </c>
      <c r="X5" s="251">
        <v>60.417782884031745</v>
      </c>
      <c r="Y5" s="251">
        <v>53.984947156673428</v>
      </c>
      <c r="Z5" s="251">
        <v>48.910387242720894</v>
      </c>
      <c r="AA5" s="251">
        <v>51.941376550620248</v>
      </c>
      <c r="AB5" s="251">
        <v>49.512327231976094</v>
      </c>
      <c r="AC5" s="251">
        <v>47.812806985628526</v>
      </c>
    </row>
    <row r="6" spans="1:29" s="31" customFormat="1" ht="18" customHeight="1" x14ac:dyDescent="0.2">
      <c r="A6" s="359" t="s">
        <v>514</v>
      </c>
      <c r="B6" s="360"/>
      <c r="C6" s="360"/>
      <c r="D6" s="360"/>
      <c r="E6" s="360"/>
      <c r="F6" s="360"/>
      <c r="G6" s="360"/>
      <c r="H6" s="360"/>
      <c r="I6" s="360"/>
      <c r="J6" s="360"/>
      <c r="K6" s="71">
        <v>1199263.5717076999</v>
      </c>
      <c r="L6" s="71">
        <v>2634019.778099373</v>
      </c>
      <c r="M6" s="71">
        <v>1348723.4490983936</v>
      </c>
      <c r="N6" s="71">
        <v>1056744.785635201</v>
      </c>
      <c r="O6" s="71">
        <v>1435780.6975102983</v>
      </c>
      <c r="P6" s="71">
        <v>1139646.9441218986</v>
      </c>
      <c r="Q6" s="71">
        <v>1113270.3754271546</v>
      </c>
      <c r="R6" s="71">
        <v>1178692.5444474781</v>
      </c>
      <c r="S6" s="71">
        <v>1123776.1018134595</v>
      </c>
      <c r="T6" s="71">
        <v>2145264.2362076058</v>
      </c>
      <c r="U6" s="71">
        <v>1635288.0735911727</v>
      </c>
      <c r="V6" s="71">
        <v>1532630.3077977516</v>
      </c>
      <c r="W6" s="71">
        <v>1688215.9641749286</v>
      </c>
      <c r="X6" s="71">
        <v>1799739.0706540067</v>
      </c>
      <c r="Y6" s="71">
        <v>1500599.2514027345</v>
      </c>
      <c r="Z6" s="71">
        <v>1620330.270631151</v>
      </c>
      <c r="AA6" s="71">
        <v>1662799.7204881951</v>
      </c>
      <c r="AB6" s="71">
        <v>1460414.3403063128</v>
      </c>
      <c r="AC6" s="71">
        <v>1506041.9205020922</v>
      </c>
    </row>
    <row r="7" spans="1:29" s="31" customFormat="1" ht="18" customHeight="1" x14ac:dyDescent="0.2">
      <c r="A7" s="366" t="s">
        <v>35</v>
      </c>
      <c r="B7" s="367"/>
      <c r="C7" s="367"/>
      <c r="D7" s="367"/>
      <c r="E7" s="367"/>
      <c r="F7" s="367"/>
      <c r="G7" s="367"/>
      <c r="H7" s="367"/>
      <c r="I7" s="367"/>
      <c r="J7" s="367"/>
      <c r="K7" s="211">
        <v>1136452.8135990601</v>
      </c>
      <c r="L7" s="211">
        <v>2316892.9088277859</v>
      </c>
      <c r="M7" s="211">
        <v>1284645.9707753912</v>
      </c>
      <c r="N7" s="211">
        <v>1039166.5913732033</v>
      </c>
      <c r="O7" s="211">
        <v>1350918.6875675404</v>
      </c>
      <c r="P7" s="211">
        <v>1105734.1438178897</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892537.61039468599</v>
      </c>
      <c r="L8" s="211">
        <v>1972713.458755427</v>
      </c>
      <c r="M8" s="211">
        <v>1037860.5122256146</v>
      </c>
      <c r="N8" s="211">
        <v>817538.90698490595</v>
      </c>
      <c r="O8" s="211">
        <v>1114417.5586049045</v>
      </c>
      <c r="P8" s="211">
        <v>877015.45188098121</v>
      </c>
      <c r="Q8" s="211">
        <v>829193.5698944286</v>
      </c>
      <c r="R8" s="211">
        <v>902768.55413024465</v>
      </c>
      <c r="S8" s="211">
        <v>809206.39525776205</v>
      </c>
      <c r="T8" s="211">
        <v>1784175.0038325423</v>
      </c>
      <c r="U8" s="211">
        <v>1244938.6089585051</v>
      </c>
      <c r="V8" s="211">
        <v>1176046.6607298886</v>
      </c>
      <c r="W8" s="211">
        <v>1264721.7284174513</v>
      </c>
      <c r="X8" s="211">
        <v>1302775.8201128915</v>
      </c>
      <c r="Y8" s="211">
        <v>1139259.5317758266</v>
      </c>
      <c r="Z8" s="211">
        <v>1265532.4332241127</v>
      </c>
      <c r="AA8" s="211">
        <v>1275102.7208883555</v>
      </c>
      <c r="AB8" s="211">
        <v>1099715.9805752707</v>
      </c>
      <c r="AC8" s="211">
        <v>1158525.2284882662</v>
      </c>
    </row>
    <row r="9" spans="1:29" s="31" customFormat="1" ht="18" customHeight="1" x14ac:dyDescent="0.2">
      <c r="A9" s="212"/>
      <c r="B9" s="73"/>
      <c r="C9" s="346" t="s">
        <v>37</v>
      </c>
      <c r="D9" s="347"/>
      <c r="E9" s="347"/>
      <c r="F9" s="347"/>
      <c r="G9" s="347"/>
      <c r="H9" s="347"/>
      <c r="I9" s="347"/>
      <c r="J9" s="347"/>
      <c r="K9" s="68">
        <v>162548.77295818701</v>
      </c>
      <c r="L9" s="68">
        <v>274696.09261939215</v>
      </c>
      <c r="M9" s="68">
        <v>625685.41119164892</v>
      </c>
      <c r="N9" s="68">
        <v>151353.38195673499</v>
      </c>
      <c r="O9" s="68">
        <v>305179.00754750974</v>
      </c>
      <c r="P9" s="68">
        <v>88125.935846996421</v>
      </c>
      <c r="Q9" s="68">
        <v>131854.85830138577</v>
      </c>
      <c r="R9" s="68">
        <v>235654.72293906831</v>
      </c>
      <c r="S9" s="68">
        <v>106757.91851325441</v>
      </c>
      <c r="T9" s="68">
        <v>202663.17794702746</v>
      </c>
      <c r="U9" s="68">
        <v>400021.3932449253</v>
      </c>
      <c r="V9" s="68">
        <v>272184.25612049864</v>
      </c>
      <c r="W9" s="68">
        <v>361207.10177057743</v>
      </c>
      <c r="X9" s="68">
        <v>150827.43295838268</v>
      </c>
      <c r="Y9" s="68">
        <v>171440.01203029414</v>
      </c>
      <c r="Z9" s="68">
        <v>743214.50686679035</v>
      </c>
      <c r="AA9" s="68">
        <v>767981.82172869146</v>
      </c>
      <c r="AB9" s="68">
        <v>662969.34646992909</v>
      </c>
      <c r="AC9" s="68">
        <v>757183.41167909768</v>
      </c>
    </row>
    <row r="10" spans="1:29" s="31" customFormat="1" ht="18" customHeight="1" x14ac:dyDescent="0.2">
      <c r="A10" s="212"/>
      <c r="B10" s="73"/>
      <c r="C10" s="355" t="s">
        <v>38</v>
      </c>
      <c r="D10" s="356"/>
      <c r="E10" s="356"/>
      <c r="F10" s="356"/>
      <c r="G10" s="356"/>
      <c r="H10" s="356"/>
      <c r="I10" s="356"/>
      <c r="J10" s="356"/>
      <c r="K10" s="69">
        <v>404831.22508792498</v>
      </c>
      <c r="L10" s="69">
        <v>1059071.1529184757</v>
      </c>
      <c r="M10" s="69">
        <v>249404.44981256337</v>
      </c>
      <c r="N10" s="69">
        <v>403408.69511945505</v>
      </c>
      <c r="O10" s="69">
        <v>480915.0991206044</v>
      </c>
      <c r="P10" s="69">
        <v>410618.87163696665</v>
      </c>
      <c r="Q10" s="69">
        <v>388654.7387646595</v>
      </c>
      <c r="R10" s="69">
        <v>391268.25482009083</v>
      </c>
      <c r="S10" s="69">
        <v>394536.15809611237</v>
      </c>
      <c r="T10" s="69">
        <v>301326.00626947673</v>
      </c>
      <c r="U10" s="69">
        <v>293269.91371704888</v>
      </c>
      <c r="V10" s="69">
        <v>520264.93875915254</v>
      </c>
      <c r="W10" s="69">
        <v>422086.32507271919</v>
      </c>
      <c r="X10" s="69">
        <v>681683.45288555312</v>
      </c>
      <c r="Y10" s="69">
        <v>570419.77990042372</v>
      </c>
      <c r="Z10" s="69"/>
      <c r="AA10" s="69"/>
      <c r="AB10" s="69"/>
      <c r="AC10" s="69"/>
    </row>
    <row r="11" spans="1:29" s="31" customFormat="1" ht="18" customHeight="1" x14ac:dyDescent="0.2">
      <c r="A11" s="212"/>
      <c r="B11" s="73"/>
      <c r="C11" s="355" t="s">
        <v>39</v>
      </c>
      <c r="D11" s="356"/>
      <c r="E11" s="356"/>
      <c r="F11" s="356"/>
      <c r="G11" s="356"/>
      <c r="H11" s="356"/>
      <c r="I11" s="356"/>
      <c r="J11" s="356"/>
      <c r="K11" s="69">
        <v>133764.540836264</v>
      </c>
      <c r="L11" s="69">
        <v>174706.22286541245</v>
      </c>
      <c r="M11" s="69">
        <v>99852.028549100432</v>
      </c>
      <c r="N11" s="69">
        <v>78366.332043210175</v>
      </c>
      <c r="O11" s="69">
        <v>112187.38557051115</v>
      </c>
      <c r="P11" s="69">
        <v>96864.213225545245</v>
      </c>
      <c r="Q11" s="69">
        <v>144425.90288852781</v>
      </c>
      <c r="R11" s="69">
        <v>131735.03129371887</v>
      </c>
      <c r="S11" s="69">
        <v>104147.72012958402</v>
      </c>
      <c r="T11" s="69">
        <v>173676.29059873123</v>
      </c>
      <c r="U11" s="69">
        <v>92779.937921989796</v>
      </c>
      <c r="V11" s="69">
        <v>129909.61985807988</v>
      </c>
      <c r="W11" s="69">
        <v>163181.6254490182</v>
      </c>
      <c r="X11" s="69">
        <v>144422.1374499482</v>
      </c>
      <c r="Y11" s="69">
        <v>187799.42888289489</v>
      </c>
      <c r="Z11" s="69">
        <v>162387.99408985212</v>
      </c>
      <c r="AA11" s="69">
        <v>168662.37895158061</v>
      </c>
      <c r="AB11" s="69">
        <v>149805.99701158013</v>
      </c>
      <c r="AC11" s="69">
        <v>145907.90158268146</v>
      </c>
    </row>
    <row r="12" spans="1:29" s="31" customFormat="1" ht="18" customHeight="1" x14ac:dyDescent="0.2">
      <c r="A12" s="212"/>
      <c r="B12" s="73"/>
      <c r="C12" s="355" t="s">
        <v>40</v>
      </c>
      <c r="D12" s="356"/>
      <c r="E12" s="356"/>
      <c r="F12" s="356"/>
      <c r="G12" s="356"/>
      <c r="H12" s="356"/>
      <c r="I12" s="356"/>
      <c r="J12" s="356"/>
      <c r="K12" s="69">
        <v>69514.2379835873</v>
      </c>
      <c r="L12" s="69">
        <v>110797.15388326098</v>
      </c>
      <c r="M12" s="69">
        <v>18616.584156451347</v>
      </c>
      <c r="N12" s="69">
        <v>38963.191717281043</v>
      </c>
      <c r="O12" s="69">
        <v>31265.953385317291</v>
      </c>
      <c r="P12" s="69">
        <v>49577.65443141204</v>
      </c>
      <c r="Q12" s="69">
        <v>32312.951666353129</v>
      </c>
      <c r="R12" s="69">
        <v>23995.342633627741</v>
      </c>
      <c r="S12" s="69">
        <v>52002.02817439301</v>
      </c>
      <c r="T12" s="69">
        <v>27275.127896458976</v>
      </c>
      <c r="U12" s="69">
        <v>36643.43806369901</v>
      </c>
      <c r="V12" s="69">
        <v>20386.277294387906</v>
      </c>
      <c r="W12" s="69">
        <v>55096.678545001254</v>
      </c>
      <c r="X12" s="69">
        <v>55463.233130950874</v>
      </c>
      <c r="Y12" s="69">
        <v>58958.952071482854</v>
      </c>
      <c r="Z12" s="69">
        <v>43770.008977511337</v>
      </c>
      <c r="AA12" s="69">
        <v>70806.239095638244</v>
      </c>
      <c r="AB12" s="69">
        <v>52891.031751961142</v>
      </c>
      <c r="AC12" s="69">
        <v>52672.748226305259</v>
      </c>
    </row>
    <row r="13" spans="1:29" s="31" customFormat="1" ht="18" customHeight="1" x14ac:dyDescent="0.2">
      <c r="A13" s="212"/>
      <c r="B13" s="73"/>
      <c r="C13" s="355" t="s">
        <v>41</v>
      </c>
      <c r="D13" s="356"/>
      <c r="E13" s="356"/>
      <c r="F13" s="356"/>
      <c r="G13" s="356"/>
      <c r="H13" s="356"/>
      <c r="I13" s="356"/>
      <c r="J13" s="356"/>
      <c r="K13" s="69">
        <v>29949.388432981599</v>
      </c>
      <c r="L13" s="69">
        <v>64131.693198263391</v>
      </c>
      <c r="M13" s="69">
        <v>14401.178720089454</v>
      </c>
      <c r="N13" s="69">
        <v>19092.058109407826</v>
      </c>
      <c r="O13" s="69">
        <v>30503.130016864841</v>
      </c>
      <c r="P13" s="69">
        <v>26754.087164538429</v>
      </c>
      <c r="Q13" s="69">
        <v>33357.395892390421</v>
      </c>
      <c r="R13" s="69">
        <v>48778.956859764177</v>
      </c>
      <c r="S13" s="69">
        <v>37022.070047778216</v>
      </c>
      <c r="T13" s="69">
        <v>31047.3968540811</v>
      </c>
      <c r="U13" s="69">
        <v>52489.448423111542</v>
      </c>
      <c r="V13" s="69">
        <v>31417.769941910741</v>
      </c>
      <c r="W13" s="69">
        <v>49841.507331946581</v>
      </c>
      <c r="X13" s="69">
        <v>49720.611168074385</v>
      </c>
      <c r="Y13" s="69">
        <v>40623.491685935973</v>
      </c>
      <c r="Z13" s="69">
        <v>46578.159919056416</v>
      </c>
      <c r="AA13" s="69">
        <v>55747.233693477392</v>
      </c>
      <c r="AB13" s="69">
        <v>50172.998505790063</v>
      </c>
      <c r="AC13" s="69">
        <v>39094.721302528647</v>
      </c>
    </row>
    <row r="14" spans="1:29" s="31" customFormat="1" ht="18" customHeight="1" x14ac:dyDescent="0.2">
      <c r="A14" s="212"/>
      <c r="B14" s="73"/>
      <c r="C14" s="363" t="s">
        <v>42</v>
      </c>
      <c r="D14" s="364"/>
      <c r="E14" s="364"/>
      <c r="F14" s="364"/>
      <c r="G14" s="364"/>
      <c r="H14" s="364"/>
      <c r="I14" s="364"/>
      <c r="J14" s="364"/>
      <c r="K14" s="70">
        <v>91929.445095740506</v>
      </c>
      <c r="L14" s="70">
        <v>289311.14327062224</v>
      </c>
      <c r="M14" s="70">
        <v>29900.859795760225</v>
      </c>
      <c r="N14" s="70">
        <v>126355.24803881536</v>
      </c>
      <c r="O14" s="70">
        <v>154366.98296409452</v>
      </c>
      <c r="P14" s="70">
        <v>205074.68957552299</v>
      </c>
      <c r="Q14" s="70">
        <v>98587.722381111715</v>
      </c>
      <c r="R14" s="70">
        <v>71336.245583974887</v>
      </c>
      <c r="S14" s="70">
        <v>114740.5002966402</v>
      </c>
      <c r="T14" s="70">
        <v>1048187.0042667674</v>
      </c>
      <c r="U14" s="70">
        <v>369734.47758772911</v>
      </c>
      <c r="V14" s="70">
        <v>201883.79875585946</v>
      </c>
      <c r="W14" s="70">
        <v>213308.49024818765</v>
      </c>
      <c r="X14" s="70">
        <v>220658.95251998131</v>
      </c>
      <c r="Y14" s="70">
        <v>110017.86720479319</v>
      </c>
      <c r="Z14" s="70">
        <v>269581.76337090251</v>
      </c>
      <c r="AA14" s="70">
        <v>211905.04741896782</v>
      </c>
      <c r="AB14" s="70">
        <v>183876.60683601035</v>
      </c>
      <c r="AC14" s="70">
        <v>163666.44569765322</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284076.80553272588</v>
      </c>
      <c r="R15" s="211">
        <v>275923.99031723349</v>
      </c>
      <c r="S15" s="211">
        <v>314569.70655569743</v>
      </c>
      <c r="T15" s="211">
        <v>361089.23237506318</v>
      </c>
      <c r="U15" s="211">
        <v>390349.46463266772</v>
      </c>
      <c r="V15" s="211">
        <v>356583.64706786303</v>
      </c>
      <c r="W15" s="211">
        <v>423494.23575747752</v>
      </c>
      <c r="X15" s="211">
        <v>496963.25054111506</v>
      </c>
      <c r="Y15" s="211">
        <v>361339.71962690807</v>
      </c>
      <c r="Z15" s="211">
        <v>354797.83740703604</v>
      </c>
      <c r="AA15" s="211">
        <v>387696.99959983997</v>
      </c>
      <c r="AB15" s="211">
        <v>360698.35954426596</v>
      </c>
      <c r="AC15" s="211">
        <v>347516.6920138257</v>
      </c>
    </row>
    <row r="16" spans="1:29" s="31" customFormat="1" ht="18" customHeight="1" x14ac:dyDescent="0.2">
      <c r="A16" s="73"/>
      <c r="B16" s="366" t="s">
        <v>43</v>
      </c>
      <c r="C16" s="367"/>
      <c r="D16" s="367"/>
      <c r="E16" s="367"/>
      <c r="F16" s="367"/>
      <c r="G16" s="367"/>
      <c r="H16" s="367"/>
      <c r="I16" s="367"/>
      <c r="J16" s="367"/>
      <c r="K16" s="211">
        <v>243915.203204377</v>
      </c>
      <c r="L16" s="211">
        <v>344179.45007235894</v>
      </c>
      <c r="M16" s="211">
        <v>246785.45854977885</v>
      </c>
      <c r="N16" s="211">
        <v>221627.68438829738</v>
      </c>
      <c r="O16" s="211">
        <v>236501.12896263838</v>
      </c>
      <c r="P16" s="211">
        <v>228718.69193690867</v>
      </c>
      <c r="Q16" s="211">
        <v>231320.76325311724</v>
      </c>
      <c r="R16" s="211">
        <v>201306.71769991543</v>
      </c>
      <c r="S16" s="211">
        <v>249577.74255158723</v>
      </c>
      <c r="T16" s="211">
        <v>220935.58022074652</v>
      </c>
      <c r="U16" s="211">
        <v>300116.64519531187</v>
      </c>
      <c r="V16" s="211">
        <v>278369.60010137164</v>
      </c>
      <c r="W16" s="211">
        <v>328426.16278186813</v>
      </c>
      <c r="X16" s="211">
        <v>346408.57375615137</v>
      </c>
      <c r="Y16" s="211">
        <v>253465.99448435858</v>
      </c>
      <c r="Z16" s="211">
        <v>248838.70924587102</v>
      </c>
      <c r="AA16" s="211">
        <v>280815.85694277711</v>
      </c>
      <c r="AB16" s="211">
        <v>244810.28502054539</v>
      </c>
      <c r="AC16" s="211">
        <v>250033.41186101511</v>
      </c>
    </row>
    <row r="17" spans="1:29" s="31" customFormat="1" ht="18" customHeight="1" x14ac:dyDescent="0.2">
      <c r="A17" s="212"/>
      <c r="B17" s="73"/>
      <c r="C17" s="346" t="s">
        <v>44</v>
      </c>
      <c r="D17" s="347"/>
      <c r="E17" s="347"/>
      <c r="F17" s="347"/>
      <c r="G17" s="347"/>
      <c r="H17" s="347"/>
      <c r="I17" s="347"/>
      <c r="J17" s="347"/>
      <c r="K17" s="68">
        <v>103878.231731145</v>
      </c>
      <c r="L17" s="68">
        <v>136438.49493487697</v>
      </c>
      <c r="M17" s="68">
        <v>110464.31066728604</v>
      </c>
      <c r="N17" s="68">
        <v>104664.1126341015</v>
      </c>
      <c r="O17" s="68">
        <v>99955.875199542046</v>
      </c>
      <c r="P17" s="68">
        <v>95969.063713369906</v>
      </c>
      <c r="Q17" s="68">
        <v>98879.575528930392</v>
      </c>
      <c r="R17" s="68">
        <v>81814.67499153869</v>
      </c>
      <c r="S17" s="68">
        <v>88368.999299534436</v>
      </c>
      <c r="T17" s="68">
        <v>78746.122163062915</v>
      </c>
      <c r="U17" s="68">
        <v>112095.71256389383</v>
      </c>
      <c r="V17" s="68">
        <v>112338.94077674775</v>
      </c>
      <c r="W17" s="68">
        <v>117802.98386290646</v>
      </c>
      <c r="X17" s="68">
        <v>132356.5028029501</v>
      </c>
      <c r="Y17" s="68">
        <v>107413.17946046217</v>
      </c>
      <c r="Z17" s="68">
        <v>106023.53580270866</v>
      </c>
      <c r="AA17" s="68">
        <v>107863.50180072029</v>
      </c>
      <c r="AB17" s="68">
        <v>97568.165670526709</v>
      </c>
      <c r="AC17" s="68">
        <v>101502.87484082226</v>
      </c>
    </row>
    <row r="18" spans="1:29" s="31" customFormat="1" ht="18" customHeight="1" x14ac:dyDescent="0.2">
      <c r="A18" s="212"/>
      <c r="B18" s="73"/>
      <c r="C18" s="355" t="s">
        <v>45</v>
      </c>
      <c r="D18" s="356"/>
      <c r="E18" s="356"/>
      <c r="F18" s="356"/>
      <c r="G18" s="356"/>
      <c r="H18" s="356"/>
      <c r="I18" s="356"/>
      <c r="J18" s="356"/>
      <c r="K18" s="69">
        <v>8228.9585775693595</v>
      </c>
      <c r="L18" s="69">
        <v>7439.4597202122532</v>
      </c>
      <c r="M18" s="69">
        <v>7784.0767800181811</v>
      </c>
      <c r="N18" s="69">
        <v>8318.184454489683</v>
      </c>
      <c r="O18" s="69">
        <v>9836.1425361206166</v>
      </c>
      <c r="P18" s="69">
        <v>11046.797240285166</v>
      </c>
      <c r="Q18" s="69">
        <v>11508.302526127451</v>
      </c>
      <c r="R18" s="69">
        <v>7253.0055719359307</v>
      </c>
      <c r="S18" s="69">
        <v>6811.5235362752737</v>
      </c>
      <c r="T18" s="69">
        <v>4931.4654209785267</v>
      </c>
      <c r="U18" s="69">
        <v>10843.389194019064</v>
      </c>
      <c r="V18" s="69">
        <v>9168.8808073186356</v>
      </c>
      <c r="W18" s="69">
        <v>11711.55925872202</v>
      </c>
      <c r="X18" s="69">
        <v>8550.4297177792905</v>
      </c>
      <c r="Y18" s="69">
        <v>8230.7020418361262</v>
      </c>
      <c r="Z18" s="69">
        <v>8340.0768404126284</v>
      </c>
      <c r="AA18" s="69">
        <v>8799.2807122849135</v>
      </c>
      <c r="AB18" s="69">
        <v>8258.5601419499435</v>
      </c>
      <c r="AC18" s="69">
        <v>8084.5011824631601</v>
      </c>
    </row>
    <row r="19" spans="1:29" s="31" customFormat="1" ht="18" customHeight="1" x14ac:dyDescent="0.2">
      <c r="A19" s="212"/>
      <c r="B19" s="73"/>
      <c r="C19" s="355" t="s">
        <v>46</v>
      </c>
      <c r="D19" s="356"/>
      <c r="E19" s="356"/>
      <c r="F19" s="356"/>
      <c r="G19" s="356"/>
      <c r="H19" s="356"/>
      <c r="I19" s="356"/>
      <c r="J19" s="356"/>
      <c r="K19" s="69">
        <v>2677.8096912856604</v>
      </c>
      <c r="L19" s="69">
        <v>1602.2672455378679</v>
      </c>
      <c r="M19" s="69">
        <v>7863.113091133283</v>
      </c>
      <c r="N19" s="69">
        <v>1650.0500065257993</v>
      </c>
      <c r="O19" s="69">
        <v>1805.1809447709031</v>
      </c>
      <c r="P19" s="69">
        <v>1737.7076509111832</v>
      </c>
      <c r="Q19" s="69">
        <v>1980.6995281243965</v>
      </c>
      <c r="R19" s="69">
        <v>3748.4644945742639</v>
      </c>
      <c r="S19" s="69">
        <v>1271.0819423028313</v>
      </c>
      <c r="T19" s="69">
        <v>2757.5338856326771</v>
      </c>
      <c r="U19" s="69">
        <v>1615.4527514752085</v>
      </c>
      <c r="V19" s="69">
        <v>2844.0160572798609</v>
      </c>
      <c r="W19" s="69">
        <v>2058.5782202810151</v>
      </c>
      <c r="X19" s="69">
        <v>2163.8693837319065</v>
      </c>
      <c r="Y19" s="69">
        <v>2783.4617867263355</v>
      </c>
      <c r="Z19" s="69"/>
      <c r="AA19" s="69"/>
      <c r="AB19" s="69"/>
      <c r="AC19" s="69"/>
    </row>
    <row r="20" spans="1:29" s="31" customFormat="1" ht="18" customHeight="1" x14ac:dyDescent="0.2">
      <c r="A20" s="212"/>
      <c r="B20" s="73"/>
      <c r="C20" s="355" t="s">
        <v>47</v>
      </c>
      <c r="D20" s="356"/>
      <c r="E20" s="356"/>
      <c r="F20" s="356"/>
      <c r="G20" s="356"/>
      <c r="H20" s="356"/>
      <c r="I20" s="356"/>
      <c r="J20" s="356"/>
      <c r="K20" s="69">
        <v>29707.600625244198</v>
      </c>
      <c r="L20" s="69">
        <v>82701.640135069945</v>
      </c>
      <c r="M20" s="69">
        <v>28405.239153746734</v>
      </c>
      <c r="N20" s="69">
        <v>26994.67092178862</v>
      </c>
      <c r="O20" s="69">
        <v>33561.413330988384</v>
      </c>
      <c r="P20" s="69">
        <v>20799.434054280737</v>
      </c>
      <c r="Q20" s="69">
        <v>15701.041323502022</v>
      </c>
      <c r="R20" s="69">
        <v>19392.005188366624</v>
      </c>
      <c r="S20" s="69">
        <v>30437.573623795728</v>
      </c>
      <c r="T20" s="69">
        <v>15908.180931777913</v>
      </c>
      <c r="U20" s="69">
        <v>60299.388413882742</v>
      </c>
      <c r="V20" s="69">
        <v>25351.953968340007</v>
      </c>
      <c r="W20" s="69">
        <v>18077.340078625781</v>
      </c>
      <c r="X20" s="69">
        <v>23173.369748746303</v>
      </c>
      <c r="Y20" s="69">
        <v>22980.462914590851</v>
      </c>
      <c r="Z20" s="69">
        <v>22740.235669420748</v>
      </c>
      <c r="AA20" s="69">
        <v>30981.085634253697</v>
      </c>
      <c r="AB20" s="69">
        <v>29678.847403810236</v>
      </c>
      <c r="AC20" s="69">
        <v>31447.136438057125</v>
      </c>
    </row>
    <row r="21" spans="1:29" s="31" customFormat="1" ht="18" customHeight="1" x14ac:dyDescent="0.2">
      <c r="A21" s="212"/>
      <c r="B21" s="73"/>
      <c r="C21" s="355" t="s">
        <v>48</v>
      </c>
      <c r="D21" s="356"/>
      <c r="E21" s="356"/>
      <c r="F21" s="356"/>
      <c r="G21" s="356"/>
      <c r="H21" s="356"/>
      <c r="I21" s="356"/>
      <c r="J21" s="356"/>
      <c r="K21" s="69">
        <v>8001.8952715904597</v>
      </c>
      <c r="L21" s="69">
        <v>6658.2247949831162</v>
      </c>
      <c r="M21" s="69">
        <v>6498.3398822379359</v>
      </c>
      <c r="N21" s="69">
        <v>5314.0085433225795</v>
      </c>
      <c r="O21" s="69">
        <v>10097.150291186357</v>
      </c>
      <c r="P21" s="69">
        <v>3438.5985539925709</v>
      </c>
      <c r="Q21" s="69">
        <v>17129.226837638351</v>
      </c>
      <c r="R21" s="69">
        <v>6636.257653441271</v>
      </c>
      <c r="S21" s="69">
        <v>4806.8156393863264</v>
      </c>
      <c r="T21" s="69">
        <v>1362.4776797503387</v>
      </c>
      <c r="U21" s="69">
        <v>4345.3227608819652</v>
      </c>
      <c r="V21" s="69">
        <v>13176.472760220926</v>
      </c>
      <c r="W21" s="69">
        <v>5180.8181886964621</v>
      </c>
      <c r="X21" s="69">
        <v>34332.150709437439</v>
      </c>
      <c r="Y21" s="69">
        <v>2650.4849911322967</v>
      </c>
      <c r="Z21" s="69"/>
      <c r="AA21" s="69"/>
      <c r="AB21" s="69"/>
      <c r="AC21" s="69"/>
    </row>
    <row r="22" spans="1:29" s="31" customFormat="1" ht="18" customHeight="1" x14ac:dyDescent="0.2">
      <c r="A22" s="212"/>
      <c r="B22" s="73"/>
      <c r="C22" s="355" t="s">
        <v>49</v>
      </c>
      <c r="D22" s="356"/>
      <c r="E22" s="356"/>
      <c r="F22" s="356"/>
      <c r="G22" s="356"/>
      <c r="H22" s="356"/>
      <c r="I22" s="356"/>
      <c r="J22" s="356"/>
      <c r="K22" s="69">
        <v>3267.8350918327496</v>
      </c>
      <c r="L22" s="69">
        <v>2378.4370477568741</v>
      </c>
      <c r="M22" s="69">
        <v>4538.3761610702977</v>
      </c>
      <c r="N22" s="69">
        <v>2673.9408145729831</v>
      </c>
      <c r="O22" s="69">
        <v>4164.9141445380283</v>
      </c>
      <c r="P22" s="69">
        <v>7383.1869588141863</v>
      </c>
      <c r="Q22" s="69">
        <v>2734.5355238879997</v>
      </c>
      <c r="R22" s="69">
        <v>4661.1687764146</v>
      </c>
      <c r="S22" s="69">
        <v>15848.70483021885</v>
      </c>
      <c r="T22" s="69">
        <v>1029.2183566191925</v>
      </c>
      <c r="U22" s="69">
        <v>3606.2872646008659</v>
      </c>
      <c r="V22" s="69">
        <v>12495.792470990051</v>
      </c>
      <c r="W22" s="69">
        <v>14908.190267263582</v>
      </c>
      <c r="X22" s="69">
        <v>14048.232838706481</v>
      </c>
      <c r="Y22" s="69">
        <v>2999.6015404229834</v>
      </c>
      <c r="Z22" s="69">
        <v>11453.282991788181</v>
      </c>
      <c r="AA22" s="69">
        <v>14228.985794317729</v>
      </c>
      <c r="AB22" s="69">
        <v>3650.1537168472169</v>
      </c>
      <c r="AC22" s="69">
        <v>5096.2033836638175</v>
      </c>
    </row>
    <row r="23" spans="1:29" s="31" customFormat="1" ht="18" customHeight="1" x14ac:dyDescent="0.2">
      <c r="A23" s="212"/>
      <c r="B23" s="73"/>
      <c r="C23" s="355" t="s">
        <v>50</v>
      </c>
      <c r="D23" s="356"/>
      <c r="E23" s="356"/>
      <c r="F23" s="356"/>
      <c r="G23" s="356"/>
      <c r="H23" s="356"/>
      <c r="I23" s="356"/>
      <c r="J23" s="356"/>
      <c r="K23" s="69">
        <v>3100.67213755373</v>
      </c>
      <c r="L23" s="69">
        <v>4851.9054510371443</v>
      </c>
      <c r="M23" s="69">
        <v>4213.6859293935386</v>
      </c>
      <c r="N23" s="69">
        <v>2597.1050756027671</v>
      </c>
      <c r="O23" s="69">
        <v>2590.9421446514775</v>
      </c>
      <c r="P23" s="69">
        <v>3534.8936125172577</v>
      </c>
      <c r="Q23" s="69">
        <v>2688.8977051527554</v>
      </c>
      <c r="R23" s="69">
        <v>2308.1333731475906</v>
      </c>
      <c r="S23" s="69">
        <v>2296.6162729010857</v>
      </c>
      <c r="T23" s="69">
        <v>1993.6386731436044</v>
      </c>
      <c r="U23" s="69">
        <v>1936.0494342461961</v>
      </c>
      <c r="V23" s="69">
        <v>5637.0353657036239</v>
      </c>
      <c r="W23" s="69">
        <v>2632.8588452163917</v>
      </c>
      <c r="X23" s="69">
        <v>3455.5453532216588</v>
      </c>
      <c r="Y23" s="69">
        <v>2564.5423195123976</v>
      </c>
      <c r="Z23" s="69">
        <v>2353.6145707748187</v>
      </c>
      <c r="AA23" s="69">
        <v>2880.9845938375347</v>
      </c>
      <c r="AB23" s="69">
        <v>1335.9934628315277</v>
      </c>
      <c r="AC23" s="69">
        <v>1341.6821902856102</v>
      </c>
    </row>
    <row r="24" spans="1:29" s="31" customFormat="1" ht="18" customHeight="1" x14ac:dyDescent="0.2">
      <c r="A24" s="212"/>
      <c r="B24" s="73"/>
      <c r="C24" s="355" t="s">
        <v>41</v>
      </c>
      <c r="D24" s="356"/>
      <c r="E24" s="356"/>
      <c r="F24" s="356"/>
      <c r="G24" s="356"/>
      <c r="H24" s="356"/>
      <c r="I24" s="356"/>
      <c r="J24" s="356"/>
      <c r="K24" s="69">
        <v>8890.0625244235998</v>
      </c>
      <c r="L24" s="69">
        <v>5550.1688374336709</v>
      </c>
      <c r="M24" s="69">
        <v>8768.3341541381051</v>
      </c>
      <c r="N24" s="69">
        <v>7215.3123447002672</v>
      </c>
      <c r="O24" s="69">
        <v>9596.3732943980813</v>
      </c>
      <c r="P24" s="69">
        <v>9128.5687915433464</v>
      </c>
      <c r="Q24" s="69">
        <v>5176.41749909801</v>
      </c>
      <c r="R24" s="69">
        <v>5757.0164876384915</v>
      </c>
      <c r="S24" s="69">
        <v>8295.2869459658395</v>
      </c>
      <c r="T24" s="69">
        <v>5942.0474921965924</v>
      </c>
      <c r="U24" s="69">
        <v>10539.814199292936</v>
      </c>
      <c r="V24" s="69">
        <v>10797.56327738345</v>
      </c>
      <c r="W24" s="69">
        <v>10695.268592344539</v>
      </c>
      <c r="X24" s="69">
        <v>13585.352402970238</v>
      </c>
      <c r="Y24" s="69">
        <v>9577.4028051760542</v>
      </c>
      <c r="Z24" s="69">
        <v>11577.829358495121</v>
      </c>
      <c r="AA24" s="69">
        <v>11291.21788715486</v>
      </c>
      <c r="AB24" s="69">
        <v>10900.240194247292</v>
      </c>
      <c r="AC24" s="69">
        <v>10877.442786974712</v>
      </c>
    </row>
    <row r="25" spans="1:29" s="31" customFormat="1" ht="18" customHeight="1" x14ac:dyDescent="0.2">
      <c r="A25" s="212"/>
      <c r="B25" s="73"/>
      <c r="C25" s="355" t="s">
        <v>51</v>
      </c>
      <c r="D25" s="356"/>
      <c r="E25" s="356"/>
      <c r="F25" s="356"/>
      <c r="G25" s="356"/>
      <c r="H25" s="356"/>
      <c r="I25" s="356"/>
      <c r="J25" s="356"/>
      <c r="K25" s="69"/>
      <c r="L25" s="69">
        <v>1033.0438977327544</v>
      </c>
      <c r="M25" s="69">
        <v>710.73392423467351</v>
      </c>
      <c r="N25" s="69">
        <v>583.86936200556636</v>
      </c>
      <c r="O25" s="69">
        <v>345.31369290354928</v>
      </c>
      <c r="P25" s="69">
        <v>765.53065274338633</v>
      </c>
      <c r="Q25" s="69">
        <v>285.63904077932636</v>
      </c>
      <c r="R25" s="69">
        <v>343.70291879568879</v>
      </c>
      <c r="S25" s="69">
        <v>2964.8609986879769</v>
      </c>
      <c r="T25" s="69">
        <v>295.41822990087252</v>
      </c>
      <c r="U25" s="69">
        <v>313.98218700294416</v>
      </c>
      <c r="V25" s="69">
        <v>599.50834840477683</v>
      </c>
      <c r="W25" s="69">
        <v>689.42158079126648</v>
      </c>
      <c r="X25" s="69">
        <v>330.11170152896079</v>
      </c>
      <c r="Y25" s="69">
        <v>455.45500727279767</v>
      </c>
      <c r="Z25" s="69">
        <v>588.15427372066586</v>
      </c>
      <c r="AA25" s="69">
        <v>608.04861944777906</v>
      </c>
      <c r="AB25" s="69">
        <v>253.43761673515129</v>
      </c>
      <c r="AC25" s="69">
        <v>298.87174822630527</v>
      </c>
    </row>
    <row r="26" spans="1:29" s="31" customFormat="1" ht="18" customHeight="1" x14ac:dyDescent="0.2">
      <c r="A26" s="212"/>
      <c r="B26" s="73"/>
      <c r="C26" s="355" t="s">
        <v>52</v>
      </c>
      <c r="D26" s="356"/>
      <c r="E26" s="356"/>
      <c r="F26" s="356"/>
      <c r="G26" s="356"/>
      <c r="H26" s="356"/>
      <c r="I26" s="356"/>
      <c r="J26" s="356"/>
      <c r="K26" s="69">
        <v>6114.0640875341896</v>
      </c>
      <c r="L26" s="69">
        <v>12352.146647370961</v>
      </c>
      <c r="M26" s="69">
        <v>4647.9501943446548</v>
      </c>
      <c r="N26" s="69">
        <v>4461.5365555453272</v>
      </c>
      <c r="O26" s="69">
        <v>4343.4263373799677</v>
      </c>
      <c r="P26" s="69">
        <v>4445.7507241221228</v>
      </c>
      <c r="Q26" s="69">
        <v>3446.368992288717</v>
      </c>
      <c r="R26" s="69">
        <v>4425.757000753275</v>
      </c>
      <c r="S26" s="69">
        <v>5150.0323766557503</v>
      </c>
      <c r="T26" s="69">
        <v>4584.4523710598678</v>
      </c>
      <c r="U26" s="69">
        <v>4239.3543695074532</v>
      </c>
      <c r="V26" s="69">
        <v>5109.4042541998379</v>
      </c>
      <c r="W26" s="69">
        <v>5957.4428729858473</v>
      </c>
      <c r="X26" s="69">
        <v>4984.9636944772519</v>
      </c>
      <c r="Y26" s="69">
        <v>5482.7999673960758</v>
      </c>
      <c r="Z26" s="69">
        <v>6318.850407433154</v>
      </c>
      <c r="AA26" s="69">
        <v>5523.8113245298109</v>
      </c>
      <c r="AB26" s="69">
        <v>4951.7919312663435</v>
      </c>
      <c r="AC26" s="69">
        <v>4554.5153720211019</v>
      </c>
    </row>
    <row r="27" spans="1:29" s="31" customFormat="1" ht="18" customHeight="1" x14ac:dyDescent="0.2">
      <c r="A27" s="214"/>
      <c r="B27" s="74"/>
      <c r="C27" s="348" t="s">
        <v>53</v>
      </c>
      <c r="D27" s="349"/>
      <c r="E27" s="349"/>
      <c r="F27" s="349"/>
      <c r="G27" s="349"/>
      <c r="H27" s="349"/>
      <c r="I27" s="349"/>
      <c r="J27" s="349"/>
      <c r="K27" s="210">
        <v>70048.073466197704</v>
      </c>
      <c r="L27" s="210">
        <v>83173.178967679691</v>
      </c>
      <c r="M27" s="210">
        <v>62891.298612174163</v>
      </c>
      <c r="N27" s="210">
        <v>57154.893675642285</v>
      </c>
      <c r="O27" s="210">
        <v>60204.397046159123</v>
      </c>
      <c r="P27" s="210">
        <v>70469.159984328915</v>
      </c>
      <c r="Q27" s="210">
        <v>71790.058747587784</v>
      </c>
      <c r="R27" s="210">
        <v>64966.531243308978</v>
      </c>
      <c r="S27" s="210">
        <v>83326.247085862953</v>
      </c>
      <c r="T27" s="210">
        <v>103385.02501662404</v>
      </c>
      <c r="U27" s="210">
        <v>90281.892056508586</v>
      </c>
      <c r="V27" s="210">
        <v>80850.032014782904</v>
      </c>
      <c r="W27" s="210">
        <v>138711.70101403483</v>
      </c>
      <c r="X27" s="210">
        <v>109428.04540260167</v>
      </c>
      <c r="Y27" s="210">
        <v>88327.901649830674</v>
      </c>
      <c r="Z27" s="210">
        <v>79443.129331117059</v>
      </c>
      <c r="AA27" s="210">
        <v>98638.940576230496</v>
      </c>
      <c r="AB27" s="210">
        <v>88213.094882330974</v>
      </c>
      <c r="AC27" s="210">
        <v>86830.183918500989</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52756.042279608366</v>
      </c>
      <c r="R28" s="71">
        <v>74617.272617318114</v>
      </c>
      <c r="S28" s="71">
        <v>64991.964004110232</v>
      </c>
      <c r="T28" s="71">
        <v>140153.65215431669</v>
      </c>
      <c r="U28" s="71">
        <v>90232.819437355851</v>
      </c>
      <c r="V28" s="71">
        <v>78214.046966491354</v>
      </c>
      <c r="W28" s="71">
        <v>95068.072975609321</v>
      </c>
      <c r="X28" s="71">
        <v>150554.6767849637</v>
      </c>
      <c r="Y28" s="71">
        <v>107873.72514254945</v>
      </c>
      <c r="Z28" s="71">
        <v>105959.12816116503</v>
      </c>
      <c r="AA28" s="71">
        <v>106881.14265706282</v>
      </c>
      <c r="AB28" s="71">
        <v>115888.07452372058</v>
      </c>
      <c r="AC28" s="71">
        <v>97483.280152810621</v>
      </c>
    </row>
    <row r="29" spans="1:29" s="31" customFormat="1" ht="18" customHeight="1" x14ac:dyDescent="0.2">
      <c r="A29" s="357" t="s">
        <v>54</v>
      </c>
      <c r="B29" s="358"/>
      <c r="C29" s="358"/>
      <c r="D29" s="358"/>
      <c r="E29" s="358"/>
      <c r="F29" s="358"/>
      <c r="G29" s="358"/>
      <c r="H29" s="358"/>
      <c r="I29" s="358"/>
      <c r="J29" s="358"/>
      <c r="K29" s="188">
        <v>-3927.71785853849</v>
      </c>
      <c r="L29" s="188">
        <v>-2160.1543656536419</v>
      </c>
      <c r="M29" s="188">
        <v>3950.5974754928243</v>
      </c>
      <c r="N29" s="188">
        <v>1875.6412043251271</v>
      </c>
      <c r="O29" s="188">
        <v>2935.7027695360707</v>
      </c>
      <c r="P29" s="188">
        <v>-3995.2585727368755</v>
      </c>
      <c r="Q29" s="188">
        <v>2668.0848125455232</v>
      </c>
      <c r="R29" s="188">
        <v>1330.2765953116384</v>
      </c>
      <c r="S29" s="188">
        <v>-6193.2621638031023</v>
      </c>
      <c r="T29" s="188">
        <v>-44.294241536799291</v>
      </c>
      <c r="U29" s="188">
        <v>11912.209671366496</v>
      </c>
      <c r="V29" s="188">
        <v>15853.58025520318</v>
      </c>
      <c r="W29" s="188">
        <v>8621.4878148523694</v>
      </c>
      <c r="X29" s="188">
        <v>11650.655828692858</v>
      </c>
      <c r="Y29" s="188">
        <v>10733.485132962349</v>
      </c>
      <c r="Z29" s="188">
        <v>12240.203216715565</v>
      </c>
      <c r="AA29" s="188">
        <v>12017.20168067227</v>
      </c>
      <c r="AB29" s="188">
        <v>15626.905491221518</v>
      </c>
      <c r="AC29" s="188">
        <v>18886.304347826088</v>
      </c>
    </row>
    <row r="30" spans="1:29" s="31" customFormat="1" ht="18" customHeight="1" x14ac:dyDescent="0.2">
      <c r="A30" s="212"/>
      <c r="B30" s="359" t="s">
        <v>55</v>
      </c>
      <c r="C30" s="360"/>
      <c r="D30" s="360"/>
      <c r="E30" s="360"/>
      <c r="F30" s="360"/>
      <c r="G30" s="360"/>
      <c r="H30" s="360"/>
      <c r="I30" s="360"/>
      <c r="J30" s="360"/>
      <c r="K30" s="71">
        <v>13358.143806174301</v>
      </c>
      <c r="L30" s="71">
        <v>20518.57211770381</v>
      </c>
      <c r="M30" s="71">
        <v>16317.974730867199</v>
      </c>
      <c r="N30" s="71">
        <v>14054.480558953188</v>
      </c>
      <c r="O30" s="71">
        <v>23134.060750861867</v>
      </c>
      <c r="P30" s="71">
        <v>16734.284669212804</v>
      </c>
      <c r="Q30" s="71">
        <v>19060.710709474479</v>
      </c>
      <c r="R30" s="71">
        <v>15898.55136133282</v>
      </c>
      <c r="S30" s="71">
        <v>12627.266739274335</v>
      </c>
      <c r="T30" s="71">
        <v>14040.139790484025</v>
      </c>
      <c r="U30" s="71">
        <v>23776.483217479155</v>
      </c>
      <c r="V30" s="71">
        <v>24981.224208311363</v>
      </c>
      <c r="W30" s="71">
        <v>20502.087411720586</v>
      </c>
      <c r="X30" s="71">
        <v>24383.796326090713</v>
      </c>
      <c r="Y30" s="71">
        <v>21212.020075560587</v>
      </c>
      <c r="Z30" s="71">
        <v>22666.378529938444</v>
      </c>
      <c r="AA30" s="71">
        <v>20952.090636254499</v>
      </c>
      <c r="AB30" s="71">
        <v>26418.127381397087</v>
      </c>
      <c r="AC30" s="71">
        <v>25677.731126068767</v>
      </c>
    </row>
    <row r="31" spans="1:29" s="31" customFormat="1" ht="18" customHeight="1" x14ac:dyDescent="0.2">
      <c r="A31" s="212"/>
      <c r="B31" s="357" t="s">
        <v>56</v>
      </c>
      <c r="C31" s="358"/>
      <c r="D31" s="358"/>
      <c r="E31" s="358"/>
      <c r="F31" s="358"/>
      <c r="G31" s="358"/>
      <c r="H31" s="358"/>
      <c r="I31" s="358"/>
      <c r="J31" s="358"/>
      <c r="K31" s="188">
        <v>17285.8616647128</v>
      </c>
      <c r="L31" s="188">
        <v>22678.967679691268</v>
      </c>
      <c r="M31" s="188">
        <v>12367.377255374375</v>
      </c>
      <c r="N31" s="188">
        <v>12178.839354628084</v>
      </c>
      <c r="O31" s="188">
        <v>20198.357981325797</v>
      </c>
      <c r="P31" s="188">
        <v>20729.543241949683</v>
      </c>
      <c r="Q31" s="188">
        <v>16392.625896928956</v>
      </c>
      <c r="R31" s="188">
        <v>14568.274766021183</v>
      </c>
      <c r="S31" s="188">
        <v>18820.528903077437</v>
      </c>
      <c r="T31" s="188">
        <v>14084.434032020819</v>
      </c>
      <c r="U31" s="188">
        <v>11864.273546112656</v>
      </c>
      <c r="V31" s="188">
        <v>9127.6439531081924</v>
      </c>
      <c r="W31" s="188">
        <v>11880.599596868235</v>
      </c>
      <c r="X31" s="188">
        <v>12733.140497397833</v>
      </c>
      <c r="Y31" s="188">
        <v>10478.534942598248</v>
      </c>
      <c r="Z31" s="188">
        <v>10426.175313222901</v>
      </c>
      <c r="AA31" s="188">
        <v>8934.8889555822334</v>
      </c>
      <c r="AB31" s="188">
        <v>10791.22189017557</v>
      </c>
      <c r="AC31" s="188">
        <v>6791.4267782426778</v>
      </c>
    </row>
    <row r="32" spans="1:29" s="31" customFormat="1" ht="18" customHeight="1" x14ac:dyDescent="0.2">
      <c r="A32" s="212"/>
      <c r="B32" s="73"/>
      <c r="C32" s="346" t="s">
        <v>57</v>
      </c>
      <c r="D32" s="347"/>
      <c r="E32" s="347"/>
      <c r="F32" s="347"/>
      <c r="G32" s="347"/>
      <c r="H32" s="347"/>
      <c r="I32" s="347"/>
      <c r="J32" s="347"/>
      <c r="K32" s="68">
        <v>11106.019929659999</v>
      </c>
      <c r="L32" s="68">
        <v>8258.562469850458</v>
      </c>
      <c r="M32" s="68">
        <v>6711.4738081826727</v>
      </c>
      <c r="N32" s="68">
        <v>7329.8757224879982</v>
      </c>
      <c r="O32" s="68">
        <v>9060.407377011119</v>
      </c>
      <c r="P32" s="68">
        <v>7227.0165135877114</v>
      </c>
      <c r="Q32" s="68">
        <v>8939.1984686903179</v>
      </c>
      <c r="R32" s="68">
        <v>7486.6701836266284</v>
      </c>
      <c r="S32" s="68">
        <v>9735.3617324299048</v>
      </c>
      <c r="T32" s="68">
        <v>6314.6645728983349</v>
      </c>
      <c r="U32" s="68">
        <v>6146.7687237607861</v>
      </c>
      <c r="V32" s="68">
        <v>5289.2374680266312</v>
      </c>
      <c r="W32" s="68">
        <v>4120.712149257075</v>
      </c>
      <c r="X32" s="68">
        <v>3331.0965695051027</v>
      </c>
      <c r="Y32" s="68">
        <v>5749.2230474170519</v>
      </c>
      <c r="Z32" s="68">
        <v>3253.4281428073577</v>
      </c>
      <c r="AA32" s="68">
        <v>3038.7533013205284</v>
      </c>
      <c r="AB32" s="68">
        <v>2973.7997758685096</v>
      </c>
      <c r="AC32" s="68">
        <v>3187.4478806621796</v>
      </c>
    </row>
    <row r="33" spans="1:29" s="31" customFormat="1" ht="18" customHeight="1" x14ac:dyDescent="0.2">
      <c r="A33" s="212"/>
      <c r="B33" s="73"/>
      <c r="C33" s="363" t="s">
        <v>58</v>
      </c>
      <c r="D33" s="364"/>
      <c r="E33" s="364"/>
      <c r="F33" s="364"/>
      <c r="G33" s="364"/>
      <c r="H33" s="364"/>
      <c r="I33" s="364"/>
      <c r="J33" s="364"/>
      <c r="K33" s="210">
        <v>6179.8417350527598</v>
      </c>
      <c r="L33" s="210">
        <v>14420.40520984081</v>
      </c>
      <c r="M33" s="210">
        <v>5655.9034471917266</v>
      </c>
      <c r="N33" s="210">
        <v>4848.9636321400858</v>
      </c>
      <c r="O33" s="210">
        <v>11137.950604314652</v>
      </c>
      <c r="P33" s="210">
        <v>13502.526728361969</v>
      </c>
      <c r="Q33" s="210">
        <v>7453.4274282386341</v>
      </c>
      <c r="R33" s="210">
        <v>7081.6045823945533</v>
      </c>
      <c r="S33" s="210">
        <v>9085.1671706475445</v>
      </c>
      <c r="T33" s="210">
        <v>7769.7694591224908</v>
      </c>
      <c r="U33" s="210">
        <v>5717.5048223518779</v>
      </c>
      <c r="V33" s="210">
        <v>3838.4064850815548</v>
      </c>
      <c r="W33" s="210">
        <v>7759.8874476111669</v>
      </c>
      <c r="X33" s="210">
        <v>9402.0439278927297</v>
      </c>
      <c r="Y33" s="210">
        <v>4729.3118951811821</v>
      </c>
      <c r="Z33" s="210">
        <v>7172.7471704155432</v>
      </c>
      <c r="AA33" s="210">
        <v>5896.135654261705</v>
      </c>
      <c r="AB33" s="210">
        <v>7817.4221143070599</v>
      </c>
      <c r="AC33" s="210">
        <v>3603.9788975804981</v>
      </c>
    </row>
    <row r="34" spans="1:29" s="31" customFormat="1" ht="18" customHeight="1" x14ac:dyDescent="0.2">
      <c r="A34" s="359" t="s">
        <v>59</v>
      </c>
      <c r="B34" s="360"/>
      <c r="C34" s="360"/>
      <c r="D34" s="360"/>
      <c r="E34" s="360"/>
      <c r="F34" s="360"/>
      <c r="G34" s="360"/>
      <c r="H34" s="360"/>
      <c r="I34" s="360"/>
      <c r="J34" s="365"/>
      <c r="K34" s="218">
        <v>58883.059788980099</v>
      </c>
      <c r="L34" s="218">
        <v>314966.71490593342</v>
      </c>
      <c r="M34" s="218">
        <v>68028.075798494639</v>
      </c>
      <c r="N34" s="218">
        <v>19453.835466321518</v>
      </c>
      <c r="O34" s="218">
        <v>87797.712712291919</v>
      </c>
      <c r="P34" s="218">
        <v>29917.541731271191</v>
      </c>
      <c r="Q34" s="218">
        <v>55424.127092153809</v>
      </c>
      <c r="R34" s="218">
        <v>75947.549212629761</v>
      </c>
      <c r="S34" s="218">
        <v>58798.701840306894</v>
      </c>
      <c r="T34" s="218">
        <v>140109.35791278037</v>
      </c>
      <c r="U34" s="218">
        <v>102145.02910872283</v>
      </c>
      <c r="V34" s="218">
        <v>94067.627221694536</v>
      </c>
      <c r="W34" s="218">
        <v>103689.56079046405</v>
      </c>
      <c r="X34" s="218">
        <v>162205.33261365557</v>
      </c>
      <c r="Y34" s="218">
        <v>118607.21027551361</v>
      </c>
      <c r="Z34" s="218">
        <v>118199.33137788069</v>
      </c>
      <c r="AA34" s="218">
        <v>118898.34433773509</v>
      </c>
      <c r="AB34" s="218">
        <v>131514.98001494209</v>
      </c>
      <c r="AC34" s="218">
        <v>116369.58450063672</v>
      </c>
    </row>
    <row r="35" spans="1:29" s="31" customFormat="1" ht="18" customHeight="1" x14ac:dyDescent="0.2">
      <c r="A35" s="353" t="s">
        <v>60</v>
      </c>
      <c r="B35" s="354"/>
      <c r="C35" s="354"/>
      <c r="D35" s="354"/>
      <c r="E35" s="354"/>
      <c r="F35" s="354"/>
      <c r="G35" s="354"/>
      <c r="H35" s="354"/>
      <c r="I35" s="354"/>
      <c r="J35" s="354"/>
      <c r="K35" s="219"/>
      <c r="L35" s="219"/>
      <c r="M35" s="219"/>
      <c r="N35" s="219"/>
      <c r="O35" s="219">
        <v>10677.660814124169</v>
      </c>
      <c r="P35" s="219">
        <v>7951.4541855224497</v>
      </c>
      <c r="Q35" s="219">
        <v>2778.9671856304631</v>
      </c>
      <c r="R35" s="219">
        <v>3703.1438073780409</v>
      </c>
      <c r="S35" s="219">
        <v>7962.8090077203815</v>
      </c>
      <c r="T35" s="219">
        <v>10566.808937047057</v>
      </c>
      <c r="U35" s="219">
        <v>12280.256513074688</v>
      </c>
      <c r="V35" s="219">
        <v>7377.7931569306547</v>
      </c>
      <c r="W35" s="219">
        <v>10641.437916379955</v>
      </c>
      <c r="X35" s="219">
        <v>12836.820085154401</v>
      </c>
      <c r="Y35" s="219">
        <v>7171.9641238573395</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16653.361216085661</v>
      </c>
      <c r="P36" s="220">
        <v>12953.295213999916</v>
      </c>
      <c r="Q36" s="220">
        <v>9770.3281578631886</v>
      </c>
      <c r="R36" s="220">
        <v>12129.110813820216</v>
      </c>
      <c r="S36" s="220">
        <v>9783.5981987997675</v>
      </c>
      <c r="T36" s="220">
        <v>17598.388225721897</v>
      </c>
      <c r="U36" s="220">
        <v>20320.359744016729</v>
      </c>
      <c r="V36" s="220">
        <v>23179.929193821703</v>
      </c>
      <c r="W36" s="220">
        <v>19517.66672441391</v>
      </c>
      <c r="X36" s="220">
        <v>36318.920061374454</v>
      </c>
      <c r="Y36" s="220">
        <v>14410.334355560919</v>
      </c>
      <c r="Z36" s="220"/>
      <c r="AA36" s="220"/>
      <c r="AB36" s="220"/>
      <c r="AC36" s="220"/>
    </row>
    <row r="37" spans="1:29" s="31" customFormat="1" ht="18" customHeight="1" x14ac:dyDescent="0.2">
      <c r="A37" s="359" t="s">
        <v>62</v>
      </c>
      <c r="B37" s="360"/>
      <c r="C37" s="360"/>
      <c r="D37" s="360"/>
      <c r="E37" s="360"/>
      <c r="F37" s="360"/>
      <c r="G37" s="360"/>
      <c r="H37" s="360"/>
      <c r="I37" s="360"/>
      <c r="J37" s="360"/>
      <c r="K37" s="71">
        <v>63157.518561938195</v>
      </c>
      <c r="L37" s="71">
        <v>309420.64640617464</v>
      </c>
      <c r="M37" s="71">
        <v>64791.579223148714</v>
      </c>
      <c r="N37" s="71">
        <v>-77269.518826870495</v>
      </c>
      <c r="O37" s="71">
        <v>81822.012310330552</v>
      </c>
      <c r="P37" s="71">
        <v>24915.700702793751</v>
      </c>
      <c r="Q37" s="71">
        <v>48432.766119921114</v>
      </c>
      <c r="R37" s="71">
        <v>67521.58220618761</v>
      </c>
      <c r="S37" s="71">
        <v>56977.91264922743</v>
      </c>
      <c r="T37" s="71">
        <v>133077.77862410553</v>
      </c>
      <c r="U37" s="71">
        <v>94104.925877780945</v>
      </c>
      <c r="V37" s="71">
        <v>78265.49118480341</v>
      </c>
      <c r="W37" s="71">
        <v>94813.331982430056</v>
      </c>
      <c r="X37" s="71">
        <v>138723.2326374354</v>
      </c>
      <c r="Y37" s="71">
        <v>111368.84004380979</v>
      </c>
      <c r="Z37" s="71">
        <v>115610.73306367535</v>
      </c>
      <c r="AA37" s="71">
        <v>108228.6086434574</v>
      </c>
      <c r="AB37" s="71">
        <v>126406.61991034739</v>
      </c>
      <c r="AC37" s="71">
        <v>129849.33581953794</v>
      </c>
    </row>
    <row r="38" spans="1:29" s="31" customFormat="1" ht="18" customHeight="1" x14ac:dyDescent="0.2">
      <c r="A38" s="361" t="s">
        <v>63</v>
      </c>
      <c r="B38" s="362"/>
      <c r="C38" s="362"/>
      <c r="D38" s="362"/>
      <c r="E38" s="362"/>
      <c r="F38" s="362"/>
      <c r="G38" s="362"/>
      <c r="H38" s="362"/>
      <c r="I38" s="362"/>
      <c r="J38" s="362"/>
      <c r="K38" s="218">
        <v>38326.320828448603</v>
      </c>
      <c r="L38" s="218">
        <v>188081.52436082973</v>
      </c>
      <c r="M38" s="218">
        <v>37626.65341626251</v>
      </c>
      <c r="N38" s="218">
        <v>-66559.98295911937</v>
      </c>
      <c r="O38" s="218">
        <v>48925.206147699799</v>
      </c>
      <c r="P38" s="218">
        <v>9784.896796626912</v>
      </c>
      <c r="Q38" s="218">
        <v>29490.480118135019</v>
      </c>
      <c r="R38" s="218">
        <v>40646.889696761682</v>
      </c>
      <c r="S38" s="218">
        <v>35017.523582025831</v>
      </c>
      <c r="T38" s="218">
        <v>71632.75866834895</v>
      </c>
      <c r="U38" s="218">
        <v>56732.43026997034</v>
      </c>
      <c r="V38" s="218">
        <v>45780.98743647369</v>
      </c>
      <c r="W38" s="218">
        <v>63365.397796625366</v>
      </c>
      <c r="X38" s="218">
        <v>90907.121801878064</v>
      </c>
      <c r="Y38" s="218">
        <v>76839.41727238649</v>
      </c>
      <c r="Z38" s="218">
        <v>82418.284699908851</v>
      </c>
      <c r="AA38" s="218">
        <v>73017.917567026816</v>
      </c>
      <c r="AB38" s="218">
        <v>85285.503548748602</v>
      </c>
      <c r="AC38" s="218">
        <v>91139.5346552665</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306725.96131301392</v>
      </c>
      <c r="L41" s="71">
        <f>+L6-L8</f>
        <v>661306.31934394594</v>
      </c>
      <c r="M41" s="71">
        <f t="shared" si="0"/>
        <v>310862.93687277893</v>
      </c>
      <c r="N41" s="71">
        <f t="shared" si="0"/>
        <v>239205.87865029508</v>
      </c>
      <c r="O41" s="71">
        <f t="shared" si="0"/>
        <v>321363.13890539389</v>
      </c>
      <c r="P41" s="71">
        <f t="shared" si="0"/>
        <v>262631.4922409174</v>
      </c>
      <c r="Q41" s="71">
        <f t="shared" si="0"/>
        <v>284076.80553272599</v>
      </c>
      <c r="R41" s="71">
        <f t="shared" ref="R41:AC41" si="1">R15</f>
        <v>275923.99031723349</v>
      </c>
      <c r="S41" s="71">
        <f t="shared" si="1"/>
        <v>314569.70655569743</v>
      </c>
      <c r="T41" s="71">
        <f t="shared" si="1"/>
        <v>361089.23237506318</v>
      </c>
      <c r="U41" s="71">
        <f t="shared" si="1"/>
        <v>390349.46463266772</v>
      </c>
      <c r="V41" s="71">
        <f t="shared" si="1"/>
        <v>356583.64706786303</v>
      </c>
      <c r="W41" s="71">
        <f t="shared" ref="W41:X41" si="2">W15</f>
        <v>423494.23575747752</v>
      </c>
      <c r="X41" s="71">
        <f t="shared" si="2"/>
        <v>496963.25054111506</v>
      </c>
      <c r="Y41" s="71">
        <f t="shared" ref="Y41:Z41" si="3">Y15</f>
        <v>361339.71962690807</v>
      </c>
      <c r="Z41" s="71">
        <f t="shared" si="3"/>
        <v>354797.83740703604</v>
      </c>
      <c r="AA41" s="71">
        <f t="shared" ref="AA41:AB41" si="4">AA15</f>
        <v>387696.99959983997</v>
      </c>
      <c r="AB41" s="71">
        <f t="shared" si="4"/>
        <v>360698.35954426596</v>
      </c>
      <c r="AC41" s="71">
        <f t="shared" si="1"/>
        <v>347516.6920138257</v>
      </c>
    </row>
    <row r="42" spans="1:29" s="31" customFormat="1" ht="18" customHeight="1" x14ac:dyDescent="0.2">
      <c r="A42" s="208" t="s">
        <v>27</v>
      </c>
      <c r="B42" s="343" t="s">
        <v>69</v>
      </c>
      <c r="C42" s="343"/>
      <c r="D42" s="343"/>
      <c r="E42" s="343"/>
      <c r="F42" s="343"/>
      <c r="G42" s="343"/>
      <c r="H42" s="343"/>
      <c r="I42" s="343"/>
      <c r="J42" s="343"/>
      <c r="K42" s="71">
        <f t="shared" ref="K42:P42" si="5">+K6-K7</f>
        <v>62810.758108639857</v>
      </c>
      <c r="L42" s="71">
        <f t="shared" si="5"/>
        <v>317126.86927158711</v>
      </c>
      <c r="M42" s="71">
        <f t="shared" si="5"/>
        <v>64077.478323002346</v>
      </c>
      <c r="N42" s="71">
        <f t="shared" si="5"/>
        <v>17578.194261997705</v>
      </c>
      <c r="O42" s="71">
        <f t="shared" si="5"/>
        <v>84862.009942757897</v>
      </c>
      <c r="P42" s="71">
        <f t="shared" si="5"/>
        <v>33912.800304008881</v>
      </c>
      <c r="Q42" s="71">
        <f t="shared" ref="Q42:AC42" si="6">Q28</f>
        <v>52756.042279608366</v>
      </c>
      <c r="R42" s="71">
        <f t="shared" si="6"/>
        <v>74617.272617318114</v>
      </c>
      <c r="S42" s="71">
        <f t="shared" si="6"/>
        <v>64991.964004110232</v>
      </c>
      <c r="T42" s="71">
        <f t="shared" si="6"/>
        <v>140153.65215431669</v>
      </c>
      <c r="U42" s="71">
        <f t="shared" si="6"/>
        <v>90232.819437355851</v>
      </c>
      <c r="V42" s="71">
        <f>V28</f>
        <v>78214.046966491354</v>
      </c>
      <c r="W42" s="71">
        <f>W28</f>
        <v>95068.072975609321</v>
      </c>
      <c r="X42" s="71">
        <f>X28</f>
        <v>150554.6767849637</v>
      </c>
      <c r="Y42" s="71">
        <f>Y28</f>
        <v>107873.72514254945</v>
      </c>
      <c r="Z42" s="71">
        <f t="shared" ref="Z42:AA42" si="7">Z28</f>
        <v>105959.12816116503</v>
      </c>
      <c r="AA42" s="71">
        <f t="shared" si="7"/>
        <v>106881.14265706282</v>
      </c>
      <c r="AB42" s="71">
        <f t="shared" ref="AB42" si="8">AB28</f>
        <v>115888.07452372058</v>
      </c>
      <c r="AC42" s="71">
        <f t="shared" si="6"/>
        <v>97483.280152810621</v>
      </c>
    </row>
    <row r="43" spans="1:29" s="31" customFormat="1" ht="18" customHeight="1" x14ac:dyDescent="0.2">
      <c r="A43" s="208" t="s">
        <v>28</v>
      </c>
      <c r="B43" s="343" t="s">
        <v>182</v>
      </c>
      <c r="C43" s="343"/>
      <c r="D43" s="343"/>
      <c r="E43" s="343"/>
      <c r="F43" s="343"/>
      <c r="G43" s="343"/>
      <c r="H43" s="343"/>
      <c r="I43" s="343"/>
      <c r="J43" s="343"/>
      <c r="K43" s="71">
        <f t="shared" ref="K43:AC43" si="9">+K9+K10+K12</f>
        <v>636894.23602969933</v>
      </c>
      <c r="L43" s="71">
        <f>+L9+L10+L12</f>
        <v>1444564.3994211287</v>
      </c>
      <c r="M43" s="71">
        <f t="shared" si="9"/>
        <v>893706.44516066369</v>
      </c>
      <c r="N43" s="71">
        <f t="shared" si="9"/>
        <v>593725.26879347104</v>
      </c>
      <c r="O43" s="71">
        <f t="shared" si="9"/>
        <v>817360.06005343143</v>
      </c>
      <c r="P43" s="71">
        <f t="shared" si="9"/>
        <v>548322.46191537508</v>
      </c>
      <c r="Q43" s="71">
        <f t="shared" si="9"/>
        <v>552822.54873239843</v>
      </c>
      <c r="R43" s="71">
        <f t="shared" si="9"/>
        <v>650918.32039278687</v>
      </c>
      <c r="S43" s="71">
        <f t="shared" si="9"/>
        <v>553296.1047837598</v>
      </c>
      <c r="T43" s="71">
        <f t="shared" ref="T43:Z43" si="10">+T9+T10+T12</f>
        <v>531264.31211296318</v>
      </c>
      <c r="U43" s="71">
        <f t="shared" si="10"/>
        <v>729934.74502567318</v>
      </c>
      <c r="V43" s="71">
        <f t="shared" si="10"/>
        <v>812835.47217403911</v>
      </c>
      <c r="W43" s="71">
        <f t="shared" si="10"/>
        <v>838390.10538829793</v>
      </c>
      <c r="X43" s="71">
        <f t="shared" si="10"/>
        <v>887974.1189748866</v>
      </c>
      <c r="Y43" s="71">
        <f t="shared" si="10"/>
        <v>800818.74400220078</v>
      </c>
      <c r="Z43" s="71">
        <f t="shared" si="10"/>
        <v>786984.51584430167</v>
      </c>
      <c r="AA43" s="71">
        <f t="shared" ref="AA43:AB43" si="11">+AA9+AA10+AA12</f>
        <v>838788.06082432973</v>
      </c>
      <c r="AB43" s="71">
        <f t="shared" si="11"/>
        <v>715860.37822189019</v>
      </c>
      <c r="AC43" s="71">
        <f t="shared" si="9"/>
        <v>809856.15990540292</v>
      </c>
    </row>
    <row r="44" spans="1:29" s="31" customFormat="1" ht="18" customHeight="1" x14ac:dyDescent="0.2">
      <c r="A44" s="208" t="s">
        <v>29</v>
      </c>
      <c r="B44" s="343" t="s">
        <v>184</v>
      </c>
      <c r="C44" s="343"/>
      <c r="D44" s="343"/>
      <c r="E44" s="343"/>
      <c r="F44" s="343"/>
      <c r="G44" s="343"/>
      <c r="H44" s="343"/>
      <c r="I44" s="343"/>
      <c r="J44" s="343"/>
      <c r="K44" s="71">
        <f t="shared" ref="K44:AC44" si="12">+K6-K43</f>
        <v>562369.33567800059</v>
      </c>
      <c r="L44" s="71">
        <f t="shared" si="12"/>
        <v>1189455.3786782443</v>
      </c>
      <c r="M44" s="71">
        <f t="shared" si="12"/>
        <v>455017.00393772987</v>
      </c>
      <c r="N44" s="71">
        <f t="shared" si="12"/>
        <v>463019.51684172999</v>
      </c>
      <c r="O44" s="71">
        <f t="shared" si="12"/>
        <v>618420.63745686691</v>
      </c>
      <c r="P44" s="71">
        <f t="shared" si="12"/>
        <v>591324.48220652353</v>
      </c>
      <c r="Q44" s="71">
        <f t="shared" si="12"/>
        <v>560447.82669475616</v>
      </c>
      <c r="R44" s="71">
        <f t="shared" si="12"/>
        <v>527774.22405469127</v>
      </c>
      <c r="S44" s="71">
        <f t="shared" si="12"/>
        <v>570479.99702969973</v>
      </c>
      <c r="T44" s="71">
        <f t="shared" ref="T44:Z44" si="13">+T6-T43</f>
        <v>1613999.9240946425</v>
      </c>
      <c r="U44" s="71">
        <f t="shared" si="13"/>
        <v>905353.32856549951</v>
      </c>
      <c r="V44" s="71">
        <f t="shared" si="13"/>
        <v>719794.83562371251</v>
      </c>
      <c r="W44" s="71">
        <f t="shared" si="13"/>
        <v>849825.85878663068</v>
      </c>
      <c r="X44" s="71">
        <f t="shared" si="13"/>
        <v>911764.95167912007</v>
      </c>
      <c r="Y44" s="71">
        <f t="shared" si="13"/>
        <v>699780.50740053377</v>
      </c>
      <c r="Z44" s="71">
        <f t="shared" si="13"/>
        <v>833345.75478684937</v>
      </c>
      <c r="AA44" s="71">
        <f t="shared" ref="AA44:AB44" si="14">+AA6-AA43</f>
        <v>824011.65966386534</v>
      </c>
      <c r="AB44" s="71">
        <f t="shared" si="14"/>
        <v>744553.96208442259</v>
      </c>
      <c r="AC44" s="71">
        <f t="shared" si="12"/>
        <v>696185.7605966893</v>
      </c>
    </row>
    <row r="45" spans="1:29" s="31" customFormat="1" ht="18" customHeight="1" x14ac:dyDescent="0.2">
      <c r="A45" s="208" t="s">
        <v>30</v>
      </c>
      <c r="B45" s="343" t="s">
        <v>183</v>
      </c>
      <c r="C45" s="343"/>
      <c r="D45" s="343"/>
      <c r="E45" s="343"/>
      <c r="F45" s="343"/>
      <c r="G45" s="343"/>
      <c r="H45" s="343"/>
      <c r="I45" s="343"/>
      <c r="J45" s="343"/>
      <c r="K45" s="71">
        <f t="shared" ref="K45:AC45" si="15">+K11+K13+K14+K16</f>
        <v>499558.57756936306</v>
      </c>
      <c r="L45" s="71">
        <f>+L11+L13+L14+L16</f>
        <v>872328.50940665707</v>
      </c>
      <c r="M45" s="71">
        <f t="shared" si="15"/>
        <v>390939.52561472892</v>
      </c>
      <c r="N45" s="71">
        <f t="shared" si="15"/>
        <v>445441.32257973077</v>
      </c>
      <c r="O45" s="71">
        <f t="shared" si="15"/>
        <v>533558.6275141089</v>
      </c>
      <c r="P45" s="71">
        <f t="shared" si="15"/>
        <v>557411.68190251535</v>
      </c>
      <c r="Q45" s="71">
        <f t="shared" si="15"/>
        <v>507691.78441514715</v>
      </c>
      <c r="R45" s="71">
        <f t="shared" si="15"/>
        <v>453156.95143737341</v>
      </c>
      <c r="S45" s="71">
        <f t="shared" si="15"/>
        <v>505488.03302558966</v>
      </c>
      <c r="T45" s="71">
        <f t="shared" ref="T45:Z45" si="16">+T11+T13+T14+T16</f>
        <v>1473846.2719403263</v>
      </c>
      <c r="U45" s="71">
        <f t="shared" si="16"/>
        <v>815120.50912814238</v>
      </c>
      <c r="V45" s="71">
        <f t="shared" si="16"/>
        <v>641580.78865722171</v>
      </c>
      <c r="W45" s="71">
        <f t="shared" si="16"/>
        <v>754757.78581102053</v>
      </c>
      <c r="X45" s="71">
        <f t="shared" si="16"/>
        <v>761210.27489415533</v>
      </c>
      <c r="Y45" s="71">
        <f t="shared" si="16"/>
        <v>591906.78225798265</v>
      </c>
      <c r="Z45" s="71">
        <f t="shared" si="16"/>
        <v>727386.62662568211</v>
      </c>
      <c r="AA45" s="71">
        <f t="shared" ref="AA45:AB45" si="17">+AA11+AA13+AA14+AA16</f>
        <v>717130.51700680295</v>
      </c>
      <c r="AB45" s="71">
        <f t="shared" si="17"/>
        <v>628665.88737392589</v>
      </c>
      <c r="AC45" s="71">
        <f t="shared" si="15"/>
        <v>598702.48044387845</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360814.32590855786</v>
      </c>
      <c r="L46" s="71">
        <f>+L34+L11+L17+L32+L18+L26+L13+L24</f>
        <v>723843.46357935364</v>
      </c>
      <c r="M46" s="71">
        <f t="shared" si="18"/>
        <v>320657.4286716542</v>
      </c>
      <c r="N46" s="71">
        <f t="shared" si="18"/>
        <v>248901.2473302643</v>
      </c>
      <c r="O46" s="71">
        <f t="shared" si="18"/>
        <v>363280.45304411976</v>
      </c>
      <c r="P46" s="71">
        <f t="shared" si="18"/>
        <v>281353.03910426312</v>
      </c>
      <c r="Q46" s="71">
        <f t="shared" si="18"/>
        <v>361157.28888820688</v>
      </c>
      <c r="R46" s="71">
        <f t="shared" si="18"/>
        <v>363198.66160160577</v>
      </c>
      <c r="S46" s="71">
        <f t="shared" si="18"/>
        <v>318329.69590853032</v>
      </c>
      <c r="T46" s="71">
        <f t="shared" ref="T46:Z46" si="19">+T34+T11+T17+T32+T18+T26+T13+T24</f>
        <v>445351.79738578899</v>
      </c>
      <c r="U46" s="71">
        <f t="shared" si="19"/>
        <v>391279.45450429822</v>
      </c>
      <c r="V46" s="71">
        <f t="shared" si="19"/>
        <v>398099.04360536142</v>
      </c>
      <c r="W46" s="71">
        <f t="shared" si="19"/>
        <v>467000.66030764475</v>
      </c>
      <c r="X46" s="71">
        <f t="shared" si="19"/>
        <v>519156.42641936016</v>
      </c>
      <c r="Y46" s="71">
        <f t="shared" si="19"/>
        <v>483483.43816663197</v>
      </c>
      <c r="Z46" s="71">
        <f t="shared" si="19"/>
        <v>462679.2059386461</v>
      </c>
      <c r="AA46" s="71">
        <f t="shared" ref="AA46:AB46" si="20">+AA34+AA11+AA17+AA32+AA18+AA26+AA13+AA24</f>
        <v>479824.5220088035</v>
      </c>
      <c r="AB46" s="71">
        <f t="shared" si="20"/>
        <v>456146.53324617108</v>
      </c>
      <c r="AC46" s="71">
        <f t="shared" si="18"/>
        <v>429578.98944879021</v>
      </c>
    </row>
    <row r="47" spans="1:29" s="31" customFormat="1" ht="18" customHeight="1" x14ac:dyDescent="0.2">
      <c r="A47" s="208" t="s">
        <v>32</v>
      </c>
      <c r="B47" s="343" t="s">
        <v>185</v>
      </c>
      <c r="C47" s="343"/>
      <c r="D47" s="343"/>
      <c r="E47" s="343"/>
      <c r="F47" s="343"/>
      <c r="G47" s="343"/>
      <c r="H47" s="343"/>
      <c r="I47" s="343"/>
      <c r="J47" s="343"/>
      <c r="K47" s="71">
        <f t="shared" ref="K47:AC47" si="21">+K6-K9-K10-K12</f>
        <v>562369.33567800059</v>
      </c>
      <c r="L47" s="71">
        <f>+L6-L9-L10-L12</f>
        <v>1189455.3786782443</v>
      </c>
      <c r="M47" s="71">
        <f t="shared" si="21"/>
        <v>455017.00393772993</v>
      </c>
      <c r="N47" s="71">
        <f t="shared" si="21"/>
        <v>463019.51684172999</v>
      </c>
      <c r="O47" s="71">
        <f t="shared" si="21"/>
        <v>618420.63745686691</v>
      </c>
      <c r="P47" s="71">
        <f t="shared" si="21"/>
        <v>591324.48220652342</v>
      </c>
      <c r="Q47" s="71">
        <f t="shared" si="21"/>
        <v>560447.82669475616</v>
      </c>
      <c r="R47" s="71">
        <f t="shared" si="21"/>
        <v>527774.22405469127</v>
      </c>
      <c r="S47" s="71">
        <f t="shared" si="21"/>
        <v>570479.99702969973</v>
      </c>
      <c r="T47" s="71">
        <f t="shared" ref="T47:Z47" si="22">+T6-T9-T10-T12</f>
        <v>1613999.9240946427</v>
      </c>
      <c r="U47" s="71">
        <f t="shared" si="22"/>
        <v>905353.32856549928</v>
      </c>
      <c r="V47" s="71">
        <f t="shared" si="22"/>
        <v>719794.83562371263</v>
      </c>
      <c r="W47" s="71">
        <f t="shared" si="22"/>
        <v>849825.85878663068</v>
      </c>
      <c r="X47" s="71">
        <f t="shared" si="22"/>
        <v>911764.95167912007</v>
      </c>
      <c r="Y47" s="71">
        <f t="shared" si="22"/>
        <v>699780.50740053377</v>
      </c>
      <c r="Z47" s="71">
        <f t="shared" si="22"/>
        <v>833345.75478684937</v>
      </c>
      <c r="AA47" s="71">
        <f t="shared" ref="AA47:AB47" si="23">+AA6-AA9-AA10-AA12</f>
        <v>824011.65966386534</v>
      </c>
      <c r="AB47" s="71">
        <f t="shared" si="23"/>
        <v>744553.96208442259</v>
      </c>
      <c r="AC47" s="71">
        <f t="shared" si="21"/>
        <v>696185.7605966893</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5118</v>
      </c>
      <c r="L4" s="68">
        <v>4146</v>
      </c>
      <c r="M4" s="68">
        <v>4105.7449184795496</v>
      </c>
      <c r="N4" s="68">
        <v>3491.02409931588</v>
      </c>
      <c r="O4" s="68">
        <v>4296.2853634802996</v>
      </c>
      <c r="P4" s="68">
        <v>4293.7611283656697</v>
      </c>
      <c r="Q4" s="68">
        <v>3950.2797821639601</v>
      </c>
      <c r="R4" s="68">
        <v>5474.3471962253416</v>
      </c>
      <c r="S4" s="68">
        <v>5462.1231689000078</v>
      </c>
      <c r="T4" s="68">
        <v>5058.0306305680006</v>
      </c>
      <c r="U4" s="68">
        <v>5014.2564048999766</v>
      </c>
      <c r="V4" s="68">
        <v>4980.862049999987</v>
      </c>
      <c r="W4" s="68">
        <v>4957.3227119999774</v>
      </c>
      <c r="X4" s="68">
        <v>4943.1579710000278</v>
      </c>
      <c r="Y4" s="68">
        <v>4630.0320595999901</v>
      </c>
      <c r="Z4" s="68">
        <v>4881</v>
      </c>
      <c r="AA4" s="68">
        <v>4998</v>
      </c>
      <c r="AB4" s="68">
        <v>5354</v>
      </c>
      <c r="AC4" s="68">
        <v>5497</v>
      </c>
    </row>
    <row r="5" spans="1:29" s="31" customFormat="1" ht="18" customHeight="1" x14ac:dyDescent="0.2">
      <c r="A5" s="380" t="s">
        <v>34</v>
      </c>
      <c r="B5" s="380"/>
      <c r="C5" s="380"/>
      <c r="D5" s="380"/>
      <c r="E5" s="380"/>
      <c r="F5" s="380"/>
      <c r="G5" s="380"/>
      <c r="H5" s="380"/>
      <c r="I5" s="380"/>
      <c r="J5" s="380"/>
      <c r="K5" s="251">
        <v>44.330988667448203</v>
      </c>
      <c r="L5" s="251">
        <v>54.422334780511335</v>
      </c>
      <c r="M5" s="251">
        <v>43.407483229999812</v>
      </c>
      <c r="N5" s="251">
        <v>39.506979629464183</v>
      </c>
      <c r="O5" s="251">
        <v>49.648616716943572</v>
      </c>
      <c r="P5" s="251">
        <v>40.416491332096975</v>
      </c>
      <c r="Q5" s="251">
        <v>44.346558655475739</v>
      </c>
      <c r="R5" s="251">
        <v>38.738654818750213</v>
      </c>
      <c r="S5" s="251">
        <v>41.406447223094148</v>
      </c>
      <c r="T5" s="251">
        <v>57.010429946302665</v>
      </c>
      <c r="U5" s="251">
        <v>49.672331974328955</v>
      </c>
      <c r="V5" s="251">
        <v>50.785976675603727</v>
      </c>
      <c r="W5" s="251">
        <v>56.625834204601915</v>
      </c>
      <c r="X5" s="251">
        <v>60.417782884031716</v>
      </c>
      <c r="Y5" s="251">
        <v>53.984947156673478</v>
      </c>
      <c r="Z5" s="251">
        <v>48.910387242720894</v>
      </c>
      <c r="AA5" s="251">
        <v>51.941376550620248</v>
      </c>
      <c r="AB5" s="251">
        <v>49.512327231976094</v>
      </c>
      <c r="AC5" s="251">
        <v>47.812806985628526</v>
      </c>
    </row>
    <row r="6" spans="1:29" s="31" customFormat="1" ht="18" customHeight="1" x14ac:dyDescent="0.2">
      <c r="A6" s="381" t="s">
        <v>70</v>
      </c>
      <c r="B6" s="381"/>
      <c r="C6" s="381"/>
      <c r="D6" s="381"/>
      <c r="E6" s="381"/>
      <c r="F6" s="381"/>
      <c r="G6" s="381"/>
      <c r="H6" s="381"/>
      <c r="I6" s="381"/>
      <c r="J6" s="381"/>
      <c r="K6" s="211"/>
      <c r="L6" s="211">
        <v>3217</v>
      </c>
      <c r="M6" s="211">
        <v>3819.3360923059799</v>
      </c>
      <c r="N6" s="211">
        <v>2959.7380563935299</v>
      </c>
      <c r="O6" s="211">
        <v>3793.4920594872601</v>
      </c>
      <c r="P6" s="211">
        <v>3364.27958335823</v>
      </c>
      <c r="Q6" s="211">
        <v>3514.4788412330099</v>
      </c>
      <c r="R6" s="211">
        <v>4622.1638422480692</v>
      </c>
      <c r="S6" s="211">
        <v>4712.1765078298668</v>
      </c>
      <c r="T6" s="211">
        <v>4025.4650270775419</v>
      </c>
      <c r="U6" s="211">
        <v>4533.4246924754834</v>
      </c>
      <c r="V6" s="211">
        <v>4398.9554490853188</v>
      </c>
      <c r="W6" s="211">
        <v>4229.493639077099</v>
      </c>
      <c r="X6" s="211">
        <v>4407.2374919100703</v>
      </c>
      <c r="Y6" s="211">
        <v>4236.5567917388498</v>
      </c>
      <c r="Z6" s="211">
        <v>4245.9422878832929</v>
      </c>
      <c r="AA6" s="211">
        <v>4367</v>
      </c>
      <c r="AB6" s="211">
        <v>4632</v>
      </c>
      <c r="AC6" s="211">
        <v>4687</v>
      </c>
    </row>
    <row r="7" spans="1:29" s="31" customFormat="1" ht="18" customHeight="1" x14ac:dyDescent="0.2">
      <c r="A7" s="215" t="s">
        <v>360</v>
      </c>
      <c r="B7" s="394" t="s">
        <v>361</v>
      </c>
      <c r="C7" s="394"/>
      <c r="D7" s="394"/>
      <c r="E7" s="394"/>
      <c r="F7" s="394"/>
      <c r="G7" s="394"/>
      <c r="H7" s="394"/>
      <c r="I7" s="394"/>
      <c r="J7" s="394"/>
      <c r="K7" s="213"/>
      <c r="L7" s="213">
        <v>1952</v>
      </c>
      <c r="M7" s="213">
        <v>2776.47460412694</v>
      </c>
      <c r="N7" s="213">
        <v>2338.3705301472901</v>
      </c>
      <c r="O7" s="213">
        <v>3058.30951505233</v>
      </c>
      <c r="P7" s="213">
        <v>2635.4070361711101</v>
      </c>
      <c r="Q7" s="213">
        <v>2763.2027194437401</v>
      </c>
      <c r="R7" s="213">
        <v>3895.0083491545756</v>
      </c>
      <c r="S7" s="213">
        <v>3935.3506956672445</v>
      </c>
      <c r="T7" s="213">
        <v>3457.584893615327</v>
      </c>
      <c r="U7" s="213">
        <v>3784.7210880945418</v>
      </c>
      <c r="V7" s="213">
        <v>3507.1193538774169</v>
      </c>
      <c r="W7" s="213">
        <v>3473.3250780511594</v>
      </c>
      <c r="X7" s="213">
        <v>3704.97370254613</v>
      </c>
      <c r="Y7" s="213">
        <v>3278.9614928222895</v>
      </c>
      <c r="Z7" s="213">
        <v>3316.2807847825779</v>
      </c>
      <c r="AA7" s="213">
        <v>3539</v>
      </c>
      <c r="AB7" s="213">
        <v>3779</v>
      </c>
      <c r="AC7" s="213">
        <v>3929</v>
      </c>
    </row>
    <row r="8" spans="1:29" s="31" customFormat="1" ht="18" customHeight="1" x14ac:dyDescent="0.2">
      <c r="A8" s="381" t="s">
        <v>71</v>
      </c>
      <c r="B8" s="381"/>
      <c r="C8" s="381"/>
      <c r="D8" s="381"/>
      <c r="E8" s="381"/>
      <c r="F8" s="381"/>
      <c r="G8" s="381"/>
      <c r="H8" s="381"/>
      <c r="I8" s="381"/>
      <c r="J8" s="381"/>
      <c r="K8" s="211">
        <v>1280029.8944900399</v>
      </c>
      <c r="L8" s="211">
        <v>2298913.1693198266</v>
      </c>
      <c r="M8" s="211">
        <v>1244015.0662148716</v>
      </c>
      <c r="N8" s="211">
        <v>1072302.7175163082</v>
      </c>
      <c r="O8" s="211">
        <v>1504699.5125575608</v>
      </c>
      <c r="P8" s="211">
        <v>1185041.6634543312</v>
      </c>
      <c r="Q8" s="211">
        <v>1250050.0263006692</v>
      </c>
      <c r="R8" s="211">
        <v>1290527.8624314081</v>
      </c>
      <c r="S8" s="211">
        <v>1401143.0900424384</v>
      </c>
      <c r="T8" s="211">
        <v>1704920.9635898073</v>
      </c>
      <c r="U8" s="211">
        <v>1684842.6971435859</v>
      </c>
      <c r="V8" s="211">
        <v>1857428.0964775525</v>
      </c>
      <c r="W8" s="211">
        <v>2154656.6592039405</v>
      </c>
      <c r="X8" s="211">
        <v>2198144.850498992</v>
      </c>
      <c r="Y8" s="211">
        <v>1812164.1372413367</v>
      </c>
      <c r="Z8" s="211">
        <v>1887100.6746579786</v>
      </c>
      <c r="AA8" s="211">
        <v>2079157.8189275709</v>
      </c>
      <c r="AB8" s="211">
        <v>1992480.2754949569</v>
      </c>
      <c r="AC8" s="211">
        <v>1770974.0804074949</v>
      </c>
    </row>
    <row r="9" spans="1:29" s="31" customFormat="1" ht="18" customHeight="1" x14ac:dyDescent="0.2">
      <c r="A9" s="73"/>
      <c r="B9" s="381" t="s">
        <v>72</v>
      </c>
      <c r="C9" s="381"/>
      <c r="D9" s="381"/>
      <c r="E9" s="381"/>
      <c r="F9" s="381"/>
      <c r="G9" s="381"/>
      <c r="H9" s="381"/>
      <c r="I9" s="381"/>
      <c r="J9" s="381"/>
      <c r="K9" s="211">
        <v>723024.814380617</v>
      </c>
      <c r="L9" s="211">
        <v>1451698.7457790643</v>
      </c>
      <c r="M9" s="211">
        <v>730416.15619800403</v>
      </c>
      <c r="N9" s="211">
        <v>580910.38739962934</v>
      </c>
      <c r="O9" s="211">
        <v>884972.01158426353</v>
      </c>
      <c r="P9" s="211">
        <v>734966.63359350374</v>
      </c>
      <c r="Q9" s="211">
        <v>714047.6083432727</v>
      </c>
      <c r="R9" s="211">
        <v>792999.32452253893</v>
      </c>
      <c r="S9" s="211">
        <v>886407.5082656322</v>
      </c>
      <c r="T9" s="211">
        <v>1103741.0603727486</v>
      </c>
      <c r="U9" s="211">
        <v>1007245.3291933706</v>
      </c>
      <c r="V9" s="211">
        <v>1090288.4997005861</v>
      </c>
      <c r="W9" s="211">
        <v>1413116.5461301659</v>
      </c>
      <c r="X9" s="211">
        <v>1401520.4539959265</v>
      </c>
      <c r="Y9" s="211">
        <v>1047878.1784269899</v>
      </c>
      <c r="Z9" s="211">
        <v>1049164.9821349161</v>
      </c>
      <c r="AA9" s="211">
        <v>1189437.9013605441</v>
      </c>
      <c r="AB9" s="211">
        <v>1125375.7250653717</v>
      </c>
      <c r="AC9" s="211">
        <v>1052124.488266327</v>
      </c>
    </row>
    <row r="10" spans="1:29" s="31" customFormat="1" ht="18" customHeight="1" x14ac:dyDescent="0.2">
      <c r="A10" s="73"/>
      <c r="B10" s="73"/>
      <c r="C10" s="390" t="s">
        <v>73</v>
      </c>
      <c r="D10" s="390"/>
      <c r="E10" s="390"/>
      <c r="F10" s="390"/>
      <c r="G10" s="390"/>
      <c r="H10" s="390"/>
      <c r="I10" s="390"/>
      <c r="J10" s="390"/>
      <c r="K10" s="68">
        <v>215248.92536146901</v>
      </c>
      <c r="L10" s="68">
        <v>291825.37385431741</v>
      </c>
      <c r="M10" s="68">
        <v>183715.06828733181</v>
      </c>
      <c r="N10" s="68">
        <v>154019.4096196577</v>
      </c>
      <c r="O10" s="68">
        <v>272716.40280718345</v>
      </c>
      <c r="P10" s="68">
        <v>210674.64001585689</v>
      </c>
      <c r="Q10" s="68">
        <v>220421.82219389101</v>
      </c>
      <c r="R10" s="68">
        <v>283814.80470713781</v>
      </c>
      <c r="S10" s="68">
        <v>304139.68821421085</v>
      </c>
      <c r="T10" s="68">
        <v>110015.69115241116</v>
      </c>
      <c r="U10" s="68">
        <v>235262.45004558071</v>
      </c>
      <c r="V10" s="68">
        <v>367684.18291478034</v>
      </c>
      <c r="W10" s="68">
        <v>558689.18839811825</v>
      </c>
      <c r="X10" s="68">
        <v>700069.18009343592</v>
      </c>
      <c r="Y10" s="68">
        <v>502412.95892042661</v>
      </c>
      <c r="Z10" s="68">
        <v>414297.02121600474</v>
      </c>
      <c r="AA10" s="68">
        <v>356213.89535814332</v>
      </c>
      <c r="AB10" s="68">
        <v>473626.48991408292</v>
      </c>
      <c r="AC10" s="68">
        <v>449673.18100782239</v>
      </c>
    </row>
    <row r="11" spans="1:29" s="31" customFormat="1" ht="18" customHeight="1" x14ac:dyDescent="0.2">
      <c r="A11" s="73"/>
      <c r="B11" s="73"/>
      <c r="C11" s="382" t="s">
        <v>74</v>
      </c>
      <c r="D11" s="382"/>
      <c r="E11" s="382"/>
      <c r="F11" s="382"/>
      <c r="G11" s="382"/>
      <c r="H11" s="382"/>
      <c r="I11" s="382"/>
      <c r="J11" s="382"/>
      <c r="K11" s="69">
        <v>312960.92223524803</v>
      </c>
      <c r="L11" s="69">
        <v>569337.19247467432</v>
      </c>
      <c r="M11" s="69">
        <v>411673.60794815019</v>
      </c>
      <c r="N11" s="69">
        <v>239987.40818996413</v>
      </c>
      <c r="O11" s="69">
        <v>350314.50339612231</v>
      </c>
      <c r="P11" s="69">
        <v>312392.33846218232</v>
      </c>
      <c r="Q11" s="69">
        <v>277993.09352705744</v>
      </c>
      <c r="R11" s="69">
        <v>243525.53814181488</v>
      </c>
      <c r="S11" s="69">
        <v>255093.43225517398</v>
      </c>
      <c r="T11" s="69">
        <v>484921.38685299264</v>
      </c>
      <c r="U11" s="69">
        <v>345056.90277364803</v>
      </c>
      <c r="V11" s="69">
        <v>378227.58770964138</v>
      </c>
      <c r="W11" s="69">
        <v>342501.24550482811</v>
      </c>
      <c r="X11" s="69">
        <v>399723.89041481505</v>
      </c>
      <c r="Y11" s="69">
        <v>302090.48588500376</v>
      </c>
      <c r="Z11" s="69">
        <v>300878.15896599734</v>
      </c>
      <c r="AA11" s="69">
        <v>376550.76430572226</v>
      </c>
      <c r="AB11" s="69">
        <v>295634.67407545762</v>
      </c>
      <c r="AC11" s="69">
        <v>312004.35801346193</v>
      </c>
    </row>
    <row r="12" spans="1:29" s="31" customFormat="1" ht="18" customHeight="1" x14ac:dyDescent="0.2">
      <c r="A12" s="73"/>
      <c r="B12" s="73"/>
      <c r="C12" s="382" t="s">
        <v>75</v>
      </c>
      <c r="D12" s="382"/>
      <c r="E12" s="382"/>
      <c r="F12" s="382"/>
      <c r="G12" s="382"/>
      <c r="H12" s="382"/>
      <c r="I12" s="382"/>
      <c r="J12" s="382"/>
      <c r="K12" s="69">
        <v>8699.1012114107107</v>
      </c>
      <c r="L12" s="69">
        <v>22181.620839363241</v>
      </c>
      <c r="M12" s="69">
        <v>2796.3630700081171</v>
      </c>
      <c r="N12" s="69">
        <v>13425.049993117793</v>
      </c>
      <c r="O12" s="69">
        <v>13002.787282908788</v>
      </c>
      <c r="P12" s="69">
        <v>11962.983826656857</v>
      </c>
      <c r="Q12" s="69">
        <v>15909.80917403005</v>
      </c>
      <c r="R12" s="69">
        <v>28308.115342817277</v>
      </c>
      <c r="S12" s="69">
        <v>52754.990791637145</v>
      </c>
      <c r="T12" s="69">
        <v>66032.329302367245</v>
      </c>
      <c r="U12" s="69">
        <v>13044.596680593679</v>
      </c>
      <c r="V12" s="69">
        <v>13111.869199632787</v>
      </c>
      <c r="W12" s="69">
        <v>64276.213080597598</v>
      </c>
      <c r="X12" s="69">
        <v>8960.3413802049399</v>
      </c>
      <c r="Y12" s="69">
        <v>15025.727132105674</v>
      </c>
      <c r="Z12" s="69"/>
      <c r="AA12" s="69"/>
      <c r="AB12" s="69"/>
      <c r="AC12" s="69"/>
    </row>
    <row r="13" spans="1:29" s="31" customFormat="1" ht="18" customHeight="1" x14ac:dyDescent="0.2">
      <c r="A13" s="73"/>
      <c r="B13" s="73"/>
      <c r="C13" s="382" t="s">
        <v>76</v>
      </c>
      <c r="D13" s="382"/>
      <c r="E13" s="382"/>
      <c r="F13" s="382"/>
      <c r="G13" s="382"/>
      <c r="H13" s="382"/>
      <c r="I13" s="382"/>
      <c r="J13" s="382"/>
      <c r="K13" s="69">
        <v>146817.506838609</v>
      </c>
      <c r="L13" s="69">
        <v>249029.66714905933</v>
      </c>
      <c r="M13" s="69">
        <v>87394.217100967275</v>
      </c>
      <c r="N13" s="69">
        <v>133302.85016852024</v>
      </c>
      <c r="O13" s="69">
        <v>202751.41413407659</v>
      </c>
      <c r="P13" s="69">
        <v>143930.44826369695</v>
      </c>
      <c r="Q13" s="69">
        <v>154020.80199351933</v>
      </c>
      <c r="R13" s="69">
        <v>177794.22112354735</v>
      </c>
      <c r="S13" s="69">
        <v>188219.73659023334</v>
      </c>
      <c r="T13" s="69">
        <v>348653.12312717707</v>
      </c>
      <c r="U13" s="69">
        <v>264669.31826332217</v>
      </c>
      <c r="V13" s="69">
        <v>240576.03920827073</v>
      </c>
      <c r="W13" s="69">
        <v>136762.73058497193</v>
      </c>
      <c r="X13" s="69">
        <v>224694.03187425592</v>
      </c>
      <c r="Y13" s="69">
        <v>160832.46273875737</v>
      </c>
      <c r="Z13" s="69">
        <v>232886.52594646084</v>
      </c>
      <c r="AA13" s="69">
        <v>292273.57242897159</v>
      </c>
      <c r="AB13" s="69">
        <v>259266.44378035114</v>
      </c>
      <c r="AC13" s="69">
        <v>182418.65362925234</v>
      </c>
    </row>
    <row r="14" spans="1:29" s="31" customFormat="1" ht="18" customHeight="1" x14ac:dyDescent="0.2">
      <c r="A14" s="73"/>
      <c r="B14" s="73"/>
      <c r="C14" s="380" t="s">
        <v>77</v>
      </c>
      <c r="D14" s="380"/>
      <c r="E14" s="380"/>
      <c r="F14" s="380"/>
      <c r="G14" s="380"/>
      <c r="H14" s="380"/>
      <c r="I14" s="380"/>
      <c r="J14" s="380"/>
      <c r="K14" s="70">
        <v>39298.163345056702</v>
      </c>
      <c r="L14" s="70">
        <v>319324.65026531601</v>
      </c>
      <c r="M14" s="70">
        <v>44836.899791545817</v>
      </c>
      <c r="N14" s="70">
        <v>40175.669428370595</v>
      </c>
      <c r="O14" s="70">
        <v>46186.90396397197</v>
      </c>
      <c r="P14" s="70">
        <v>56006.223025111933</v>
      </c>
      <c r="Q14" s="70">
        <v>45702.081454773441</v>
      </c>
      <c r="R14" s="70">
        <v>59556.64520722122</v>
      </c>
      <c r="S14" s="70">
        <v>86199.660414376995</v>
      </c>
      <c r="T14" s="70">
        <v>94118.529937800951</v>
      </c>
      <c r="U14" s="70">
        <v>149212.06143022733</v>
      </c>
      <c r="V14" s="70">
        <v>90688.820668259432</v>
      </c>
      <c r="W14" s="70">
        <v>310887.16856165009</v>
      </c>
      <c r="X14" s="70">
        <v>68073.010233214154</v>
      </c>
      <c r="Y14" s="70">
        <v>67516.543750697543</v>
      </c>
      <c r="Z14" s="70">
        <v>101103.2760064532</v>
      </c>
      <c r="AA14" s="70">
        <v>164399.66926770704</v>
      </c>
      <c r="AB14" s="70">
        <v>96848.1172954801</v>
      </c>
      <c r="AC14" s="70">
        <v>108028.2956157903</v>
      </c>
    </row>
    <row r="15" spans="1:29" s="31" customFormat="1" ht="18" customHeight="1" x14ac:dyDescent="0.2">
      <c r="A15" s="73"/>
      <c r="B15" s="381" t="s">
        <v>78</v>
      </c>
      <c r="C15" s="381"/>
      <c r="D15" s="381"/>
      <c r="E15" s="381"/>
      <c r="F15" s="381"/>
      <c r="G15" s="381"/>
      <c r="H15" s="381"/>
      <c r="I15" s="381"/>
      <c r="J15" s="381"/>
      <c r="K15" s="211">
        <v>552425.1660805</v>
      </c>
      <c r="L15" s="211">
        <v>846803.66618427401</v>
      </c>
      <c r="M15" s="211">
        <v>508845.06590201269</v>
      </c>
      <c r="N15" s="211">
        <v>489488.71104435821</v>
      </c>
      <c r="O15" s="211">
        <v>604848.92805496161</v>
      </c>
      <c r="P15" s="211">
        <v>449149.10800948722</v>
      </c>
      <c r="Q15" s="211">
        <v>531896.49559552141</v>
      </c>
      <c r="R15" s="211">
        <v>496629.69632398983</v>
      </c>
      <c r="S15" s="211">
        <v>513463.3386591422</v>
      </c>
      <c r="T15" s="211">
        <v>599841.27137208637</v>
      </c>
      <c r="U15" s="211">
        <v>672972.41587468062</v>
      </c>
      <c r="V15" s="211">
        <v>762505.46305860591</v>
      </c>
      <c r="W15" s="211">
        <v>740322.5087091059</v>
      </c>
      <c r="X15" s="211">
        <v>793907.65587115404</v>
      </c>
      <c r="Y15" s="211">
        <v>762507.84757310944</v>
      </c>
      <c r="Z15" s="211">
        <v>832265.55400724709</v>
      </c>
      <c r="AA15" s="211">
        <v>886993.23529411783</v>
      </c>
      <c r="AB15" s="211">
        <v>864572.91240194242</v>
      </c>
      <c r="AC15" s="211">
        <v>716107.40513007087</v>
      </c>
    </row>
    <row r="16" spans="1:29" s="31" customFormat="1" ht="18" customHeight="1" x14ac:dyDescent="0.2">
      <c r="A16" s="73"/>
      <c r="B16" s="73"/>
      <c r="C16" s="381" t="s">
        <v>79</v>
      </c>
      <c r="D16" s="381"/>
      <c r="E16" s="381"/>
      <c r="F16" s="381"/>
      <c r="G16" s="381"/>
      <c r="H16" s="381"/>
      <c r="I16" s="381"/>
      <c r="J16" s="381"/>
      <c r="K16" s="211">
        <v>445341.73505275504</v>
      </c>
      <c r="L16" s="211">
        <v>656309.21369995177</v>
      </c>
      <c r="M16" s="211">
        <v>369376.4270395952</v>
      </c>
      <c r="N16" s="211">
        <v>395834.3364447006</v>
      </c>
      <c r="O16" s="211">
        <v>434726.29192833969</v>
      </c>
      <c r="P16" s="211">
        <v>313337.66709755169</v>
      </c>
      <c r="Q16" s="211">
        <v>386666.89191303763</v>
      </c>
      <c r="R16" s="211">
        <v>402385.76711340836</v>
      </c>
      <c r="S16" s="211">
        <v>420435.97765840049</v>
      </c>
      <c r="T16" s="211">
        <v>562224.51116293389</v>
      </c>
      <c r="U16" s="211">
        <v>560968.10670123727</v>
      </c>
      <c r="V16" s="211">
        <v>603854.15098827169</v>
      </c>
      <c r="W16" s="211">
        <v>530956.02369759197</v>
      </c>
      <c r="X16" s="211">
        <v>577756.16706616234</v>
      </c>
      <c r="Y16" s="211">
        <v>469246.79463451047</v>
      </c>
      <c r="Z16" s="211">
        <v>670000.98722941836</v>
      </c>
      <c r="AA16" s="211">
        <v>663237.59923969593</v>
      </c>
      <c r="AB16" s="211">
        <v>607130.13597310428</v>
      </c>
      <c r="AC16" s="211">
        <v>477795.77278515551</v>
      </c>
    </row>
    <row r="17" spans="1:29" s="31" customFormat="1" ht="18" customHeight="1" x14ac:dyDescent="0.2">
      <c r="A17" s="73"/>
      <c r="B17" s="73"/>
      <c r="C17" s="73"/>
      <c r="D17" s="390" t="s">
        <v>362</v>
      </c>
      <c r="E17" s="390"/>
      <c r="F17" s="390"/>
      <c r="G17" s="390"/>
      <c r="H17" s="390"/>
      <c r="I17" s="390"/>
      <c r="J17" s="390"/>
      <c r="K17" s="68">
        <v>159262.99335678</v>
      </c>
      <c r="L17" s="68">
        <v>211133.38157260008</v>
      </c>
      <c r="M17" s="68">
        <v>120018.81711485151</v>
      </c>
      <c r="N17" s="68">
        <v>143937.66094986044</v>
      </c>
      <c r="O17" s="68">
        <v>200888.14224520835</v>
      </c>
      <c r="P17" s="68">
        <v>138796.00469013641</v>
      </c>
      <c r="Q17" s="68">
        <v>164376.71366221822</v>
      </c>
      <c r="R17" s="68">
        <v>166280.41999138769</v>
      </c>
      <c r="S17" s="68">
        <v>141197.35238639344</v>
      </c>
      <c r="T17" s="68">
        <v>185508.54222290154</v>
      </c>
      <c r="U17" s="68">
        <v>199690.19632865314</v>
      </c>
      <c r="V17" s="68">
        <v>292725.94586596877</v>
      </c>
      <c r="W17" s="68">
        <v>275741.07581461192</v>
      </c>
      <c r="X17" s="68">
        <v>297540.7068199619</v>
      </c>
      <c r="Y17" s="68">
        <v>184293.80086545125</v>
      </c>
      <c r="Z17" s="68">
        <v>288597.7207151865</v>
      </c>
      <c r="AA17" s="68">
        <v>352397.62825130048</v>
      </c>
      <c r="AB17" s="68">
        <v>286928.0608890549</v>
      </c>
      <c r="AC17" s="68">
        <v>210364.93196288883</v>
      </c>
    </row>
    <row r="18" spans="1:29" s="31" customFormat="1" ht="18" customHeight="1" x14ac:dyDescent="0.2">
      <c r="A18" s="73"/>
      <c r="B18" s="73"/>
      <c r="C18" s="73"/>
      <c r="D18" s="382" t="s">
        <v>80</v>
      </c>
      <c r="E18" s="382"/>
      <c r="F18" s="382"/>
      <c r="G18" s="382"/>
      <c r="H18" s="382"/>
      <c r="I18" s="382"/>
      <c r="J18" s="382"/>
      <c r="K18" s="69">
        <v>96147.713950762001</v>
      </c>
      <c r="L18" s="69">
        <v>209029.66714905933</v>
      </c>
      <c r="M18" s="69">
        <v>58528.344862610087</v>
      </c>
      <c r="N18" s="69">
        <v>100390.70788234955</v>
      </c>
      <c r="O18" s="69">
        <v>292813.92329158966</v>
      </c>
      <c r="P18" s="69">
        <v>93822.680021915949</v>
      </c>
      <c r="Q18" s="69">
        <v>89107.980986832248</v>
      </c>
      <c r="R18" s="69">
        <v>86472.38327691493</v>
      </c>
      <c r="S18" s="69">
        <v>92341.273910869975</v>
      </c>
      <c r="T18" s="69">
        <v>112152.80087502071</v>
      </c>
      <c r="U18" s="69">
        <v>363096.29723444243</v>
      </c>
      <c r="V18" s="69">
        <v>163435.22362680134</v>
      </c>
      <c r="W18" s="69">
        <v>179327.32280871857</v>
      </c>
      <c r="X18" s="69">
        <v>154241.69088315722</v>
      </c>
      <c r="Y18" s="69">
        <v>123466.58731451559</v>
      </c>
      <c r="Z18" s="69">
        <v>184422.75700334867</v>
      </c>
      <c r="AA18" s="69">
        <v>260756.04841936775</v>
      </c>
      <c r="AB18" s="69">
        <v>181082.53212551365</v>
      </c>
      <c r="AC18" s="69">
        <v>129990.63598326359</v>
      </c>
    </row>
    <row r="19" spans="1:29" s="31" customFormat="1" ht="18" customHeight="1" x14ac:dyDescent="0.2">
      <c r="A19" s="73"/>
      <c r="B19" s="73"/>
      <c r="C19" s="73"/>
      <c r="D19" s="382" t="s">
        <v>81</v>
      </c>
      <c r="E19" s="382"/>
      <c r="F19" s="382"/>
      <c r="G19" s="382"/>
      <c r="H19" s="382"/>
      <c r="I19" s="382"/>
      <c r="J19" s="382"/>
      <c r="K19" s="69">
        <v>17633.645955451299</v>
      </c>
      <c r="L19" s="69">
        <v>16755.668113844669</v>
      </c>
      <c r="M19" s="69">
        <v>17903.565140400679</v>
      </c>
      <c r="N19" s="69">
        <v>11053.45289380388</v>
      </c>
      <c r="O19" s="69">
        <v>46229.898518982249</v>
      </c>
      <c r="P19" s="69">
        <v>17950.6453710805</v>
      </c>
      <c r="Q19" s="69">
        <v>10442.352840598513</v>
      </c>
      <c r="R19" s="69">
        <v>9975.8436815862169</v>
      </c>
      <c r="S19" s="69">
        <v>14855.646531257176</v>
      </c>
      <c r="T19" s="69">
        <v>17976.640891839892</v>
      </c>
      <c r="U19" s="69">
        <v>23264.49040315879</v>
      </c>
      <c r="V19" s="69">
        <v>48036.076897127372</v>
      </c>
      <c r="W19" s="69">
        <v>93624.860195710295</v>
      </c>
      <c r="X19" s="69">
        <v>26341.903178259436</v>
      </c>
      <c r="Y19" s="69">
        <v>25370.196238514895</v>
      </c>
      <c r="Z19" s="69">
        <v>26992.631946022171</v>
      </c>
      <c r="AA19" s="69">
        <v>36757.567226890758</v>
      </c>
      <c r="AB19" s="69">
        <v>26380.559394844979</v>
      </c>
      <c r="AC19" s="69">
        <v>25027.797889758047</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2451.8750847091242</v>
      </c>
      <c r="R20" s="69">
        <v>2641.4035065213366</v>
      </c>
      <c r="S20" s="69">
        <v>2576.296599639008</v>
      </c>
      <c r="T20" s="69">
        <v>272.82278260261984</v>
      </c>
      <c r="U20" s="69">
        <v>64007.474370587006</v>
      </c>
      <c r="V20" s="69">
        <v>4919.2881667254323</v>
      </c>
      <c r="W20" s="69">
        <v>3524.2067237324209</v>
      </c>
      <c r="X20" s="69">
        <v>1226.0954852262746</v>
      </c>
      <c r="Y20" s="69">
        <v>3146.6658667160514</v>
      </c>
      <c r="Z20" s="69"/>
      <c r="AA20" s="69"/>
      <c r="AB20" s="69"/>
      <c r="AC20" s="69"/>
    </row>
    <row r="21" spans="1:29" s="31" customFormat="1" ht="18" customHeight="1" x14ac:dyDescent="0.2">
      <c r="A21" s="73"/>
      <c r="B21" s="73"/>
      <c r="C21" s="73"/>
      <c r="D21" s="382" t="s">
        <v>82</v>
      </c>
      <c r="E21" s="382"/>
      <c r="F21" s="382"/>
      <c r="G21" s="382"/>
      <c r="H21" s="382"/>
      <c r="I21" s="382"/>
      <c r="J21" s="382"/>
      <c r="K21" s="69">
        <v>167974.20867526403</v>
      </c>
      <c r="L21" s="69">
        <v>210975.88036661845</v>
      </c>
      <c r="M21" s="69">
        <v>169596.6980388902</v>
      </c>
      <c r="N21" s="69">
        <v>134184.81610165094</v>
      </c>
      <c r="O21" s="69">
        <v>171201.42185432621</v>
      </c>
      <c r="P21" s="69">
        <v>117380.06567409022</v>
      </c>
      <c r="Q21" s="69">
        <v>145351.05760935118</v>
      </c>
      <c r="R21" s="69">
        <v>139363.21338225328</v>
      </c>
      <c r="S21" s="69">
        <v>185698.13070289395</v>
      </c>
      <c r="T21" s="69">
        <v>171446.31164231012</v>
      </c>
      <c r="U21" s="69">
        <v>138249.48179616808</v>
      </c>
      <c r="V21" s="69">
        <v>180517.3229940474</v>
      </c>
      <c r="W21" s="69">
        <v>224570.32408136185</v>
      </c>
      <c r="X21" s="69">
        <v>137665.7585208157</v>
      </c>
      <c r="Y21" s="69">
        <v>215826.7411698408</v>
      </c>
      <c r="Z21" s="69">
        <v>201625.54308654263</v>
      </c>
      <c r="AA21" s="69">
        <v>167087.68507402964</v>
      </c>
      <c r="AB21" s="69">
        <v>146719.51494209937</v>
      </c>
      <c r="AC21" s="69">
        <v>151623.99381480808</v>
      </c>
    </row>
    <row r="22" spans="1:29" s="31" customFormat="1" ht="18" customHeight="1" x14ac:dyDescent="0.2">
      <c r="A22" s="73"/>
      <c r="B22" s="73"/>
      <c r="C22" s="73"/>
      <c r="D22" s="382" t="s">
        <v>83</v>
      </c>
      <c r="E22" s="382"/>
      <c r="F22" s="382"/>
      <c r="G22" s="382"/>
      <c r="H22" s="382"/>
      <c r="I22" s="382"/>
      <c r="J22" s="382"/>
      <c r="K22" s="69">
        <v>4323.1731144978503</v>
      </c>
      <c r="L22" s="69">
        <v>8414.857694163049</v>
      </c>
      <c r="M22" s="69">
        <v>3329.0018828422694</v>
      </c>
      <c r="N22" s="69">
        <v>6267.6986170347427</v>
      </c>
      <c r="O22" s="69">
        <v>12678.15901162613</v>
      </c>
      <c r="P22" s="69">
        <v>1543.151652230046</v>
      </c>
      <c r="Q22" s="69">
        <v>10463.336971997755</v>
      </c>
      <c r="R22" s="69">
        <v>9554.2852617801454</v>
      </c>
      <c r="S22" s="69">
        <v>3953.8136681615224</v>
      </c>
      <c r="T22" s="69">
        <v>3150.4916667715897</v>
      </c>
      <c r="U22" s="69">
        <v>6973.9521893512301</v>
      </c>
      <c r="V22" s="69">
        <v>37802.377636193574</v>
      </c>
      <c r="W22" s="69">
        <v>7672.4474912266624</v>
      </c>
      <c r="X22" s="69">
        <v>30647.769666464752</v>
      </c>
      <c r="Y22" s="69">
        <v>15218.194532561785</v>
      </c>
      <c r="Z22" s="69">
        <v>44839.848399416936</v>
      </c>
      <c r="AA22" s="69">
        <v>35862.015806322532</v>
      </c>
      <c r="AB22" s="69">
        <v>30826.645125140083</v>
      </c>
      <c r="AC22" s="69">
        <v>22988.404948153537</v>
      </c>
    </row>
    <row r="23" spans="1:29" s="31" customFormat="1" ht="18" customHeight="1" x14ac:dyDescent="0.2">
      <c r="A23" s="73"/>
      <c r="B23" s="73"/>
      <c r="C23" s="73"/>
      <c r="D23" s="382" t="s">
        <v>363</v>
      </c>
      <c r="E23" s="382"/>
      <c r="F23" s="382"/>
      <c r="G23" s="382"/>
      <c r="H23" s="382"/>
      <c r="I23" s="382"/>
      <c r="J23" s="382"/>
      <c r="K23" s="69"/>
      <c r="L23" s="69"/>
      <c r="M23" s="69"/>
      <c r="N23" s="69"/>
      <c r="O23" s="69">
        <v>1399.6987972939696</v>
      </c>
      <c r="P23" s="69">
        <v>2510.0384410190818</v>
      </c>
      <c r="Q23" s="69">
        <v>859.45299685118698</v>
      </c>
      <c r="R23" s="69">
        <v>806.23711181503575</v>
      </c>
      <c r="S23" s="69">
        <v>1464.4471874227174</v>
      </c>
      <c r="T23" s="69">
        <v>158065.84043732501</v>
      </c>
      <c r="U23" s="69">
        <v>27723.76476936484</v>
      </c>
      <c r="V23" s="69">
        <v>1391.745465443418</v>
      </c>
      <c r="W23" s="69">
        <v>9986.3061808030106</v>
      </c>
      <c r="X23" s="69">
        <v>1033.9288848175797</v>
      </c>
      <c r="Y23" s="69">
        <v>1997.7096185058206</v>
      </c>
      <c r="Z23" s="69">
        <v>49419.820834968094</v>
      </c>
      <c r="AA23" s="69">
        <v>57514.901960784337</v>
      </c>
      <c r="AB23" s="69">
        <v>8758.7198356369336</v>
      </c>
      <c r="AC23" s="69">
        <v>11243.29670729491</v>
      </c>
    </row>
    <row r="24" spans="1:29" s="31" customFormat="1" ht="18" customHeight="1" x14ac:dyDescent="0.2">
      <c r="A24" s="73"/>
      <c r="B24" s="73"/>
      <c r="C24" s="73"/>
      <c r="D24" s="380" t="s">
        <v>364</v>
      </c>
      <c r="E24" s="380"/>
      <c r="F24" s="380"/>
      <c r="G24" s="380"/>
      <c r="H24" s="380"/>
      <c r="I24" s="380"/>
      <c r="J24" s="380"/>
      <c r="K24" s="70"/>
      <c r="L24" s="70"/>
      <c r="M24" s="70"/>
      <c r="N24" s="70">
        <v>-52.589500373518781</v>
      </c>
      <c r="O24" s="70">
        <v>-290484.95179068489</v>
      </c>
      <c r="P24" s="70">
        <v>-58664.918752920203</v>
      </c>
      <c r="Q24" s="70">
        <v>-36385.878239520149</v>
      </c>
      <c r="R24" s="70">
        <v>-12708.019098850204</v>
      </c>
      <c r="S24" s="70">
        <v>-21650.983328237086</v>
      </c>
      <c r="T24" s="70">
        <v>-86348.939355837763</v>
      </c>
      <c r="U24" s="70">
        <v>-262037.55039048815</v>
      </c>
      <c r="V24" s="70">
        <v>-124973.82966403609</v>
      </c>
      <c r="W24" s="70">
        <v>-263490.51959857281</v>
      </c>
      <c r="X24" s="70">
        <v>-70941.686372541575</v>
      </c>
      <c r="Y24" s="70">
        <v>-100073.10097159547</v>
      </c>
      <c r="Z24" s="70">
        <v>-125897.33475606663</v>
      </c>
      <c r="AA24" s="70">
        <v>-247138.24749899958</v>
      </c>
      <c r="AB24" s="70">
        <v>-73565.896339185652</v>
      </c>
      <c r="AC24" s="70">
        <v>-73443.288521011447</v>
      </c>
    </row>
    <row r="25" spans="1:29" s="31" customFormat="1" ht="18" customHeight="1" x14ac:dyDescent="0.2">
      <c r="A25" s="73"/>
      <c r="B25" s="73"/>
      <c r="C25" s="381" t="s">
        <v>84</v>
      </c>
      <c r="D25" s="343"/>
      <c r="E25" s="343"/>
      <c r="F25" s="343"/>
      <c r="G25" s="343"/>
      <c r="H25" s="343"/>
      <c r="I25" s="343"/>
      <c r="J25" s="343"/>
      <c r="K25" s="71">
        <v>10913.638139898401</v>
      </c>
      <c r="L25" s="71">
        <v>9643.7530149541726</v>
      </c>
      <c r="M25" s="71">
        <v>10330.934260130114</v>
      </c>
      <c r="N25" s="71">
        <v>4412.1095269576954</v>
      </c>
      <c r="O25" s="71">
        <v>9216.5639089861324</v>
      </c>
      <c r="P25" s="71">
        <v>9207.6330124490214</v>
      </c>
      <c r="Q25" s="71">
        <v>3887.7551702138817</v>
      </c>
      <c r="R25" s="71">
        <v>2243.1433261608049</v>
      </c>
      <c r="S25" s="71">
        <v>4405.1162662842598</v>
      </c>
      <c r="T25" s="71">
        <v>1925.537378164935</v>
      </c>
      <c r="U25" s="71">
        <v>6520.5780075401208</v>
      </c>
      <c r="V25" s="71">
        <v>9070.7811419077716</v>
      </c>
      <c r="W25" s="71">
        <v>6961.8387052347771</v>
      </c>
      <c r="X25" s="71">
        <v>11883.411025339487</v>
      </c>
      <c r="Y25" s="71">
        <v>13996.417598751888</v>
      </c>
      <c r="Z25" s="71">
        <v>7826.6933802272988</v>
      </c>
      <c r="AA25" s="71">
        <v>11438.135654261705</v>
      </c>
      <c r="AB25" s="71">
        <v>13996.29622711991</v>
      </c>
      <c r="AC25" s="71">
        <v>11684.18810260142</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3824.2498614025367</v>
      </c>
      <c r="AA26" s="211">
        <v>7344.1550620248099</v>
      </c>
      <c r="AB26" s="211">
        <v>6696.489353754203</v>
      </c>
      <c r="AC26" s="211">
        <v>3624.4724395124608</v>
      </c>
    </row>
    <row r="27" spans="1:29" s="31" customFormat="1" ht="18" customHeight="1" x14ac:dyDescent="0.2">
      <c r="A27" s="73"/>
      <c r="B27" s="73"/>
      <c r="C27" s="381" t="s">
        <v>85</v>
      </c>
      <c r="D27" s="381"/>
      <c r="E27" s="381"/>
      <c r="F27" s="381"/>
      <c r="G27" s="381"/>
      <c r="H27" s="381"/>
      <c r="I27" s="381"/>
      <c r="J27" s="381"/>
      <c r="K27" s="211">
        <v>96169.792887846794</v>
      </c>
      <c r="L27" s="211">
        <v>180850.45827303425</v>
      </c>
      <c r="M27" s="211">
        <v>129137.70460228747</v>
      </c>
      <c r="N27" s="211">
        <v>89294.854573073375</v>
      </c>
      <c r="O27" s="211">
        <v>160906.07221763468</v>
      </c>
      <c r="P27" s="211">
        <v>126603.80789948681</v>
      </c>
      <c r="Q27" s="211">
        <v>141341.84851226964</v>
      </c>
      <c r="R27" s="211">
        <v>92000.785884420358</v>
      </c>
      <c r="S27" s="211">
        <v>88622.244734457752</v>
      </c>
      <c r="T27" s="211">
        <v>35691.222830987652</v>
      </c>
      <c r="U27" s="211">
        <v>105483.73116590363</v>
      </c>
      <c r="V27" s="211">
        <v>149580.53092842727</v>
      </c>
      <c r="W27" s="211">
        <v>202404.64630627938</v>
      </c>
      <c r="X27" s="211">
        <v>204268.0777796529</v>
      </c>
      <c r="Y27" s="211">
        <v>279264.63533984713</v>
      </c>
      <c r="Z27" s="211">
        <v>154437.87339759909</v>
      </c>
      <c r="AA27" s="211">
        <v>212317.50040016006</v>
      </c>
      <c r="AB27" s="211">
        <v>243446.48020171834</v>
      </c>
      <c r="AC27" s="211">
        <v>226627.44406039658</v>
      </c>
    </row>
    <row r="28" spans="1:29" s="31" customFormat="1" ht="18" customHeight="1" x14ac:dyDescent="0.2">
      <c r="A28" s="74"/>
      <c r="B28" s="343" t="s">
        <v>86</v>
      </c>
      <c r="C28" s="343"/>
      <c r="D28" s="343"/>
      <c r="E28" s="343"/>
      <c r="F28" s="343"/>
      <c r="G28" s="343"/>
      <c r="H28" s="343"/>
      <c r="I28" s="343"/>
      <c r="J28" s="343"/>
      <c r="K28" s="71">
        <v>4579.9140289175502</v>
      </c>
      <c r="L28" s="71">
        <v>410.75735648818141</v>
      </c>
      <c r="M28" s="71">
        <v>4753.8441148561615</v>
      </c>
      <c r="N28" s="71">
        <v>1903.6190723206448</v>
      </c>
      <c r="O28" s="71">
        <v>14878.572918337182</v>
      </c>
      <c r="P28" s="71">
        <v>925.92185133802775</v>
      </c>
      <c r="Q28" s="71">
        <v>4105.9223618758833</v>
      </c>
      <c r="R28" s="71">
        <v>898.84158488033404</v>
      </c>
      <c r="S28" s="71">
        <v>1272.2431176627024</v>
      </c>
      <c r="T28" s="71">
        <v>1338.6318449726789</v>
      </c>
      <c r="U28" s="71">
        <v>4624.9520755336289</v>
      </c>
      <c r="V28" s="71">
        <v>4634.1337183613769</v>
      </c>
      <c r="W28" s="71">
        <v>1217.6043646696528</v>
      </c>
      <c r="X28" s="71">
        <v>2716.7406319121187</v>
      </c>
      <c r="Y28" s="71">
        <v>1778.111241236327</v>
      </c>
      <c r="Z28" s="71">
        <v>5670.1385158153807</v>
      </c>
      <c r="AA28" s="71">
        <v>2726.6822729091641</v>
      </c>
      <c r="AB28" s="71">
        <v>2531.6382144191257</v>
      </c>
      <c r="AC28" s="71">
        <v>2742.1871930143716</v>
      </c>
    </row>
    <row r="29" spans="1:29" s="31" customFormat="1" ht="18" customHeight="1" x14ac:dyDescent="0.2">
      <c r="A29" s="383" t="s">
        <v>87</v>
      </c>
      <c r="B29" s="383"/>
      <c r="C29" s="383"/>
      <c r="D29" s="383"/>
      <c r="E29" s="383"/>
      <c r="F29" s="383"/>
      <c r="G29" s="383"/>
      <c r="H29" s="383"/>
      <c r="I29" s="383"/>
      <c r="J29" s="383"/>
      <c r="K29" s="188">
        <v>1280029.8944900399</v>
      </c>
      <c r="L29" s="188">
        <v>2298913.1693198266</v>
      </c>
      <c r="M29" s="188">
        <v>1244015.0662148716</v>
      </c>
      <c r="N29" s="188">
        <v>1072302.7175163082</v>
      </c>
      <c r="O29" s="188">
        <v>1504699.5125575608</v>
      </c>
      <c r="P29" s="188">
        <v>1185041.6634543312</v>
      </c>
      <c r="Q29" s="188">
        <v>1250050.0263006692</v>
      </c>
      <c r="R29" s="188">
        <v>1290527.8624314081</v>
      </c>
      <c r="S29" s="188">
        <v>1401143.0900424381</v>
      </c>
      <c r="T29" s="188">
        <v>1704920.9635898073</v>
      </c>
      <c r="U29" s="188">
        <v>1684842.6971435859</v>
      </c>
      <c r="V29" s="188">
        <v>1857428.0964775525</v>
      </c>
      <c r="W29" s="188">
        <v>2154656.6592039401</v>
      </c>
      <c r="X29" s="188">
        <v>2198144.850498992</v>
      </c>
      <c r="Y29" s="188">
        <v>1812164.1372413367</v>
      </c>
      <c r="Z29" s="188">
        <v>1887100.6746579786</v>
      </c>
      <c r="AA29" s="188">
        <v>2079157.8189275709</v>
      </c>
      <c r="AB29" s="188">
        <v>1992480.2754949569</v>
      </c>
      <c r="AC29" s="188">
        <v>1770974.0804074949</v>
      </c>
    </row>
    <row r="30" spans="1:29" s="31" customFormat="1" ht="18" customHeight="1" x14ac:dyDescent="0.2">
      <c r="A30" s="73"/>
      <c r="B30" s="381" t="s">
        <v>88</v>
      </c>
      <c r="C30" s="381"/>
      <c r="D30" s="381"/>
      <c r="E30" s="381"/>
      <c r="F30" s="381"/>
      <c r="G30" s="381"/>
      <c r="H30" s="381"/>
      <c r="I30" s="381"/>
      <c r="J30" s="381"/>
      <c r="K30" s="211">
        <v>726479.87495115306</v>
      </c>
      <c r="L30" s="211">
        <v>905897.73275446217</v>
      </c>
      <c r="M30" s="211">
        <v>666633.56479752599</v>
      </c>
      <c r="N30" s="211">
        <v>599670.58954681433</v>
      </c>
      <c r="O30" s="211">
        <v>705366.31272931187</v>
      </c>
      <c r="P30" s="211">
        <v>675707.14444716182</v>
      </c>
      <c r="Q30" s="211">
        <v>675921.01963618735</v>
      </c>
      <c r="R30" s="211">
        <v>744532.96325636515</v>
      </c>
      <c r="S30" s="211">
        <v>736115.7401487265</v>
      </c>
      <c r="T30" s="211">
        <v>914802.78330295486</v>
      </c>
      <c r="U30" s="211">
        <v>805040.53010362666</v>
      </c>
      <c r="V30" s="211">
        <v>771192.05050101352</v>
      </c>
      <c r="W30" s="211">
        <v>870540.1581922567</v>
      </c>
      <c r="X30" s="211">
        <v>876184.49224351766</v>
      </c>
      <c r="Y30" s="211">
        <v>790733.40974898566</v>
      </c>
      <c r="Z30" s="211">
        <v>898655.04620807245</v>
      </c>
      <c r="AA30" s="211">
        <v>835701.58103241294</v>
      </c>
      <c r="AB30" s="211">
        <v>749811.34142697044</v>
      </c>
      <c r="AC30" s="211">
        <v>761089.50554848101</v>
      </c>
    </row>
    <row r="31" spans="1:29" s="31" customFormat="1" ht="18" customHeight="1" x14ac:dyDescent="0.2">
      <c r="A31" s="73"/>
      <c r="B31" s="73"/>
      <c r="C31" s="381" t="s">
        <v>89</v>
      </c>
      <c r="D31" s="381"/>
      <c r="E31" s="381"/>
      <c r="F31" s="381"/>
      <c r="G31" s="381"/>
      <c r="H31" s="381"/>
      <c r="I31" s="381"/>
      <c r="J31" s="381"/>
      <c r="K31" s="211">
        <v>438487.69050410303</v>
      </c>
      <c r="L31" s="211">
        <v>646107.8147612157</v>
      </c>
      <c r="M31" s="211">
        <v>450649.65695295081</v>
      </c>
      <c r="N31" s="211">
        <v>381684.727987085</v>
      </c>
      <c r="O31" s="211">
        <v>476407.63618073281</v>
      </c>
      <c r="P31" s="211">
        <v>325496.44295917987</v>
      </c>
      <c r="Q31" s="211">
        <v>344966.48215360742</v>
      </c>
      <c r="R31" s="211">
        <v>419243.08164442942</v>
      </c>
      <c r="S31" s="211">
        <v>411678.63974223257</v>
      </c>
      <c r="T31" s="211">
        <v>648987.53234823782</v>
      </c>
      <c r="U31" s="211">
        <v>454853.18951926258</v>
      </c>
      <c r="V31" s="211">
        <v>444824.64797438617</v>
      </c>
      <c r="W31" s="211">
        <v>537172.58932243101</v>
      </c>
      <c r="X31" s="211">
        <v>511831.6487416731</v>
      </c>
      <c r="Y31" s="211">
        <v>444129.16164963483</v>
      </c>
      <c r="Z31" s="211">
        <v>508245.18371759844</v>
      </c>
      <c r="AA31" s="211">
        <v>518422.68507402955</v>
      </c>
      <c r="AB31" s="211">
        <v>440113.85057900636</v>
      </c>
      <c r="AC31" s="211">
        <v>465288.75004547939</v>
      </c>
    </row>
    <row r="32" spans="1:29" s="31" customFormat="1" ht="18" customHeight="1" x14ac:dyDescent="0.2">
      <c r="A32" s="73"/>
      <c r="B32" s="73"/>
      <c r="C32" s="73"/>
      <c r="D32" s="390" t="s">
        <v>90</v>
      </c>
      <c r="E32" s="390"/>
      <c r="F32" s="390"/>
      <c r="G32" s="390"/>
      <c r="H32" s="390"/>
      <c r="I32" s="390"/>
      <c r="J32" s="390"/>
      <c r="K32" s="68">
        <v>221854.63071512297</v>
      </c>
      <c r="L32" s="68">
        <v>344533.28509406658</v>
      </c>
      <c r="M32" s="68">
        <v>279997.98318656458</v>
      </c>
      <c r="N32" s="68">
        <v>176002.45352979595</v>
      </c>
      <c r="O32" s="68">
        <v>255668.60579326755</v>
      </c>
      <c r="P32" s="68">
        <v>154735.07870002009</v>
      </c>
      <c r="Q32" s="68">
        <v>147202.74524100902</v>
      </c>
      <c r="R32" s="68">
        <v>177502.83197297991</v>
      </c>
      <c r="S32" s="68">
        <v>169065.45068558052</v>
      </c>
      <c r="T32" s="68">
        <v>452721.28110792168</v>
      </c>
      <c r="U32" s="68">
        <v>215966.96604366618</v>
      </c>
      <c r="V32" s="68">
        <v>229028.18934019085</v>
      </c>
      <c r="W32" s="68">
        <v>207975.74151727682</v>
      </c>
      <c r="X32" s="68">
        <v>236455.34293059475</v>
      </c>
      <c r="Y32" s="68">
        <v>193901.31551370901</v>
      </c>
      <c r="Z32" s="68">
        <v>256744.22797625602</v>
      </c>
      <c r="AA32" s="68">
        <v>228008.54361744694</v>
      </c>
      <c r="AB32" s="68">
        <v>182902.77754949572</v>
      </c>
      <c r="AC32" s="68">
        <v>250876.03019828995</v>
      </c>
    </row>
    <row r="33" spans="1:29" s="31" customFormat="1" ht="18" customHeight="1" x14ac:dyDescent="0.2">
      <c r="A33" s="73"/>
      <c r="B33" s="73"/>
      <c r="C33" s="73"/>
      <c r="D33" s="382" t="s">
        <v>91</v>
      </c>
      <c r="E33" s="382"/>
      <c r="F33" s="382"/>
      <c r="G33" s="382"/>
      <c r="H33" s="382"/>
      <c r="I33" s="382"/>
      <c r="J33" s="382"/>
      <c r="K33" s="69">
        <v>112556.07659241899</v>
      </c>
      <c r="L33" s="69">
        <v>86712.976362759291</v>
      </c>
      <c r="M33" s="69">
        <v>79949.238424000258</v>
      </c>
      <c r="N33" s="69">
        <v>126790.10398542184</v>
      </c>
      <c r="O33" s="69">
        <v>91904.255423667826</v>
      </c>
      <c r="P33" s="69">
        <v>97740.801338028265</v>
      </c>
      <c r="Q33" s="69">
        <v>104647.9935786791</v>
      </c>
      <c r="R33" s="69">
        <v>96506.161567206786</v>
      </c>
      <c r="S33" s="69">
        <v>113735.34314910344</v>
      </c>
      <c r="T33" s="69">
        <v>83552.893830130881</v>
      </c>
      <c r="U33" s="69">
        <v>85536.538882060064</v>
      </c>
      <c r="V33" s="69">
        <v>56238.756764890139</v>
      </c>
      <c r="W33" s="69">
        <v>118592.96918652301</v>
      </c>
      <c r="X33" s="69">
        <v>43011.262066293217</v>
      </c>
      <c r="Y33" s="69">
        <v>77824.781236867537</v>
      </c>
      <c r="Z33" s="69">
        <v>88489.590757335987</v>
      </c>
      <c r="AA33" s="69">
        <v>100979.2050820328</v>
      </c>
      <c r="AB33" s="69">
        <v>87312.516623085539</v>
      </c>
      <c r="AC33" s="69">
        <v>79854.179734400575</v>
      </c>
    </row>
    <row r="34" spans="1:29" s="31" customFormat="1" ht="18" customHeight="1" x14ac:dyDescent="0.2">
      <c r="A34" s="73"/>
      <c r="B34" s="73"/>
      <c r="C34" s="73"/>
      <c r="D34" s="382" t="s">
        <v>92</v>
      </c>
      <c r="E34" s="382"/>
      <c r="F34" s="382"/>
      <c r="G34" s="382"/>
      <c r="H34" s="382"/>
      <c r="I34" s="382"/>
      <c r="J34" s="382"/>
      <c r="K34" s="69">
        <v>27912.075029308297</v>
      </c>
      <c r="L34" s="69">
        <v>9940.1833092136985</v>
      </c>
      <c r="M34" s="69">
        <v>24131.610246078784</v>
      </c>
      <c r="N34" s="69">
        <v>5494.8690773842691</v>
      </c>
      <c r="O34" s="69">
        <v>46838.635843177908</v>
      </c>
      <c r="P34" s="69">
        <v>5270.4724312524331</v>
      </c>
      <c r="Q34" s="69">
        <v>7477.2248563994835</v>
      </c>
      <c r="R34" s="69">
        <v>43402.617217645246</v>
      </c>
      <c r="S34" s="69">
        <v>26914.818536479641</v>
      </c>
      <c r="T34" s="69">
        <v>25935.976342797723</v>
      </c>
      <c r="U34" s="69">
        <v>33968.656013795146</v>
      </c>
      <c r="V34" s="69">
        <v>27321.777793548295</v>
      </c>
      <c r="W34" s="69">
        <v>28883.306158988762</v>
      </c>
      <c r="X34" s="69">
        <v>63483.29825819558</v>
      </c>
      <c r="Y34" s="69">
        <v>29539.610627568243</v>
      </c>
      <c r="Z34" s="69">
        <v>41350.979154225039</v>
      </c>
      <c r="AA34" s="69">
        <v>17843.390956382555</v>
      </c>
      <c r="AB34" s="69">
        <v>34392.347777362724</v>
      </c>
      <c r="AC34" s="69">
        <v>24344.411679097688</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311.96829272162671</v>
      </c>
      <c r="R35" s="69">
        <v>575.71403679107539</v>
      </c>
      <c r="S35" s="69">
        <v>696.57642545774604</v>
      </c>
      <c r="T35" s="69">
        <v>63.633266683475505</v>
      </c>
      <c r="U35" s="69">
        <v>6937.2901226662389</v>
      </c>
      <c r="V35" s="69">
        <v>1304.5632635958837</v>
      </c>
      <c r="W35" s="69">
        <v>290.84102886132183</v>
      </c>
      <c r="X35" s="69">
        <v>232.32428703838931</v>
      </c>
      <c r="Y35" s="69">
        <v>1033.4088347363327</v>
      </c>
      <c r="Z35" s="69"/>
      <c r="AA35" s="69"/>
      <c r="AB35" s="69"/>
      <c r="AC35" s="69"/>
    </row>
    <row r="36" spans="1:29" s="31" customFormat="1" ht="18" customHeight="1" x14ac:dyDescent="0.2">
      <c r="A36" s="73"/>
      <c r="B36" s="73"/>
      <c r="C36" s="73"/>
      <c r="D36" s="380" t="s">
        <v>93</v>
      </c>
      <c r="E36" s="380"/>
      <c r="F36" s="380"/>
      <c r="G36" s="380"/>
      <c r="H36" s="380"/>
      <c r="I36" s="380"/>
      <c r="J36" s="380"/>
      <c r="K36" s="70">
        <v>76164.712778429108</v>
      </c>
      <c r="L36" s="70">
        <v>204921.36999517606</v>
      </c>
      <c r="M36" s="70">
        <v>66570.825096307162</v>
      </c>
      <c r="N36" s="70">
        <v>73397.301394484093</v>
      </c>
      <c r="O36" s="70">
        <v>81996.139120620675</v>
      </c>
      <c r="P36" s="70">
        <v>67750.090489879687</v>
      </c>
      <c r="Q36" s="70">
        <v>85326.550184796986</v>
      </c>
      <c r="R36" s="70">
        <v>101255.75684980622</v>
      </c>
      <c r="S36" s="70">
        <v>101266.45094561088</v>
      </c>
      <c r="T36" s="70">
        <v>86713.747800704397</v>
      </c>
      <c r="U36" s="70">
        <v>112443.73845707468</v>
      </c>
      <c r="V36" s="70">
        <v>130931.36081216008</v>
      </c>
      <c r="W36" s="70">
        <v>181429.73143078154</v>
      </c>
      <c r="X36" s="70">
        <v>168649.42119955042</v>
      </c>
      <c r="Y36" s="70">
        <v>141830.04543675383</v>
      </c>
      <c r="Z36" s="70">
        <v>121660.38582978141</v>
      </c>
      <c r="AA36" s="70">
        <v>171591.54541816725</v>
      </c>
      <c r="AB36" s="70">
        <v>135506.20862906234</v>
      </c>
      <c r="AC36" s="70">
        <v>110214.12843369116</v>
      </c>
    </row>
    <row r="37" spans="1:29" s="31" customFormat="1" ht="18" customHeight="1" x14ac:dyDescent="0.2">
      <c r="A37" s="73"/>
      <c r="B37" s="73"/>
      <c r="C37" s="381" t="s">
        <v>94</v>
      </c>
      <c r="D37" s="381"/>
      <c r="E37" s="381"/>
      <c r="F37" s="381"/>
      <c r="G37" s="381"/>
      <c r="H37" s="381"/>
      <c r="I37" s="381"/>
      <c r="J37" s="381"/>
      <c r="K37" s="211">
        <v>287992.18444704998</v>
      </c>
      <c r="L37" s="211">
        <v>259789.91799324649</v>
      </c>
      <c r="M37" s="211">
        <v>215983.9078445757</v>
      </c>
      <c r="N37" s="211">
        <v>217985.86155972813</v>
      </c>
      <c r="O37" s="211">
        <v>228958.67654857851</v>
      </c>
      <c r="P37" s="211">
        <v>350210.70148797956</v>
      </c>
      <c r="Q37" s="211">
        <v>330954.53748258244</v>
      </c>
      <c r="R37" s="211">
        <v>325289.88161193579</v>
      </c>
      <c r="S37" s="211">
        <v>324437.10040649422</v>
      </c>
      <c r="T37" s="211">
        <v>265815.25095471658</v>
      </c>
      <c r="U37" s="211">
        <v>350187.34058436449</v>
      </c>
      <c r="V37" s="211">
        <v>326367.40252662799</v>
      </c>
      <c r="W37" s="211">
        <v>333367.56886982656</v>
      </c>
      <c r="X37" s="211">
        <v>364352.84350184526</v>
      </c>
      <c r="Y37" s="211">
        <v>346604.24809935113</v>
      </c>
      <c r="Z37" s="211">
        <v>390409.8624904732</v>
      </c>
      <c r="AA37" s="211">
        <v>317278.89595838339</v>
      </c>
      <c r="AB37" s="211">
        <v>309697.49084796413</v>
      </c>
      <c r="AC37" s="211">
        <v>295800.75550300168</v>
      </c>
    </row>
    <row r="38" spans="1:29" s="31" customFormat="1" ht="18" customHeight="1" x14ac:dyDescent="0.2">
      <c r="A38" s="73"/>
      <c r="B38" s="73"/>
      <c r="C38" s="73"/>
      <c r="D38" s="390" t="s">
        <v>95</v>
      </c>
      <c r="E38" s="390"/>
      <c r="F38" s="390"/>
      <c r="G38" s="390"/>
      <c r="H38" s="390"/>
      <c r="I38" s="390"/>
      <c r="J38" s="390"/>
      <c r="K38" s="68">
        <v>18918.718249316102</v>
      </c>
      <c r="L38" s="68">
        <v>34325.615050651228</v>
      </c>
      <c r="M38" s="68">
        <v>18505.569732602289</v>
      </c>
      <c r="N38" s="68">
        <v>22603.577670618473</v>
      </c>
      <c r="O38" s="68">
        <v>16371.138561515811</v>
      </c>
      <c r="P38" s="68">
        <v>34387.323723301823</v>
      </c>
      <c r="Q38" s="68">
        <v>51076.937043079393</v>
      </c>
      <c r="R38" s="68">
        <v>5686.1946019781253</v>
      </c>
      <c r="S38" s="68">
        <v>21039.230896411726</v>
      </c>
      <c r="T38" s="68">
        <v>4606.3550304078117</v>
      </c>
      <c r="U38" s="68">
        <v>17697.516582965807</v>
      </c>
      <c r="V38" s="68">
        <v>16352.366818442157</v>
      </c>
      <c r="W38" s="68">
        <v>9025.8003694555737</v>
      </c>
      <c r="X38" s="68">
        <v>56806.872487034874</v>
      </c>
      <c r="Y38" s="68">
        <v>10330.514959024451</v>
      </c>
      <c r="Z38" s="68">
        <v>4614.8652373331115</v>
      </c>
      <c r="AA38" s="68">
        <v>12135.03881552621</v>
      </c>
      <c r="AB38" s="68">
        <v>10992.371684721704</v>
      </c>
      <c r="AC38" s="68">
        <v>7134.4689830816806</v>
      </c>
    </row>
    <row r="39" spans="1:29" s="31" customFormat="1" ht="18" customHeight="1" x14ac:dyDescent="0.2">
      <c r="A39" s="73"/>
      <c r="B39" s="73"/>
      <c r="C39" s="73"/>
      <c r="D39" s="382" t="s">
        <v>96</v>
      </c>
      <c r="E39" s="382"/>
      <c r="F39" s="382"/>
      <c r="G39" s="382"/>
      <c r="H39" s="382"/>
      <c r="I39" s="382"/>
      <c r="J39" s="382"/>
      <c r="K39" s="69">
        <v>178753.41930441599</v>
      </c>
      <c r="L39" s="69">
        <v>116028.94356005789</v>
      </c>
      <c r="M39" s="69">
        <v>152339.22574743204</v>
      </c>
      <c r="N39" s="69">
        <v>144837.41670550575</v>
      </c>
      <c r="O39" s="69">
        <v>156439.90474241014</v>
      </c>
      <c r="P39" s="69">
        <v>240650.26219067804</v>
      </c>
      <c r="Q39" s="69">
        <v>215385.06132271432</v>
      </c>
      <c r="R39" s="69">
        <v>183450.44044783572</v>
      </c>
      <c r="S39" s="69">
        <v>192937.61563665661</v>
      </c>
      <c r="T39" s="69">
        <v>157610.71255523997</v>
      </c>
      <c r="U39" s="69">
        <v>189131.43217786698</v>
      </c>
      <c r="V39" s="69">
        <v>212994.24153262176</v>
      </c>
      <c r="W39" s="69">
        <v>204075.6299266151</v>
      </c>
      <c r="X39" s="69">
        <v>199331.15584605726</v>
      </c>
      <c r="Y39" s="69">
        <v>204634.47884087623</v>
      </c>
      <c r="Z39" s="69">
        <v>184077.50672776857</v>
      </c>
      <c r="AA39" s="69">
        <v>190573.31912765108</v>
      </c>
      <c r="AB39" s="69">
        <v>202659.10534180055</v>
      </c>
      <c r="AC39" s="69">
        <v>211489.62615972353</v>
      </c>
    </row>
    <row r="40" spans="1:29" s="31" customFormat="1" ht="18" customHeight="1" x14ac:dyDescent="0.2">
      <c r="A40" s="73"/>
      <c r="B40" s="73"/>
      <c r="C40" s="73"/>
      <c r="D40" s="382" t="s">
        <v>97</v>
      </c>
      <c r="E40" s="382"/>
      <c r="F40" s="382"/>
      <c r="G40" s="382"/>
      <c r="H40" s="382"/>
      <c r="I40" s="382"/>
      <c r="J40" s="382"/>
      <c r="K40" s="69">
        <v>41116.842516608005</v>
      </c>
      <c r="L40" s="69">
        <v>9386.1553304389781</v>
      </c>
      <c r="M40" s="69">
        <v>16082.287726387303</v>
      </c>
      <c r="N40" s="69">
        <v>18366.212333072006</v>
      </c>
      <c r="O40" s="69">
        <v>22013.499545971506</v>
      </c>
      <c r="P40" s="69">
        <v>7995.5765134320618</v>
      </c>
      <c r="Q40" s="69">
        <v>12102.515018668459</v>
      </c>
      <c r="R40" s="69">
        <v>40558.664394849635</v>
      </c>
      <c r="S40" s="69">
        <v>12327.635479467815</v>
      </c>
      <c r="T40" s="69">
        <v>71062.606156699781</v>
      </c>
      <c r="U40" s="69">
        <v>47416.173152856602</v>
      </c>
      <c r="V40" s="69">
        <v>24121.68121534435</v>
      </c>
      <c r="W40" s="69">
        <v>47034.984632382155</v>
      </c>
      <c r="X40" s="69">
        <v>22475.06021679697</v>
      </c>
      <c r="Y40" s="69">
        <v>22180.678387425865</v>
      </c>
      <c r="Z40" s="69">
        <v>153341.57821952525</v>
      </c>
      <c r="AA40" s="69">
        <v>28077.022408963589</v>
      </c>
      <c r="AB40" s="69">
        <v>38347.607769891671</v>
      </c>
      <c r="AC40" s="69">
        <v>34105.887756958342</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1816.7899061591909</v>
      </c>
      <c r="R41" s="69">
        <v>1348.1587162111277</v>
      </c>
      <c r="S41" s="69">
        <v>1436.3760769373846</v>
      </c>
      <c r="T41" s="69">
        <v>198.65510145604108</v>
      </c>
      <c r="U41" s="69">
        <v>40232.722676935606</v>
      </c>
      <c r="V41" s="69">
        <v>3630.5809850727414</v>
      </c>
      <c r="W41" s="69">
        <v>1509.23045608602</v>
      </c>
      <c r="X41" s="69">
        <v>747.34824724280986</v>
      </c>
      <c r="Y41" s="69">
        <v>3364.1918810367952</v>
      </c>
      <c r="Z41" s="69"/>
      <c r="AA41" s="69"/>
      <c r="AB41" s="69"/>
      <c r="AC41" s="69"/>
    </row>
    <row r="42" spans="1:29" s="31" customFormat="1" ht="18" customHeight="1" x14ac:dyDescent="0.2">
      <c r="A42" s="73"/>
      <c r="B42" s="73"/>
      <c r="C42" s="73"/>
      <c r="D42" s="380" t="s">
        <v>98</v>
      </c>
      <c r="E42" s="380"/>
      <c r="F42" s="380"/>
      <c r="G42" s="380"/>
      <c r="H42" s="380"/>
      <c r="I42" s="380"/>
      <c r="J42" s="380"/>
      <c r="K42" s="70">
        <v>49203.399765533402</v>
      </c>
      <c r="L42" s="70">
        <v>100048.96285576459</v>
      </c>
      <c r="M42" s="70">
        <v>29056.824638153957</v>
      </c>
      <c r="N42" s="70">
        <v>32178.654850531984</v>
      </c>
      <c r="O42" s="70">
        <v>34134.133698680569</v>
      </c>
      <c r="P42" s="70">
        <v>67177.539060568859</v>
      </c>
      <c r="Q42" s="70">
        <v>50573.234191960837</v>
      </c>
      <c r="R42" s="70">
        <v>94246.423451061331</v>
      </c>
      <c r="S42" s="70">
        <v>96696.24231702066</v>
      </c>
      <c r="T42" s="70">
        <v>32336.922110912888</v>
      </c>
      <c r="U42" s="70">
        <v>55709.495993739452</v>
      </c>
      <c r="V42" s="70">
        <v>69268.531975147169</v>
      </c>
      <c r="W42" s="70">
        <v>71721.92348528748</v>
      </c>
      <c r="X42" s="70">
        <v>84992.406704712819</v>
      </c>
      <c r="Y42" s="70">
        <v>106094.38403098813</v>
      </c>
      <c r="Z42" s="70">
        <v>48375.912305846228</v>
      </c>
      <c r="AA42" s="70">
        <v>86493.515606242523</v>
      </c>
      <c r="AB42" s="70">
        <v>57698.406051550206</v>
      </c>
      <c r="AC42" s="70">
        <v>43070.772603238118</v>
      </c>
    </row>
    <row r="43" spans="1:29" s="31" customFormat="1" ht="18" customHeight="1" x14ac:dyDescent="0.2">
      <c r="A43" s="73"/>
      <c r="B43" s="381" t="s">
        <v>365</v>
      </c>
      <c r="C43" s="381"/>
      <c r="D43" s="381"/>
      <c r="E43" s="381"/>
      <c r="F43" s="381"/>
      <c r="G43" s="381"/>
      <c r="H43" s="381"/>
      <c r="I43" s="381"/>
      <c r="J43" s="381"/>
      <c r="K43" s="211">
        <v>553550.01953888196</v>
      </c>
      <c r="L43" s="211">
        <v>1393015.436565364</v>
      </c>
      <c r="M43" s="211">
        <v>577381.50141734572</v>
      </c>
      <c r="N43" s="211">
        <v>472632.12796949386</v>
      </c>
      <c r="O43" s="211">
        <v>799333.19982824905</v>
      </c>
      <c r="P43" s="211">
        <v>509334.51900716953</v>
      </c>
      <c r="Q43" s="211">
        <v>574129.00666448171</v>
      </c>
      <c r="R43" s="211">
        <v>545994.89917504345</v>
      </c>
      <c r="S43" s="211">
        <v>665027.34989371127</v>
      </c>
      <c r="T43" s="211">
        <v>790118.18028685404</v>
      </c>
      <c r="U43" s="211">
        <v>879802.16703996062</v>
      </c>
      <c r="V43" s="211">
        <v>1086236.0459765396</v>
      </c>
      <c r="W43" s="211">
        <v>1284116.5010116843</v>
      </c>
      <c r="X43" s="211">
        <v>1321960.3582554755</v>
      </c>
      <c r="Y43" s="211">
        <v>1021430.7274923503</v>
      </c>
      <c r="Z43" s="211">
        <v>988445.62844990555</v>
      </c>
      <c r="AA43" s="211">
        <v>1243456.2378951579</v>
      </c>
      <c r="AB43" s="211">
        <v>1242668.9340679867</v>
      </c>
      <c r="AC43" s="211">
        <v>1009884.574859014</v>
      </c>
    </row>
    <row r="44" spans="1:29" s="31" customFormat="1" ht="18" customHeight="1" x14ac:dyDescent="0.2">
      <c r="A44" s="73"/>
      <c r="B44" s="105"/>
      <c r="C44" s="384" t="s">
        <v>366</v>
      </c>
      <c r="D44" s="385"/>
      <c r="E44" s="385"/>
      <c r="F44" s="385"/>
      <c r="G44" s="385"/>
      <c r="H44" s="385"/>
      <c r="I44" s="385"/>
      <c r="J44" s="386"/>
      <c r="K44" s="211">
        <v>513869.08948808181</v>
      </c>
      <c r="L44" s="211">
        <v>1393015.6777616981</v>
      </c>
      <c r="M44" s="211">
        <v>577381.5014173456</v>
      </c>
      <c r="N44" s="211">
        <v>472632.12796949525</v>
      </c>
      <c r="O44" s="211">
        <v>799333.1998282501</v>
      </c>
      <c r="P44" s="211">
        <v>448170.35481758119</v>
      </c>
      <c r="Q44" s="211">
        <v>507010.57476120826</v>
      </c>
      <c r="R44" s="211">
        <v>522557.28184894042</v>
      </c>
      <c r="S44" s="211">
        <v>583696.02301313553</v>
      </c>
      <c r="T44" s="211">
        <v>760393.66606401175</v>
      </c>
      <c r="U44" s="211">
        <v>849277.46386774187</v>
      </c>
      <c r="V44" s="211">
        <v>1034134.3542346265</v>
      </c>
      <c r="W44" s="211">
        <v>1231332.7365200126</v>
      </c>
      <c r="X44" s="211">
        <v>1290494.4771077652</v>
      </c>
      <c r="Y44" s="211">
        <v>894799.71021923958</v>
      </c>
      <c r="Z44" s="211">
        <v>962453.92320988758</v>
      </c>
      <c r="AA44" s="211">
        <v>1082992.4635854342</v>
      </c>
      <c r="AB44" s="211">
        <v>1210489.3791557713</v>
      </c>
      <c r="AC44" s="211">
        <v>971363.06276150618</v>
      </c>
    </row>
    <row r="45" spans="1:29" s="31" customFormat="1" ht="18" customHeight="1" x14ac:dyDescent="0.2">
      <c r="A45" s="73"/>
      <c r="B45" s="73"/>
      <c r="C45" s="216"/>
      <c r="D45" s="373" t="s">
        <v>99</v>
      </c>
      <c r="E45" s="374"/>
      <c r="F45" s="374"/>
      <c r="G45" s="374"/>
      <c r="H45" s="374"/>
      <c r="I45" s="374"/>
      <c r="J45" s="375"/>
      <c r="K45" s="68">
        <v>43380.422039859302</v>
      </c>
      <c r="L45" s="68">
        <v>149892.18523878438</v>
      </c>
      <c r="M45" s="68">
        <v>49946.295118733506</v>
      </c>
      <c r="N45" s="68">
        <v>54958.856412417335</v>
      </c>
      <c r="O45" s="68">
        <v>45759.338383844173</v>
      </c>
      <c r="P45" s="68">
        <v>35088.400535935965</v>
      </c>
      <c r="Q45" s="68">
        <v>42662.930759750161</v>
      </c>
      <c r="R45" s="68">
        <v>40868.108791762017</v>
      </c>
      <c r="S45" s="68">
        <v>40137.104583828426</v>
      </c>
      <c r="T45" s="68">
        <v>59621.537334166278</v>
      </c>
      <c r="U45" s="68">
        <v>52506.565779571407</v>
      </c>
      <c r="V45" s="68">
        <v>50292.690157122539</v>
      </c>
      <c r="W45" s="68">
        <v>48051.892363843632</v>
      </c>
      <c r="X45" s="68">
        <v>45553.948298540097</v>
      </c>
      <c r="Y45" s="68">
        <v>46201.412905517289</v>
      </c>
      <c r="Z45" s="68">
        <v>60849.884717935878</v>
      </c>
      <c r="AA45" s="68">
        <v>52739.957983193279</v>
      </c>
      <c r="AB45" s="68">
        <v>44964.337317893165</v>
      </c>
      <c r="AC45" s="68">
        <v>38959.649445151903</v>
      </c>
    </row>
    <row r="46" spans="1:29" s="31" customFormat="1" ht="18" customHeight="1" x14ac:dyDescent="0.2">
      <c r="A46" s="73"/>
      <c r="B46" s="73"/>
      <c r="C46" s="216"/>
      <c r="D46" s="376" t="s">
        <v>100</v>
      </c>
      <c r="E46" s="377"/>
      <c r="F46" s="377"/>
      <c r="G46" s="377"/>
      <c r="H46" s="377"/>
      <c r="I46" s="377"/>
      <c r="J46" s="378"/>
      <c r="K46" s="69">
        <v>15083.235638921502</v>
      </c>
      <c r="L46" s="69">
        <v>454003.37674867344</v>
      </c>
      <c r="M46" s="69">
        <v>3452.6478183006993</v>
      </c>
      <c r="N46" s="69">
        <v>32118.281524354061</v>
      </c>
      <c r="O46" s="69">
        <v>72120.477598288329</v>
      </c>
      <c r="P46" s="69">
        <v>5313.524799895763</v>
      </c>
      <c r="Q46" s="69">
        <v>45390.548710555806</v>
      </c>
      <c r="R46" s="69">
        <v>61864.821353008134</v>
      </c>
      <c r="S46" s="69">
        <v>8263.0799119781113</v>
      </c>
      <c r="T46" s="69">
        <v>150012.2997459365</v>
      </c>
      <c r="U46" s="69">
        <v>5537.6056347677968</v>
      </c>
      <c r="V46" s="69">
        <v>59302.810055495487</v>
      </c>
      <c r="W46" s="69">
        <v>56517.134498870742</v>
      </c>
      <c r="X46" s="69">
        <v>13600.764987762434</v>
      </c>
      <c r="Y46" s="69">
        <v>28182.979983689005</v>
      </c>
      <c r="Z46" s="69">
        <v>119448.02405272248</v>
      </c>
      <c r="AA46" s="69">
        <v>50058.534013605444</v>
      </c>
      <c r="AB46" s="69">
        <v>172366.69518117295</v>
      </c>
      <c r="AC46" s="69">
        <v>50238.986901946519</v>
      </c>
    </row>
    <row r="47" spans="1:29" s="31" customFormat="1" ht="18" customHeight="1" x14ac:dyDescent="0.2">
      <c r="A47" s="73"/>
      <c r="B47" s="73"/>
      <c r="C47" s="216"/>
      <c r="D47" s="376" t="s">
        <v>101</v>
      </c>
      <c r="E47" s="377"/>
      <c r="F47" s="377"/>
      <c r="G47" s="377"/>
      <c r="H47" s="377"/>
      <c r="I47" s="377"/>
      <c r="J47" s="378"/>
      <c r="K47" s="69">
        <v>455405.43180930102</v>
      </c>
      <c r="L47" s="69">
        <v>770745.53786782443</v>
      </c>
      <c r="M47" s="69">
        <v>444989.27032421541</v>
      </c>
      <c r="N47" s="69">
        <v>337764.41892265691</v>
      </c>
      <c r="O47" s="69">
        <v>589010.61895320809</v>
      </c>
      <c r="P47" s="69">
        <v>410060.77838294068</v>
      </c>
      <c r="Q47" s="69">
        <v>420006.32580911095</v>
      </c>
      <c r="R47" s="69">
        <v>422135.19212606666</v>
      </c>
      <c r="S47" s="69">
        <v>535680.53487700899</v>
      </c>
      <c r="T47" s="69">
        <v>551613.74755331676</v>
      </c>
      <c r="U47" s="69">
        <v>795780.50924669323</v>
      </c>
      <c r="V47" s="69">
        <v>932518.46872066439</v>
      </c>
      <c r="W47" s="69">
        <v>1135160.6068550572</v>
      </c>
      <c r="X47" s="69">
        <v>1289788.2783184496</v>
      </c>
      <c r="Y47" s="69">
        <v>828484.90278426197</v>
      </c>
      <c r="Z47" s="69">
        <v>806215.59265963722</v>
      </c>
      <c r="AA47" s="69">
        <v>987210.96278511407</v>
      </c>
      <c r="AB47" s="69">
        <v>1035231.0608890548</v>
      </c>
      <c r="AC47" s="69">
        <v>891712.31508095318</v>
      </c>
    </row>
    <row r="48" spans="1:29" s="31" customFormat="1" ht="18" customHeight="1" x14ac:dyDescent="0.2">
      <c r="A48" s="73"/>
      <c r="B48" s="73"/>
      <c r="C48" s="217"/>
      <c r="D48" s="387" t="s">
        <v>367</v>
      </c>
      <c r="E48" s="388"/>
      <c r="F48" s="388"/>
      <c r="G48" s="388"/>
      <c r="H48" s="388"/>
      <c r="I48" s="388"/>
      <c r="J48" s="389"/>
      <c r="K48" s="210"/>
      <c r="L48" s="210"/>
      <c r="M48" s="210"/>
      <c r="N48" s="210"/>
      <c r="O48" s="210">
        <v>-3761.6554391340082</v>
      </c>
      <c r="P48" s="210">
        <v>-2292.348901189856</v>
      </c>
      <c r="Q48" s="210">
        <v>-1049.2305182095879</v>
      </c>
      <c r="R48" s="210">
        <v>-2310.8404218963688</v>
      </c>
      <c r="S48" s="210">
        <v>-384.6963596800905</v>
      </c>
      <c r="T48" s="210">
        <v>-853.91856940844787</v>
      </c>
      <c r="U48" s="210">
        <v>-4547.2167932915299</v>
      </c>
      <c r="V48" s="210">
        <v>-7979.6146986555113</v>
      </c>
      <c r="W48" s="210">
        <v>-8396.8971977586098</v>
      </c>
      <c r="X48" s="210">
        <v>-58448.514496987176</v>
      </c>
      <c r="Y48" s="210">
        <v>-8069.5854542281058</v>
      </c>
      <c r="Z48" s="210">
        <v>-24059.578220408079</v>
      </c>
      <c r="AA48" s="210">
        <v>-7016.9911964785915</v>
      </c>
      <c r="AB48" s="210">
        <v>-42072.714232349645</v>
      </c>
      <c r="AC48" s="210">
        <v>-9547.8886665453883</v>
      </c>
    </row>
    <row r="49" spans="1:29" s="31" customFormat="1" ht="18" customHeight="1" x14ac:dyDescent="0.2">
      <c r="A49" s="74"/>
      <c r="B49" s="74"/>
      <c r="C49" s="391" t="s">
        <v>102</v>
      </c>
      <c r="D49" s="392"/>
      <c r="E49" s="392"/>
      <c r="F49" s="392"/>
      <c r="G49" s="392"/>
      <c r="H49" s="392"/>
      <c r="I49" s="392"/>
      <c r="J49" s="393"/>
      <c r="K49" s="71">
        <v>39680.9300508011</v>
      </c>
      <c r="L49" s="71">
        <v>18374.577906415823</v>
      </c>
      <c r="M49" s="71">
        <v>78993.288156096009</v>
      </c>
      <c r="N49" s="71">
        <v>47790.571110066958</v>
      </c>
      <c r="O49" s="71">
        <v>96204.42033204349</v>
      </c>
      <c r="P49" s="71">
        <v>61164.164189587194</v>
      </c>
      <c r="Q49" s="71">
        <v>67118.431903273289</v>
      </c>
      <c r="R49" s="71">
        <v>23437.617326103511</v>
      </c>
      <c r="S49" s="71">
        <v>81331.326880575798</v>
      </c>
      <c r="T49" s="71">
        <v>29724.514222842274</v>
      </c>
      <c r="U49" s="71">
        <v>30524.703172218808</v>
      </c>
      <c r="V49" s="71">
        <v>52101.691741911636</v>
      </c>
      <c r="W49" s="71">
        <v>52783.764491671216</v>
      </c>
      <c r="X49" s="71">
        <v>31465.881147710214</v>
      </c>
      <c r="Y49" s="71">
        <v>126631.01727310987</v>
      </c>
      <c r="Z49" s="71">
        <v>25991.705240017967</v>
      </c>
      <c r="AA49" s="71">
        <v>160463.77430972364</v>
      </c>
      <c r="AB49" s="71">
        <v>32179.554912215332</v>
      </c>
      <c r="AC49" s="71">
        <v>38521.512097507832</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１６　化学工業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188081.52436082973</v>
      </c>
      <c r="E5" s="179">
        <f>PL!M38</f>
        <v>37626.65341626251</v>
      </c>
      <c r="F5" s="179">
        <f>PL!N38</f>
        <v>-66559.98295911937</v>
      </c>
      <c r="G5" s="179">
        <f>PL!O38</f>
        <v>48925.206147699799</v>
      </c>
      <c r="H5" s="179">
        <f>PL!P38</f>
        <v>9784.896796626912</v>
      </c>
      <c r="I5" s="179">
        <f>PL!Q38</f>
        <v>29490.480118135019</v>
      </c>
      <c r="J5" s="179">
        <f>PL!R38</f>
        <v>40646.889696761682</v>
      </c>
      <c r="K5" s="179">
        <f>PL!S38</f>
        <v>35017.523582025831</v>
      </c>
      <c r="L5" s="179">
        <f>PL!T38</f>
        <v>71632.75866834895</v>
      </c>
      <c r="M5" s="179">
        <f>PL!U38</f>
        <v>56732.43026997034</v>
      </c>
      <c r="N5" s="179">
        <f>PL!V38</f>
        <v>45780.98743647369</v>
      </c>
      <c r="O5" s="179">
        <f>PL!W38</f>
        <v>63365.397796625366</v>
      </c>
      <c r="P5" s="179">
        <f>PL!X38</f>
        <v>90907.121801878064</v>
      </c>
      <c r="Q5" s="179">
        <f>PL!Y38</f>
        <v>76839.41727238649</v>
      </c>
      <c r="R5" s="179">
        <f>PL!Z38</f>
        <v>82418.284699908851</v>
      </c>
      <c r="S5" s="179">
        <f>PL!AA38</f>
        <v>73017.917567026816</v>
      </c>
      <c r="T5" s="179">
        <f>PL!AB38</f>
        <v>85285.503548748602</v>
      </c>
      <c r="U5" s="179">
        <f>PL!AC38</f>
        <v>91139.5346552665</v>
      </c>
    </row>
    <row r="6" spans="1:21" ht="15.75" customHeight="1" x14ac:dyDescent="0.2">
      <c r="A6" s="186"/>
      <c r="B6" s="228" t="s">
        <v>459</v>
      </c>
      <c r="C6" s="180" t="s">
        <v>492</v>
      </c>
      <c r="D6" s="181">
        <f>PL!L13+PL!L24</f>
        <v>69681.862035697064</v>
      </c>
      <c r="E6" s="181">
        <f>PL!M13+PL!M24</f>
        <v>23169.512874227559</v>
      </c>
      <c r="F6" s="181">
        <f>PL!N13+PL!N24</f>
        <v>26307.370454108095</v>
      </c>
      <c r="G6" s="181">
        <f>PL!O13+PL!O24</f>
        <v>40099.503311262924</v>
      </c>
      <c r="H6" s="181">
        <f>PL!P13+PL!P24</f>
        <v>35882.655956081777</v>
      </c>
      <c r="I6" s="181">
        <f>PL!Q13+PL!Q24</f>
        <v>38533.813391488431</v>
      </c>
      <c r="J6" s="181">
        <f>PL!R13+PL!R24</f>
        <v>54535.973347402673</v>
      </c>
      <c r="K6" s="181">
        <f>PL!S13+PL!S24</f>
        <v>45317.356993744055</v>
      </c>
      <c r="L6" s="181">
        <f>PL!T13+PL!T24</f>
        <v>36989.444346277691</v>
      </c>
      <c r="M6" s="181">
        <f>PL!U13+PL!U24</f>
        <v>63029.26262240448</v>
      </c>
      <c r="N6" s="181">
        <f>PL!V13+PL!V24</f>
        <v>42215.333219294189</v>
      </c>
      <c r="O6" s="181">
        <f>PL!W13+PL!W24</f>
        <v>60536.77592429112</v>
      </c>
      <c r="P6" s="181">
        <f>PL!X13+PL!X24</f>
        <v>63305.963571044624</v>
      </c>
      <c r="Q6" s="181">
        <f>PL!Y13+PL!Y24</f>
        <v>50200.894491112027</v>
      </c>
      <c r="R6" s="181">
        <f>PL!Z13+PL!Z24</f>
        <v>58155.989277551533</v>
      </c>
      <c r="S6" s="181">
        <f>PL!AA13+PL!AA24</f>
        <v>67038.451580632245</v>
      </c>
      <c r="T6" s="181">
        <f>PL!AB13+PL!AB24</f>
        <v>61073.238700037356</v>
      </c>
      <c r="U6" s="181">
        <f>PL!AC13+PL!AC24</f>
        <v>49972.164089503363</v>
      </c>
    </row>
    <row r="7" spans="1:21" ht="15.75" customHeight="1" x14ac:dyDescent="0.2">
      <c r="A7" s="186"/>
      <c r="B7" s="228" t="s">
        <v>460</v>
      </c>
      <c r="C7" s="180" t="s">
        <v>493</v>
      </c>
      <c r="D7" s="181">
        <f>PL!L30</f>
        <v>20518.57211770381</v>
      </c>
      <c r="E7" s="181">
        <f>PL!M30</f>
        <v>16317.974730867199</v>
      </c>
      <c r="F7" s="181">
        <f>PL!N30</f>
        <v>14054.480558953188</v>
      </c>
      <c r="G7" s="181">
        <f>PL!O30</f>
        <v>23134.060750861867</v>
      </c>
      <c r="H7" s="181">
        <f>PL!P30</f>
        <v>16734.284669212804</v>
      </c>
      <c r="I7" s="181">
        <f>PL!Q30</f>
        <v>19060.710709474479</v>
      </c>
      <c r="J7" s="181">
        <f>PL!R30</f>
        <v>15898.55136133282</v>
      </c>
      <c r="K7" s="181">
        <f>PL!S30</f>
        <v>12627.266739274335</v>
      </c>
      <c r="L7" s="181">
        <f>PL!T30</f>
        <v>14040.139790484025</v>
      </c>
      <c r="M7" s="181">
        <f>PL!U30</f>
        <v>23776.483217479155</v>
      </c>
      <c r="N7" s="181">
        <f>PL!V30</f>
        <v>24981.224208311363</v>
      </c>
      <c r="O7" s="181">
        <f>PL!W30</f>
        <v>20502.087411720586</v>
      </c>
      <c r="P7" s="181">
        <f>PL!X30</f>
        <v>24383.796326090713</v>
      </c>
      <c r="Q7" s="181">
        <f>PL!Y30</f>
        <v>21212.020075560587</v>
      </c>
      <c r="R7" s="181">
        <f>PL!Z30</f>
        <v>22666.378529938444</v>
      </c>
      <c r="S7" s="181">
        <f>PL!AA30</f>
        <v>20952.090636254499</v>
      </c>
      <c r="T7" s="181">
        <f>PL!AB30</f>
        <v>26418.127381397087</v>
      </c>
      <c r="U7" s="181">
        <f>PL!AC30</f>
        <v>25677.731126068767</v>
      </c>
    </row>
    <row r="8" spans="1:21" ht="15.75" customHeight="1" x14ac:dyDescent="0.2">
      <c r="A8" s="186"/>
      <c r="B8" s="228" t="s">
        <v>461</v>
      </c>
      <c r="C8" s="180" t="s">
        <v>494</v>
      </c>
      <c r="D8" s="181">
        <f>PL!L31</f>
        <v>22678.967679691268</v>
      </c>
      <c r="E8" s="181">
        <f>PL!M31</f>
        <v>12367.377255374375</v>
      </c>
      <c r="F8" s="181">
        <f>PL!N31</f>
        <v>12178.839354628084</v>
      </c>
      <c r="G8" s="181">
        <f>PL!O31</f>
        <v>20198.357981325797</v>
      </c>
      <c r="H8" s="181">
        <f>PL!P31</f>
        <v>20729.543241949683</v>
      </c>
      <c r="I8" s="181">
        <f>PL!Q31</f>
        <v>16392.625896928956</v>
      </c>
      <c r="J8" s="181">
        <f>PL!R31</f>
        <v>14568.274766021183</v>
      </c>
      <c r="K8" s="181">
        <f>PL!S31</f>
        <v>18820.528903077437</v>
      </c>
      <c r="L8" s="181">
        <f>PL!T31</f>
        <v>14084.434032020819</v>
      </c>
      <c r="M8" s="181">
        <f>PL!U31</f>
        <v>11864.273546112656</v>
      </c>
      <c r="N8" s="181">
        <f>PL!V31</f>
        <v>9127.6439531081924</v>
      </c>
      <c r="O8" s="181">
        <f>PL!W31</f>
        <v>11880.599596868235</v>
      </c>
      <c r="P8" s="181">
        <f>PL!X31</f>
        <v>12733.140497397833</v>
      </c>
      <c r="Q8" s="181">
        <f>PL!Y31</f>
        <v>10478.534942598248</v>
      </c>
      <c r="R8" s="181">
        <f>PL!Z31</f>
        <v>10426.175313222901</v>
      </c>
      <c r="S8" s="181">
        <f>PL!AA31</f>
        <v>8934.8889555822334</v>
      </c>
      <c r="T8" s="181">
        <f>PL!AB31</f>
        <v>10791.22189017557</v>
      </c>
      <c r="U8" s="181">
        <f>PL!AC31</f>
        <v>6791.4267782426778</v>
      </c>
    </row>
    <row r="9" spans="1:21" ht="15.75" customHeight="1" x14ac:dyDescent="0.2">
      <c r="A9" s="186"/>
      <c r="B9" s="228" t="s">
        <v>462</v>
      </c>
      <c r="C9" s="180" t="s">
        <v>491</v>
      </c>
      <c r="D9" s="181">
        <f>PL!L36-PL!L35</f>
        <v>0</v>
      </c>
      <c r="E9" s="181">
        <f>PL!M36-PL!M35</f>
        <v>0</v>
      </c>
      <c r="F9" s="181">
        <f>PL!N36-PL!N35</f>
        <v>0</v>
      </c>
      <c r="G9" s="181">
        <f>PL!O36-PL!O35</f>
        <v>5975.7004019614924</v>
      </c>
      <c r="H9" s="181">
        <f>PL!P36-PL!P35</f>
        <v>5001.8410284774664</v>
      </c>
      <c r="I9" s="181">
        <f>PL!Q36-PL!Q35</f>
        <v>6991.3609722327255</v>
      </c>
      <c r="J9" s="181">
        <f>PL!R36-PL!R35</f>
        <v>8425.9670064421753</v>
      </c>
      <c r="K9" s="181">
        <f>PL!S36-PL!S35</f>
        <v>1820.789191079386</v>
      </c>
      <c r="L9" s="181">
        <f>PL!T36-PL!T35</f>
        <v>7031.5792886748404</v>
      </c>
      <c r="M9" s="181">
        <f>PL!U36-PL!U35</f>
        <v>8040.1032309420407</v>
      </c>
      <c r="N9" s="181">
        <f>PL!V36-PL!V35</f>
        <v>15802.136036891048</v>
      </c>
      <c r="O9" s="181">
        <f>PL!W36-PL!W35</f>
        <v>8876.2288080339549</v>
      </c>
      <c r="P9" s="181">
        <f>PL!X36-PL!X35</f>
        <v>23482.099976220052</v>
      </c>
      <c r="Q9" s="181">
        <f>PL!Y36-PL!Y35</f>
        <v>7238.3702317035795</v>
      </c>
      <c r="R9" s="181">
        <f>PL!Z36-PL!Z35</f>
        <v>0</v>
      </c>
      <c r="S9" s="181">
        <f>PL!AA36-PL!AA35</f>
        <v>0</v>
      </c>
      <c r="T9" s="181">
        <f>PL!AB36-PL!AB35</f>
        <v>0</v>
      </c>
      <c r="U9" s="181">
        <f>PL!AC36-PL!AC35</f>
        <v>0</v>
      </c>
    </row>
    <row r="10" spans="1:21" ht="15.75" customHeight="1" x14ac:dyDescent="0.2">
      <c r="A10" s="186"/>
      <c r="B10" s="228" t="s">
        <v>463</v>
      </c>
      <c r="C10" s="180" t="s">
        <v>495</v>
      </c>
      <c r="D10" s="181">
        <f>BS!L11</f>
        <v>569337.19247467432</v>
      </c>
      <c r="E10" s="181">
        <f>BS!M11</f>
        <v>411673.60794815019</v>
      </c>
      <c r="F10" s="181">
        <f>BS!N11</f>
        <v>239987.40818996413</v>
      </c>
      <c r="G10" s="181">
        <f>BS!O11</f>
        <v>350314.50339612231</v>
      </c>
      <c r="H10" s="181">
        <f>BS!P11</f>
        <v>312392.33846218232</v>
      </c>
      <c r="I10" s="181">
        <f>BS!Q11</f>
        <v>277993.09352705744</v>
      </c>
      <c r="J10" s="181">
        <f>BS!R11</f>
        <v>243525.53814181488</v>
      </c>
      <c r="K10" s="181">
        <f>BS!S11</f>
        <v>255093.43225517398</v>
      </c>
      <c r="L10" s="181">
        <f>BS!T11</f>
        <v>484921.38685299264</v>
      </c>
      <c r="M10" s="181">
        <f>BS!U11</f>
        <v>345056.90277364803</v>
      </c>
      <c r="N10" s="181">
        <f>BS!V11</f>
        <v>378227.58770964138</v>
      </c>
      <c r="O10" s="181">
        <f>BS!W11</f>
        <v>342501.24550482811</v>
      </c>
      <c r="P10" s="181">
        <f>BS!X11</f>
        <v>399723.89041481505</v>
      </c>
      <c r="Q10" s="181">
        <f>BS!Y11</f>
        <v>302090.48588500376</v>
      </c>
      <c r="R10" s="181">
        <f>BS!Z11</f>
        <v>300878.15896599734</v>
      </c>
      <c r="S10" s="181">
        <f>BS!AA11</f>
        <v>376550.76430572226</v>
      </c>
      <c r="T10" s="181">
        <f>BS!AB11</f>
        <v>295634.67407545762</v>
      </c>
      <c r="U10" s="181">
        <f>BS!AC11</f>
        <v>312004.35801346193</v>
      </c>
    </row>
    <row r="11" spans="1:21" ht="15.75" customHeight="1" x14ac:dyDescent="0.2">
      <c r="A11" s="186"/>
      <c r="B11" s="228" t="s">
        <v>465</v>
      </c>
      <c r="C11" s="180" t="s">
        <v>496</v>
      </c>
      <c r="D11" s="181">
        <f>BS!K11</f>
        <v>312960.92223524803</v>
      </c>
      <c r="E11" s="181">
        <f>BS!L11</f>
        <v>569337.19247467432</v>
      </c>
      <c r="F11" s="181">
        <f>BS!M11</f>
        <v>411673.60794815019</v>
      </c>
      <c r="G11" s="181">
        <f>BS!N11</f>
        <v>239987.40818996413</v>
      </c>
      <c r="H11" s="181">
        <f>BS!O11</f>
        <v>350314.50339612231</v>
      </c>
      <c r="I11" s="181">
        <f>BS!P11</f>
        <v>312392.33846218232</v>
      </c>
      <c r="J11" s="181">
        <f>BS!Q11</f>
        <v>277993.09352705744</v>
      </c>
      <c r="K11" s="181">
        <f>BS!R11</f>
        <v>243525.53814181488</v>
      </c>
      <c r="L11" s="181">
        <f>BS!S11</f>
        <v>255093.43225517398</v>
      </c>
      <c r="M11" s="181">
        <f>BS!T11</f>
        <v>484921.38685299264</v>
      </c>
      <c r="N11" s="181">
        <f>BS!U11</f>
        <v>345056.90277364803</v>
      </c>
      <c r="O11" s="181">
        <f>BS!V11</f>
        <v>378227.58770964138</v>
      </c>
      <c r="P11" s="181">
        <f>BS!W11</f>
        <v>342501.24550482811</v>
      </c>
      <c r="Q11" s="181">
        <f>BS!X11</f>
        <v>399723.89041481505</v>
      </c>
      <c r="R11" s="181">
        <f>BS!Y11</f>
        <v>302090.48588500376</v>
      </c>
      <c r="S11" s="181">
        <f>BS!Z11</f>
        <v>300878.15896599734</v>
      </c>
      <c r="T11" s="181">
        <f>BS!AA11</f>
        <v>376550.76430572226</v>
      </c>
      <c r="U11" s="181">
        <f>BS!AB11</f>
        <v>295634.67407545762</v>
      </c>
    </row>
    <row r="12" spans="1:21" ht="15.75" customHeight="1" x14ac:dyDescent="0.2">
      <c r="A12" s="186"/>
      <c r="B12" s="228" t="s">
        <v>466</v>
      </c>
      <c r="C12" s="180" t="s">
        <v>493</v>
      </c>
      <c r="D12" s="181">
        <f>BS!L13-BS!K13</f>
        <v>102212.16031045033</v>
      </c>
      <c r="E12" s="181">
        <f>BS!M13-BS!L13</f>
        <v>-161635.45004809205</v>
      </c>
      <c r="F12" s="181">
        <f>BS!N13-BS!M13</f>
        <v>45908.633067552961</v>
      </c>
      <c r="G12" s="181">
        <f>BS!O13-BS!N13</f>
        <v>69448.563965556357</v>
      </c>
      <c r="H12" s="181">
        <f>BS!P13-BS!O13</f>
        <v>-58820.965870379645</v>
      </c>
      <c r="I12" s="181">
        <f>BS!Q13-BS!P13</f>
        <v>10090.353729822382</v>
      </c>
      <c r="J12" s="181">
        <f>BS!R13-BS!Q13</f>
        <v>23773.419130028022</v>
      </c>
      <c r="K12" s="181">
        <f>BS!S13-BS!R13</f>
        <v>10425.515466685989</v>
      </c>
      <c r="L12" s="181">
        <f>BS!T13-BS!S13</f>
        <v>160433.38653694373</v>
      </c>
      <c r="M12" s="181">
        <f>BS!U13-BS!T13</f>
        <v>-83983.804863854893</v>
      </c>
      <c r="N12" s="181">
        <f>BS!V13-BS!U13</f>
        <v>-24093.279055051447</v>
      </c>
      <c r="O12" s="181">
        <f>BS!W13-BS!V13</f>
        <v>-103813.3086232988</v>
      </c>
      <c r="P12" s="181">
        <f>BS!X13-BS!W13</f>
        <v>87931.301289283991</v>
      </c>
      <c r="Q12" s="181">
        <f>BS!Y13-BS!X13</f>
        <v>-63861.569135498547</v>
      </c>
      <c r="R12" s="181">
        <f>BS!Z13-BS!Y13</f>
        <v>72054.063207703468</v>
      </c>
      <c r="S12" s="181">
        <f>BS!AA13-BS!Z13</f>
        <v>59387.046482510748</v>
      </c>
      <c r="T12" s="181">
        <f>BS!AB13-BS!AA13</f>
        <v>-33007.128648620448</v>
      </c>
      <c r="U12" s="181">
        <f>BS!AC13-BS!AB13</f>
        <v>-76847.790151098801</v>
      </c>
    </row>
    <row r="13" spans="1:21" ht="15.75" customHeight="1" x14ac:dyDescent="0.2">
      <c r="A13" s="186"/>
      <c r="B13" s="228" t="s">
        <v>467</v>
      </c>
      <c r="C13" s="180" t="s">
        <v>493</v>
      </c>
      <c r="D13" s="181">
        <f>BS!L14</f>
        <v>319324.65026531601</v>
      </c>
      <c r="E13" s="181">
        <f>BS!M14</f>
        <v>44836.899791545817</v>
      </c>
      <c r="F13" s="181">
        <f>BS!N14</f>
        <v>40175.669428370595</v>
      </c>
      <c r="G13" s="181">
        <f>BS!O14</f>
        <v>46186.90396397197</v>
      </c>
      <c r="H13" s="181">
        <f>BS!P14</f>
        <v>56006.223025111933</v>
      </c>
      <c r="I13" s="181">
        <f>BS!Q14</f>
        <v>45702.081454773441</v>
      </c>
      <c r="J13" s="181">
        <f>BS!R14</f>
        <v>59556.64520722122</v>
      </c>
      <c r="K13" s="181">
        <f>BS!S14</f>
        <v>86199.660414376995</v>
      </c>
      <c r="L13" s="181">
        <f>BS!T14</f>
        <v>94118.529937800951</v>
      </c>
      <c r="M13" s="181">
        <f>BS!U14</f>
        <v>149212.06143022733</v>
      </c>
      <c r="N13" s="181">
        <f>BS!V14</f>
        <v>90688.820668259432</v>
      </c>
      <c r="O13" s="181">
        <f>BS!W14</f>
        <v>310887.16856165009</v>
      </c>
      <c r="P13" s="181">
        <f>BS!X14</f>
        <v>68073.010233214154</v>
      </c>
      <c r="Q13" s="181">
        <f>BS!Y14</f>
        <v>67516.543750697543</v>
      </c>
      <c r="R13" s="181">
        <f>BS!Z14</f>
        <v>101103.2760064532</v>
      </c>
      <c r="S13" s="181">
        <f>BS!AA14</f>
        <v>164399.66926770704</v>
      </c>
      <c r="T13" s="181">
        <f>BS!AB14</f>
        <v>96848.1172954801</v>
      </c>
      <c r="U13" s="181">
        <f>BS!AC14</f>
        <v>108028.2956157903</v>
      </c>
    </row>
    <row r="14" spans="1:21" ht="15.75" customHeight="1" x14ac:dyDescent="0.2">
      <c r="A14" s="186"/>
      <c r="B14" s="228" t="s">
        <v>468</v>
      </c>
      <c r="C14" s="180" t="s">
        <v>497</v>
      </c>
      <c r="D14" s="181">
        <f>BS!L28</f>
        <v>410.75735648818141</v>
      </c>
      <c r="E14" s="181">
        <f>BS!M28</f>
        <v>4753.8441148561615</v>
      </c>
      <c r="F14" s="181">
        <f>BS!N28</f>
        <v>1903.6190723206448</v>
      </c>
      <c r="G14" s="181">
        <f>BS!O28</f>
        <v>14878.572918337182</v>
      </c>
      <c r="H14" s="181">
        <f>BS!P28</f>
        <v>925.92185133802775</v>
      </c>
      <c r="I14" s="181">
        <f>BS!Q28</f>
        <v>4105.9223618758833</v>
      </c>
      <c r="J14" s="181">
        <f>BS!R28</f>
        <v>898.84158488033404</v>
      </c>
      <c r="K14" s="181">
        <f>BS!S28</f>
        <v>1272.2431176627024</v>
      </c>
      <c r="L14" s="181">
        <f>BS!T28</f>
        <v>1338.6318449726789</v>
      </c>
      <c r="M14" s="181">
        <f>BS!U28</f>
        <v>4624.9520755336289</v>
      </c>
      <c r="N14" s="181">
        <f>BS!V28</f>
        <v>4634.1337183613769</v>
      </c>
      <c r="O14" s="181">
        <f>BS!W28</f>
        <v>1217.6043646696528</v>
      </c>
      <c r="P14" s="181">
        <f>BS!X28</f>
        <v>2716.7406319121187</v>
      </c>
      <c r="Q14" s="181">
        <f>BS!Y28</f>
        <v>1778.111241236327</v>
      </c>
      <c r="R14" s="181">
        <f>BS!Z28</f>
        <v>5670.1385158153807</v>
      </c>
      <c r="S14" s="181">
        <f>BS!AA28</f>
        <v>2726.6822729091641</v>
      </c>
      <c r="T14" s="181">
        <f>BS!AB28</f>
        <v>2531.6382144191257</v>
      </c>
      <c r="U14" s="181">
        <f>BS!AC28</f>
        <v>2742.1871930143716</v>
      </c>
    </row>
    <row r="15" spans="1:21" ht="15.75" customHeight="1" x14ac:dyDescent="0.2">
      <c r="A15" s="186"/>
      <c r="B15" s="228" t="s">
        <v>469</v>
      </c>
      <c r="C15" s="180" t="s">
        <v>496</v>
      </c>
      <c r="D15" s="181">
        <f>BS!K14</f>
        <v>39298.163345056702</v>
      </c>
      <c r="E15" s="181">
        <f>BS!L14</f>
        <v>319324.65026531601</v>
      </c>
      <c r="F15" s="181">
        <f>BS!M14</f>
        <v>44836.899791545817</v>
      </c>
      <c r="G15" s="181">
        <f>BS!N14</f>
        <v>40175.669428370595</v>
      </c>
      <c r="H15" s="181">
        <f>BS!O14</f>
        <v>46186.90396397197</v>
      </c>
      <c r="I15" s="181">
        <f>BS!P14</f>
        <v>56006.223025111933</v>
      </c>
      <c r="J15" s="181">
        <f>BS!Q14</f>
        <v>45702.081454773441</v>
      </c>
      <c r="K15" s="181">
        <f>BS!R14</f>
        <v>59556.64520722122</v>
      </c>
      <c r="L15" s="181">
        <f>BS!S14</f>
        <v>86199.660414376995</v>
      </c>
      <c r="M15" s="181">
        <f>BS!T14</f>
        <v>94118.529937800951</v>
      </c>
      <c r="N15" s="181">
        <f>BS!U14</f>
        <v>149212.06143022733</v>
      </c>
      <c r="O15" s="181">
        <f>BS!V14</f>
        <v>90688.820668259432</v>
      </c>
      <c r="P15" s="181">
        <f>BS!W14</f>
        <v>310887.16856165009</v>
      </c>
      <c r="Q15" s="181">
        <f>BS!X14</f>
        <v>68073.010233214154</v>
      </c>
      <c r="R15" s="181">
        <f>BS!Y14</f>
        <v>67516.543750697543</v>
      </c>
      <c r="S15" s="181">
        <f>BS!Z14</f>
        <v>101103.2760064532</v>
      </c>
      <c r="T15" s="181">
        <f>BS!AA14</f>
        <v>164399.66926770704</v>
      </c>
      <c r="U15" s="181">
        <f>BS!AB14</f>
        <v>96848.1172954801</v>
      </c>
    </row>
    <row r="16" spans="1:21" ht="15.75" customHeight="1" x14ac:dyDescent="0.2">
      <c r="A16" s="186"/>
      <c r="B16" s="228" t="s">
        <v>470</v>
      </c>
      <c r="C16" s="180" t="s">
        <v>464</v>
      </c>
      <c r="D16" s="181">
        <f>BS!K28</f>
        <v>4579.9140289175502</v>
      </c>
      <c r="E16" s="181">
        <f>BS!L28</f>
        <v>410.75735648818141</v>
      </c>
      <c r="F16" s="181">
        <f>BS!M28</f>
        <v>4753.8441148561615</v>
      </c>
      <c r="G16" s="181">
        <f>BS!N28</f>
        <v>1903.6190723206448</v>
      </c>
      <c r="H16" s="181">
        <f>BS!O28</f>
        <v>14878.572918337182</v>
      </c>
      <c r="I16" s="181">
        <f>BS!P28</f>
        <v>925.92185133802775</v>
      </c>
      <c r="J16" s="181">
        <f>BS!Q28</f>
        <v>4105.9223618758833</v>
      </c>
      <c r="K16" s="181">
        <f>BS!R28</f>
        <v>898.84158488033404</v>
      </c>
      <c r="L16" s="181">
        <f>BS!S28</f>
        <v>1272.2431176627024</v>
      </c>
      <c r="M16" s="181">
        <f>BS!T28</f>
        <v>1338.6318449726789</v>
      </c>
      <c r="N16" s="181">
        <f>BS!U28</f>
        <v>4624.9520755336289</v>
      </c>
      <c r="O16" s="181">
        <f>BS!V28</f>
        <v>4634.1337183613769</v>
      </c>
      <c r="P16" s="181">
        <f>BS!W28</f>
        <v>1217.6043646696528</v>
      </c>
      <c r="Q16" s="181">
        <f>BS!X28</f>
        <v>2716.7406319121187</v>
      </c>
      <c r="R16" s="181">
        <f>BS!Y28</f>
        <v>1778.111241236327</v>
      </c>
      <c r="S16" s="181">
        <f>BS!Z28</f>
        <v>5670.1385158153807</v>
      </c>
      <c r="T16" s="181">
        <f>BS!AA28</f>
        <v>2726.6822729091641</v>
      </c>
      <c r="U16" s="181">
        <f>BS!AB28</f>
        <v>2531.6382144191257</v>
      </c>
    </row>
    <row r="17" spans="1:21" ht="15.75" customHeight="1" x14ac:dyDescent="0.2">
      <c r="A17" s="186"/>
      <c r="B17" s="228" t="s">
        <v>471</v>
      </c>
      <c r="C17" s="180" t="s">
        <v>499</v>
      </c>
      <c r="D17" s="181">
        <f>BS!L32</f>
        <v>344533.28509406658</v>
      </c>
      <c r="E17" s="181">
        <f>BS!M32</f>
        <v>279997.98318656458</v>
      </c>
      <c r="F17" s="181">
        <f>BS!N32</f>
        <v>176002.45352979595</v>
      </c>
      <c r="G17" s="181">
        <f>BS!O32</f>
        <v>255668.60579326755</v>
      </c>
      <c r="H17" s="181">
        <f>BS!P32</f>
        <v>154735.07870002009</v>
      </c>
      <c r="I17" s="181">
        <f>BS!Q32</f>
        <v>147202.74524100902</v>
      </c>
      <c r="J17" s="181">
        <f>BS!R32</f>
        <v>177502.83197297991</v>
      </c>
      <c r="K17" s="181">
        <f>BS!S32</f>
        <v>169065.45068558052</v>
      </c>
      <c r="L17" s="181">
        <f>BS!T32</f>
        <v>452721.28110792168</v>
      </c>
      <c r="M17" s="181">
        <f>BS!U32</f>
        <v>215966.96604366618</v>
      </c>
      <c r="N17" s="181">
        <f>BS!V32</f>
        <v>229028.18934019085</v>
      </c>
      <c r="O17" s="181">
        <f>BS!W32</f>
        <v>207975.74151727682</v>
      </c>
      <c r="P17" s="181">
        <f>BS!X32</f>
        <v>236455.34293059475</v>
      </c>
      <c r="Q17" s="181">
        <f>BS!Y32</f>
        <v>193901.31551370901</v>
      </c>
      <c r="R17" s="181">
        <f>BS!Z32</f>
        <v>256744.22797625602</v>
      </c>
      <c r="S17" s="181">
        <f>BS!AA32</f>
        <v>228008.54361744694</v>
      </c>
      <c r="T17" s="181">
        <f>BS!AB32</f>
        <v>182902.77754949572</v>
      </c>
      <c r="U17" s="181">
        <f>BS!AC32</f>
        <v>250876.03019828995</v>
      </c>
    </row>
    <row r="18" spans="1:21" ht="15.75" customHeight="1" x14ac:dyDescent="0.2">
      <c r="A18" s="186"/>
      <c r="B18" s="228" t="s">
        <v>472</v>
      </c>
      <c r="C18" s="180" t="s">
        <v>498</v>
      </c>
      <c r="D18" s="181">
        <f>BS!K32</f>
        <v>221854.63071512297</v>
      </c>
      <c r="E18" s="181">
        <f>BS!L32</f>
        <v>344533.28509406658</v>
      </c>
      <c r="F18" s="181">
        <f>BS!M32</f>
        <v>279997.98318656458</v>
      </c>
      <c r="G18" s="181">
        <f>BS!N32</f>
        <v>176002.45352979595</v>
      </c>
      <c r="H18" s="181">
        <f>BS!O32</f>
        <v>255668.60579326755</v>
      </c>
      <c r="I18" s="181">
        <f>BS!P32</f>
        <v>154735.07870002009</v>
      </c>
      <c r="J18" s="181">
        <f>BS!Q32</f>
        <v>147202.74524100902</v>
      </c>
      <c r="K18" s="181">
        <f>BS!R32</f>
        <v>177502.83197297991</v>
      </c>
      <c r="L18" s="181">
        <f>BS!S32</f>
        <v>169065.45068558052</v>
      </c>
      <c r="M18" s="181">
        <f>BS!T32</f>
        <v>452721.28110792168</v>
      </c>
      <c r="N18" s="181">
        <f>BS!U32</f>
        <v>215966.96604366618</v>
      </c>
      <c r="O18" s="181">
        <f>BS!V32</f>
        <v>229028.18934019085</v>
      </c>
      <c r="P18" s="181">
        <f>BS!W32</f>
        <v>207975.74151727682</v>
      </c>
      <c r="Q18" s="181">
        <f>BS!X32</f>
        <v>236455.34293059475</v>
      </c>
      <c r="R18" s="181">
        <f>BS!Y32</f>
        <v>193901.31551370901</v>
      </c>
      <c r="S18" s="181">
        <f>BS!Z32</f>
        <v>256744.22797625602</v>
      </c>
      <c r="T18" s="181">
        <f>BS!AA32</f>
        <v>228008.54361744694</v>
      </c>
      <c r="U18" s="181">
        <f>BS!AB32</f>
        <v>182902.77754949572</v>
      </c>
    </row>
    <row r="19" spans="1:21" ht="15.75" customHeight="1" x14ac:dyDescent="0.2">
      <c r="A19" s="186"/>
      <c r="B19" s="228" t="s">
        <v>473</v>
      </c>
      <c r="C19" s="180" t="s">
        <v>494</v>
      </c>
      <c r="D19" s="181">
        <f>BS!L36+BS!L42</f>
        <v>304970.33285094064</v>
      </c>
      <c r="E19" s="181">
        <f>BS!M36+BS!M42</f>
        <v>95627.649734461127</v>
      </c>
      <c r="F19" s="181">
        <f>BS!N36+BS!N42</f>
        <v>105575.95624501607</v>
      </c>
      <c r="G19" s="181">
        <f>BS!O36+BS!O42</f>
        <v>116130.27281930124</v>
      </c>
      <c r="H19" s="181">
        <f>BS!P36+BS!P42</f>
        <v>134927.62955044856</v>
      </c>
      <c r="I19" s="181">
        <f>BS!Q36+BS!Q42</f>
        <v>135899.78437675783</v>
      </c>
      <c r="J19" s="181">
        <f>BS!R36+BS!R42</f>
        <v>195502.18030086753</v>
      </c>
      <c r="K19" s="181">
        <f>BS!S36+BS!S42</f>
        <v>197962.69326263154</v>
      </c>
      <c r="L19" s="181">
        <f>BS!T36+BS!T42</f>
        <v>119050.66991161728</v>
      </c>
      <c r="M19" s="181">
        <f>BS!U36+BS!U42</f>
        <v>168153.23445081414</v>
      </c>
      <c r="N19" s="181">
        <f>BS!V36+BS!V42</f>
        <v>200199.89278730727</v>
      </c>
      <c r="O19" s="181">
        <f>BS!W36+BS!W42</f>
        <v>253151.654916069</v>
      </c>
      <c r="P19" s="181">
        <f>BS!X36+BS!X42</f>
        <v>253641.82790426322</v>
      </c>
      <c r="Q19" s="181">
        <f>BS!Y36+BS!Y42</f>
        <v>247924.42946774198</v>
      </c>
      <c r="R19" s="181">
        <f>BS!Z36+BS!Z42</f>
        <v>170036.29813562764</v>
      </c>
      <c r="S19" s="181">
        <f>BS!AA36+BS!AA42</f>
        <v>258085.06102440978</v>
      </c>
      <c r="T19" s="181">
        <f>BS!AB36+BS!AB42</f>
        <v>193204.61468061255</v>
      </c>
      <c r="U19" s="181">
        <f>BS!AC36+BS!AC42</f>
        <v>153284.90103692928</v>
      </c>
    </row>
    <row r="20" spans="1:21" ht="15.75" customHeight="1" x14ac:dyDescent="0.2">
      <c r="A20" s="186"/>
      <c r="B20" s="229" t="s">
        <v>474</v>
      </c>
      <c r="C20" s="180" t="s">
        <v>498</v>
      </c>
      <c r="D20" s="181">
        <f>BS!K36+BS!K42</f>
        <v>125368.11254396252</v>
      </c>
      <c r="E20" s="181">
        <f>BS!L36+BS!L42</f>
        <v>304970.33285094064</v>
      </c>
      <c r="F20" s="181">
        <f>BS!M36+BS!M42</f>
        <v>95627.649734461127</v>
      </c>
      <c r="G20" s="181">
        <f>BS!N36+BS!N42</f>
        <v>105575.95624501607</v>
      </c>
      <c r="H20" s="181">
        <f>BS!O36+BS!O42</f>
        <v>116130.27281930124</v>
      </c>
      <c r="I20" s="181">
        <f>BS!P36+BS!P42</f>
        <v>134927.62955044856</v>
      </c>
      <c r="J20" s="181">
        <f>BS!Q36+BS!Q42</f>
        <v>135899.78437675783</v>
      </c>
      <c r="K20" s="181">
        <f>BS!R36+BS!R42</f>
        <v>195502.18030086753</v>
      </c>
      <c r="L20" s="181">
        <f>BS!S36+BS!S42</f>
        <v>197962.69326263154</v>
      </c>
      <c r="M20" s="181">
        <f>BS!T36+BS!T42</f>
        <v>119050.66991161728</v>
      </c>
      <c r="N20" s="181">
        <f>BS!U36+BS!U42</f>
        <v>168153.23445081414</v>
      </c>
      <c r="O20" s="181">
        <f>BS!V36+BS!V42</f>
        <v>200199.89278730727</v>
      </c>
      <c r="P20" s="181">
        <f>BS!W36+BS!W42</f>
        <v>253151.654916069</v>
      </c>
      <c r="Q20" s="181">
        <f>BS!X36+BS!X42</f>
        <v>253641.82790426322</v>
      </c>
      <c r="R20" s="181">
        <f>BS!Y36+BS!Y42</f>
        <v>247924.42946774198</v>
      </c>
      <c r="S20" s="181">
        <f>BS!Z36+BS!Z42</f>
        <v>170036.29813562764</v>
      </c>
      <c r="T20" s="181">
        <f>BS!AA36+BS!AA42</f>
        <v>258085.06102440978</v>
      </c>
      <c r="U20" s="181">
        <f>BS!AB36+BS!AB42</f>
        <v>193204.61468061255</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-72241.104153270629</v>
      </c>
      <c r="E22" s="226">
        <f t="shared" si="0"/>
        <v>372411.28208103427</v>
      </c>
      <c r="F22" s="226">
        <f t="shared" si="0"/>
        <v>-2886.4547592062445</v>
      </c>
      <c r="G22" s="226">
        <f t="shared" si="0"/>
        <v>-16476.67162418754</v>
      </c>
      <c r="H22" s="226">
        <f t="shared" si="0"/>
        <v>73404.944802001744</v>
      </c>
      <c r="I22" s="226">
        <f t="shared" si="0"/>
        <v>97220.42330171197</v>
      </c>
      <c r="J22" s="226">
        <f t="shared" si="0"/>
        <v>192227.68939113777</v>
      </c>
      <c r="K22" s="226">
        <f t="shared" si="0"/>
        <v>33362.237285033771</v>
      </c>
      <c r="L22" s="226">
        <f t="shared" ref="L22:U22" si="1">L5+L6-L7+L8+L9-L10+L11-L12-L13-L14+L15+L16+L17-L18+L19-L20-L21</f>
        <v>-77804.715769331131</v>
      </c>
      <c r="M22" s="226">
        <f t="shared" si="1"/>
        <v>93706.273147103857</v>
      </c>
      <c r="N22" s="226">
        <f t="shared" si="1"/>
        <v>182489.41130867181</v>
      </c>
      <c r="O22" s="226">
        <f t="shared" si="1"/>
        <v>78814.061308358912</v>
      </c>
      <c r="P22" s="226">
        <f t="shared" si="1"/>
        <v>291175.37978388462</v>
      </c>
      <c r="Q22" s="226">
        <f t="shared" ref="Q22:R22" si="2">Q5+Q6-Q7+Q8+Q9-Q10+Q11-Q12-Q13-Q14+Q15+Q16+Q17-Q18+Q19-Q20-Q21</f>
        <v>238263.84054733498</v>
      </c>
      <c r="R22" s="226">
        <f t="shared" si="2"/>
        <v>4968.3560721457761</v>
      </c>
      <c r="S22" s="226">
        <f t="shared" ref="S22:T22" si="3">S5+S6-S7+S8+S9-S10+S11-S12-S13-S14+S15+S16+S17-S18+S19-S20-S21</f>
        <v>-8060.3428436233953</v>
      </c>
      <c r="T22" s="226">
        <f t="shared" si="3"/>
        <v>202415.43925541808</v>
      </c>
      <c r="U22" s="226">
        <f t="shared" si="1"/>
        <v>199366.3123162438</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76576.448492848402</v>
      </c>
      <c r="E24" s="179">
        <f>E37</f>
        <v>-108110.3055669856</v>
      </c>
      <c r="F24" s="179">
        <f t="shared" ref="F24:K24" si="4">F37</f>
        <v>-29695.658667674114</v>
      </c>
      <c r="G24" s="179">
        <f t="shared" si="4"/>
        <v>118696.99318752575</v>
      </c>
      <c r="H24" s="179">
        <f t="shared" si="4"/>
        <v>-62041.762791326561</v>
      </c>
      <c r="I24" s="179">
        <f t="shared" si="4"/>
        <v>9747.182178034127</v>
      </c>
      <c r="J24" s="179">
        <f t="shared" si="4"/>
        <v>63392.982513246796</v>
      </c>
      <c r="K24" s="179">
        <f t="shared" si="4"/>
        <v>20324.883507073042</v>
      </c>
      <c r="L24" s="179">
        <f t="shared" ref="L24:U24" si="5">L37</f>
        <v>-194123.99706179969</v>
      </c>
      <c r="M24" s="179">
        <f t="shared" si="5"/>
        <v>125246.75889316955</v>
      </c>
      <c r="N24" s="179">
        <f t="shared" si="5"/>
        <v>132421.73286919962</v>
      </c>
      <c r="O24" s="179">
        <f t="shared" si="5"/>
        <v>191005.00548333791</v>
      </c>
      <c r="P24" s="179">
        <f t="shared" si="5"/>
        <v>141379.99169531767</v>
      </c>
      <c r="Q24" s="179">
        <f t="shared" ref="Q24:R24" si="6">Q37</f>
        <v>-197656.22117300931</v>
      </c>
      <c r="R24" s="179">
        <f t="shared" si="6"/>
        <v>-88115.937704421871</v>
      </c>
      <c r="S24" s="179">
        <f t="shared" ref="S24:T24" si="7">S37</f>
        <v>-58083.125857861422</v>
      </c>
      <c r="T24" s="179">
        <f t="shared" si="7"/>
        <v>117412.59455593961</v>
      </c>
      <c r="U24" s="179">
        <f t="shared" si="5"/>
        <v>-23953.308906260529</v>
      </c>
    </row>
    <row r="25" spans="1:21" ht="15.75" customHeight="1" x14ac:dyDescent="0.2">
      <c r="A25" s="186"/>
      <c r="B25" s="231" t="s">
        <v>478</v>
      </c>
      <c r="C25" s="182" t="s">
        <v>502</v>
      </c>
      <c r="D25" s="183">
        <f>D22+D33</f>
        <v>350327.54207646009</v>
      </c>
      <c r="E25" s="183">
        <f>E22+E33</f>
        <v>-143471.27870600973</v>
      </c>
      <c r="F25" s="183">
        <f t="shared" ref="F25:K25" si="8">F22+F33</f>
        <v>57875.988136032662</v>
      </c>
      <c r="G25" s="183">
        <f t="shared" si="8"/>
        <v>29801.260765914427</v>
      </c>
      <c r="H25" s="183">
        <f t="shared" si="8"/>
        <v>48404.056235650394</v>
      </c>
      <c r="I25" s="183">
        <f t="shared" si="8"/>
        <v>149517.27305903431</v>
      </c>
      <c r="J25" s="183">
        <f t="shared" si="8"/>
        <v>185821.4864755767</v>
      </c>
      <c r="K25" s="183">
        <f t="shared" si="8"/>
        <v>-23619.942895326109</v>
      </c>
      <c r="L25" s="183">
        <f t="shared" ref="L25:U25" si="9">L22+L33</f>
        <v>59242.837032122028</v>
      </c>
      <c r="M25" s="183">
        <f t="shared" si="9"/>
        <v>-26901.619624391315</v>
      </c>
      <c r="N25" s="183">
        <f t="shared" si="9"/>
        <v>197319.24742225278</v>
      </c>
      <c r="O25" s="183">
        <f t="shared" si="9"/>
        <v>144371.45410757314</v>
      </c>
      <c r="P25" s="183">
        <f t="shared" si="9"/>
        <v>223256.0248078861</v>
      </c>
      <c r="Q25" s="183">
        <f t="shared" ref="Q25:R25" si="10">Q22+Q33</f>
        <v>212895.93532762316</v>
      </c>
      <c r="R25" s="183">
        <f t="shared" si="10"/>
        <v>238246.32799802351</v>
      </c>
      <c r="S25" s="183">
        <f t="shared" ref="S25:T25" si="11">S22+S33</f>
        <v>-207826.30332311481</v>
      </c>
      <c r="T25" s="183">
        <f t="shared" si="11"/>
        <v>341043.95256399142</v>
      </c>
      <c r="U25" s="183">
        <f t="shared" si="9"/>
        <v>54458.541280675738</v>
      </c>
    </row>
    <row r="26" spans="1:21" ht="15.75" customHeight="1" x14ac:dyDescent="0.2">
      <c r="A26" s="187"/>
      <c r="B26" s="209" t="s">
        <v>476</v>
      </c>
      <c r="C26" s="225"/>
      <c r="D26" s="226">
        <f t="shared" ref="D26:K26" si="12">D24-D25</f>
        <v>-273751.09358361166</v>
      </c>
      <c r="E26" s="226">
        <f t="shared" si="12"/>
        <v>35360.973139024136</v>
      </c>
      <c r="F26" s="226">
        <f t="shared" si="12"/>
        <v>-87571.646803706768</v>
      </c>
      <c r="G26" s="226">
        <f t="shared" si="12"/>
        <v>88895.732421611319</v>
      </c>
      <c r="H26" s="226">
        <f t="shared" si="12"/>
        <v>-110445.81902697695</v>
      </c>
      <c r="I26" s="226">
        <f t="shared" si="12"/>
        <v>-139770.09088100019</v>
      </c>
      <c r="J26" s="226">
        <f t="shared" si="12"/>
        <v>-122428.50396232991</v>
      </c>
      <c r="K26" s="226">
        <f t="shared" si="12"/>
        <v>43944.826402399151</v>
      </c>
      <c r="L26" s="226">
        <f t="shared" ref="L26:U26" si="13">L24-L25</f>
        <v>-253366.8340939217</v>
      </c>
      <c r="M26" s="226">
        <f t="shared" si="13"/>
        <v>152148.37851756086</v>
      </c>
      <c r="N26" s="226">
        <f t="shared" si="13"/>
        <v>-64897.514553053159</v>
      </c>
      <c r="O26" s="226">
        <f t="shared" si="13"/>
        <v>46633.551375764771</v>
      </c>
      <c r="P26" s="226">
        <f t="shared" si="13"/>
        <v>-81876.033112568432</v>
      </c>
      <c r="Q26" s="226">
        <f t="shared" ref="Q26:R26" si="14">Q24-Q25</f>
        <v>-410552.15650063247</v>
      </c>
      <c r="R26" s="226">
        <f t="shared" si="14"/>
        <v>-326362.26570244541</v>
      </c>
      <c r="S26" s="226">
        <f t="shared" ref="S26:T26" si="15">S24-S25</f>
        <v>149743.17746525339</v>
      </c>
      <c r="T26" s="226">
        <f t="shared" si="15"/>
        <v>-223631.35800805181</v>
      </c>
      <c r="U26" s="226">
        <f t="shared" si="13"/>
        <v>-78411.850186936266</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-43814.991949754287</v>
      </c>
      <c r="E28" s="179">
        <f>(BS!M33+BS!M34)-(BS!L33+BS!L34)</f>
        <v>7427.6889981060522</v>
      </c>
      <c r="F28" s="179">
        <f>(BS!N33+BS!N34)-(BS!M33+BS!M34)</f>
        <v>28204.124392727084</v>
      </c>
      <c r="G28" s="179">
        <f>(BS!O33+BS!O34)-(BS!N33+BS!N34)</f>
        <v>6457.9182040396263</v>
      </c>
      <c r="H28" s="179">
        <f>(BS!P33+BS!P34)-(BS!O33+BS!O34)</f>
        <v>-35731.61749756505</v>
      </c>
      <c r="I28" s="179">
        <f>(BS!Q33+BS!Q34)-(BS!P33+BS!P34)</f>
        <v>9113.9446657978842</v>
      </c>
      <c r="J28" s="179">
        <f>(BS!R33+BS!R34)-(BS!Q33+BS!Q34)</f>
        <v>27783.560349773456</v>
      </c>
      <c r="K28" s="179">
        <f>(BS!S33+BS!S34)-(BS!R33+BS!R34)</f>
        <v>741.382900731056</v>
      </c>
      <c r="L28" s="179">
        <f>(BS!T33+BS!T34)-(BS!S33+BS!S34)</f>
        <v>-31161.291512654483</v>
      </c>
      <c r="M28" s="179">
        <f>(BS!U33+BS!U34)-(BS!T33+BS!T34)</f>
        <v>10016.324722926598</v>
      </c>
      <c r="N28" s="179">
        <f>(BS!V33+BS!V34)-(BS!U33+BS!U34)</f>
        <v>-35944.660337416775</v>
      </c>
      <c r="O28" s="179">
        <f>(BS!W33+BS!W34)-(BS!V33+BS!V34)</f>
        <v>63915.74078707333</v>
      </c>
      <c r="P28" s="179">
        <f>(BS!X33+BS!X34)-(BS!W33+BS!W34)</f>
        <v>-40981.715021022974</v>
      </c>
      <c r="Q28" s="179">
        <f>(BS!Y33+BS!Y34)-(BS!X33+BS!X34)</f>
        <v>869.8315399469866</v>
      </c>
      <c r="R28" s="179">
        <f>(BS!Z33+BS!Z34)-(BS!Y33+BS!Y34)</f>
        <v>22476.178047125257</v>
      </c>
      <c r="S28" s="179">
        <f>(BS!AA33+BS!AA34)-(BS!Z33+BS!Z34)</f>
        <v>-11017.973873145675</v>
      </c>
      <c r="T28" s="179">
        <f>(BS!AB33+BS!AB34)-(BS!AA33+BS!AA34)</f>
        <v>2882.2683620329044</v>
      </c>
      <c r="U28" s="179">
        <f>(BS!AC33+BS!AC34)-(BS!AB33+BS!AB34)</f>
        <v>-17506.272986950004</v>
      </c>
    </row>
    <row r="29" spans="1:21" ht="15.75" customHeight="1" x14ac:dyDescent="0.2">
      <c r="A29" s="186"/>
      <c r="B29" s="228" t="s">
        <v>481</v>
      </c>
      <c r="C29" s="180" t="s">
        <v>499</v>
      </c>
      <c r="D29" s="181">
        <f>(BS!L38+BS!L39+BS!L40)-(BS!K38+BS!K39+BS!K40)</f>
        <v>-79048.266129191994</v>
      </c>
      <c r="E29" s="181">
        <f>(BS!M38+BS!M39+BS!M40)-(BS!L38+BS!L39+BS!L40)</f>
        <v>27186.369265273504</v>
      </c>
      <c r="F29" s="181">
        <f>(BS!N38+BS!N39+BS!N40)-(BS!M38+BS!M39+BS!M40)</f>
        <v>-1119.8764972253703</v>
      </c>
      <c r="G29" s="181">
        <f>(BS!O38+BS!O39+BS!O40)-(BS!N38+BS!N39+BS!N40)</f>
        <v>9017.3361407012271</v>
      </c>
      <c r="H29" s="181">
        <f>(BS!P38+BS!P39+BS!P40)-(BS!O38+BS!O39+BS!O40)</f>
        <v>88208.619577514473</v>
      </c>
      <c r="I29" s="181">
        <f>(BS!Q38+BS!Q39+BS!Q40)-(BS!P38+BS!P39+BS!P40)</f>
        <v>-4468.649042949779</v>
      </c>
      <c r="J29" s="181">
        <f>(BS!R38+BS!R39+BS!R40)-(BS!Q38+BS!Q39+BS!Q40)</f>
        <v>-48869.213939798705</v>
      </c>
      <c r="K29" s="181">
        <f>(BS!S38+BS!S39+BS!S40)-(BS!R38+BS!R39+BS!R40)</f>
        <v>-3390.8174321273109</v>
      </c>
      <c r="L29" s="181">
        <f>(BS!T38+BS!T39+BS!T40)-(BS!S38+BS!S39+BS!S40)</f>
        <v>6975.1917298114276</v>
      </c>
      <c r="M29" s="181">
        <f>(BS!U38+BS!U39+BS!U40)-(BS!T38+BS!T39+BS!T40)</f>
        <v>20965.448171341792</v>
      </c>
      <c r="N29" s="181">
        <f>(BS!V38+BS!V39+BS!V40)-(BS!U38+BS!U39+BS!U40)</f>
        <v>-776.83234728110256</v>
      </c>
      <c r="O29" s="181">
        <f>(BS!W38+BS!W39+BS!W40)-(BS!V38+BS!V39+BS!V40)</f>
        <v>6668.1253620445495</v>
      </c>
      <c r="P29" s="181">
        <f>(BS!X38+BS!X39+BS!X40)-(BS!W38+BS!W39+BS!W40)</f>
        <v>18476.67362143629</v>
      </c>
      <c r="Q29" s="181">
        <f>(BS!Y38+BS!Y39+BS!Y40)-(BS!X38+BS!X39+BS!X40)</f>
        <v>-41467.416362562566</v>
      </c>
      <c r="R29" s="181">
        <f>(BS!Z38+BS!Z39+BS!Z40)-(BS!Y38+BS!Y39+BS!Y40)</f>
        <v>104888.27799730044</v>
      </c>
      <c r="S29" s="181">
        <f>(BS!AA38+BS!AA39+BS!AA40)-(BS!Z38+BS!Z39+BS!Z40)</f>
        <v>-111248.5698324861</v>
      </c>
      <c r="T29" s="181">
        <f>(BS!AB38+BS!AB39+BS!AB40)-(BS!AA38+BS!AA39+BS!AA40)</f>
        <v>21213.704444273055</v>
      </c>
      <c r="U29" s="181">
        <f>(BS!AC38+BS!AC39+BS!AC40)-(BS!AB38+BS!AB39+BS!AB40)</f>
        <v>730.8981033496384</v>
      </c>
    </row>
    <row r="30" spans="1:21" ht="15.75" customHeight="1" x14ac:dyDescent="0.2">
      <c r="A30" s="186"/>
      <c r="B30" s="228" t="s">
        <v>482</v>
      </c>
      <c r="C30" s="180" t="s">
        <v>499</v>
      </c>
      <c r="D30" s="181">
        <f>BS!L45+BS!L46</f>
        <v>603895.5619874578</v>
      </c>
      <c r="E30" s="181">
        <f>BS!M45+BS!M46</f>
        <v>53398.942937034204</v>
      </c>
      <c r="F30" s="181">
        <f>BS!N45+BS!N46</f>
        <v>87077.137936771396</v>
      </c>
      <c r="G30" s="181">
        <f>BS!O45+BS!O46</f>
        <v>117879.81598213251</v>
      </c>
      <c r="H30" s="181">
        <f>BS!P45+BS!P46</f>
        <v>40401.925335831729</v>
      </c>
      <c r="I30" s="181">
        <f>BS!Q45+BS!Q46</f>
        <v>88053.47947030596</v>
      </c>
      <c r="J30" s="181">
        <f>BS!R45+BS!R46</f>
        <v>102732.93014477016</v>
      </c>
      <c r="K30" s="181">
        <f>BS!S45+BS!S46</f>
        <v>48400.184495806534</v>
      </c>
      <c r="L30" s="181">
        <f>BS!T45+BS!T46</f>
        <v>209633.83708010276</v>
      </c>
      <c r="M30" s="181">
        <f>BS!U45+BS!U46</f>
        <v>58044.171414339202</v>
      </c>
      <c r="N30" s="181">
        <f>BS!V45+BS!V46</f>
        <v>109595.50021261803</v>
      </c>
      <c r="O30" s="181">
        <f>BS!W45+BS!W46</f>
        <v>104569.02686271438</v>
      </c>
      <c r="P30" s="181">
        <f>BS!X45+BS!X46</f>
        <v>59154.713286302533</v>
      </c>
      <c r="Q30" s="181">
        <f>BS!Y45+BS!Y46</f>
        <v>74384.392889206298</v>
      </c>
      <c r="R30" s="181">
        <f>BS!Z45+BS!Z46</f>
        <v>180297.90877065837</v>
      </c>
      <c r="S30" s="181">
        <f>BS!AA45+BS!AA46</f>
        <v>102798.49199679872</v>
      </c>
      <c r="T30" s="181">
        <f>BS!AB45+BS!AB46</f>
        <v>217331.03249906612</v>
      </c>
      <c r="U30" s="181">
        <f>BS!AC45+BS!AC46</f>
        <v>89198.636347098422</v>
      </c>
    </row>
    <row r="31" spans="1:21" ht="15.75" customHeight="1" x14ac:dyDescent="0.2">
      <c r="A31" s="186"/>
      <c r="B31" s="228" t="s">
        <v>483</v>
      </c>
      <c r="C31" s="180" t="s">
        <v>498</v>
      </c>
      <c r="D31" s="181">
        <f>BS!K45+BS!K46</f>
        <v>58463.657678780801</v>
      </c>
      <c r="E31" s="181">
        <f>BS!L45+BS!L46</f>
        <v>603895.5619874578</v>
      </c>
      <c r="F31" s="181">
        <f>BS!M45+BS!M46</f>
        <v>53398.942937034204</v>
      </c>
      <c r="G31" s="181">
        <f>BS!N45+BS!N46</f>
        <v>87077.137936771396</v>
      </c>
      <c r="H31" s="181">
        <f>BS!O45+BS!O46</f>
        <v>117879.81598213251</v>
      </c>
      <c r="I31" s="181">
        <f>BS!P45+BS!P46</f>
        <v>40401.925335831729</v>
      </c>
      <c r="J31" s="181">
        <f>BS!Q45+BS!Q46</f>
        <v>88053.47947030596</v>
      </c>
      <c r="K31" s="181">
        <f>BS!R45+BS!R46</f>
        <v>102732.93014477016</v>
      </c>
      <c r="L31" s="181">
        <f>BS!S45+BS!S46</f>
        <v>48400.184495806534</v>
      </c>
      <c r="M31" s="181">
        <f>BS!T45+BS!T46</f>
        <v>209633.83708010276</v>
      </c>
      <c r="N31" s="181">
        <f>BS!U45+BS!U46</f>
        <v>58044.171414339202</v>
      </c>
      <c r="O31" s="181">
        <f>BS!V45+BS!V46</f>
        <v>109595.50021261803</v>
      </c>
      <c r="P31" s="181">
        <f>BS!W45+BS!W46</f>
        <v>104569.02686271438</v>
      </c>
      <c r="Q31" s="181">
        <f>BS!X45+BS!X46</f>
        <v>59154.713286302533</v>
      </c>
      <c r="R31" s="181">
        <f>BS!Y45+BS!Y46</f>
        <v>74384.392889206298</v>
      </c>
      <c r="S31" s="181">
        <f>BS!Z45+BS!Z46</f>
        <v>180297.90877065837</v>
      </c>
      <c r="T31" s="181">
        <f>BS!AA45+BS!AA46</f>
        <v>102798.49199679872</v>
      </c>
      <c r="U31" s="181">
        <f>BS!AB45+BS!AB46</f>
        <v>217331.03249906612</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422568.64622973074</v>
      </c>
      <c r="E33" s="226">
        <f t="shared" si="16"/>
        <v>-515882.560787044</v>
      </c>
      <c r="F33" s="226">
        <f t="shared" si="16"/>
        <v>60762.442895238906</v>
      </c>
      <c r="G33" s="226">
        <f t="shared" si="16"/>
        <v>46277.932390101967</v>
      </c>
      <c r="H33" s="226">
        <f t="shared" si="16"/>
        <v>-25000.88856635135</v>
      </c>
      <c r="I33" s="226">
        <f t="shared" si="16"/>
        <v>52296.849757322336</v>
      </c>
      <c r="J33" s="226">
        <f t="shared" si="16"/>
        <v>-6406.2029155610508</v>
      </c>
      <c r="K33" s="226">
        <f t="shared" si="16"/>
        <v>-56982.180180359879</v>
      </c>
      <c r="L33" s="226">
        <f t="shared" ref="L33:U33" si="17">L28+L29+L30-L31-L32</f>
        <v>137047.55280145316</v>
      </c>
      <c r="M33" s="226">
        <f t="shared" si="17"/>
        <v>-120607.89277149517</v>
      </c>
      <c r="N33" s="226">
        <f t="shared" si="17"/>
        <v>14829.836113580954</v>
      </c>
      <c r="O33" s="226">
        <f t="shared" si="17"/>
        <v>65557.392799214227</v>
      </c>
      <c r="P33" s="226">
        <f t="shared" si="17"/>
        <v>-67919.354975998533</v>
      </c>
      <c r="Q33" s="226">
        <f t="shared" ref="Q33:R33" si="18">Q28+Q29+Q30-Q31-Q32</f>
        <v>-25367.905219711814</v>
      </c>
      <c r="R33" s="226">
        <f t="shared" si="18"/>
        <v>233277.97192587773</v>
      </c>
      <c r="S33" s="226">
        <f t="shared" ref="S33:T33" si="19">S28+S29+S30-S31-S32</f>
        <v>-199765.96047949142</v>
      </c>
      <c r="T33" s="226">
        <f t="shared" si="19"/>
        <v>138628.51330857334</v>
      </c>
      <c r="U33" s="226">
        <f t="shared" si="17"/>
        <v>-144907.77103556806</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291825.37385431741</v>
      </c>
      <c r="E35" s="179">
        <f>BS!M10</f>
        <v>183715.06828733181</v>
      </c>
      <c r="F35" s="179">
        <f>BS!N10</f>
        <v>154019.4096196577</v>
      </c>
      <c r="G35" s="179">
        <f>BS!O10</f>
        <v>272716.40280718345</v>
      </c>
      <c r="H35" s="179">
        <f>BS!P10</f>
        <v>210674.64001585689</v>
      </c>
      <c r="I35" s="179">
        <f>BS!Q10</f>
        <v>220421.82219389101</v>
      </c>
      <c r="J35" s="179">
        <f>BS!R10</f>
        <v>283814.80470713781</v>
      </c>
      <c r="K35" s="179">
        <f>BS!S10</f>
        <v>304139.68821421085</v>
      </c>
      <c r="L35" s="179">
        <f>BS!T10</f>
        <v>110015.69115241116</v>
      </c>
      <c r="M35" s="179">
        <f>BS!U10</f>
        <v>235262.45004558071</v>
      </c>
      <c r="N35" s="179">
        <f>BS!V10</f>
        <v>367684.18291478034</v>
      </c>
      <c r="O35" s="179">
        <f>BS!W10</f>
        <v>558689.18839811825</v>
      </c>
      <c r="P35" s="179">
        <f>BS!X10</f>
        <v>700069.18009343592</v>
      </c>
      <c r="Q35" s="179">
        <f>BS!Y10</f>
        <v>502412.95892042661</v>
      </c>
      <c r="R35" s="179">
        <f>BS!Z10</f>
        <v>414297.02121600474</v>
      </c>
      <c r="S35" s="179">
        <f>BS!AA10</f>
        <v>356213.89535814332</v>
      </c>
      <c r="T35" s="179">
        <f>BS!AB10</f>
        <v>473626.48991408292</v>
      </c>
      <c r="U35" s="179">
        <f>BS!AC10</f>
        <v>449673.18100782239</v>
      </c>
    </row>
    <row r="36" spans="1:21" ht="15.75" customHeight="1" x14ac:dyDescent="0.2">
      <c r="A36" s="186"/>
      <c r="B36" s="230" t="s">
        <v>487</v>
      </c>
      <c r="C36" s="182" t="s">
        <v>498</v>
      </c>
      <c r="D36" s="183">
        <f>BS!K10</f>
        <v>215248.92536146901</v>
      </c>
      <c r="E36" s="183">
        <f>BS!L10</f>
        <v>291825.37385431741</v>
      </c>
      <c r="F36" s="183">
        <f>BS!M10</f>
        <v>183715.06828733181</v>
      </c>
      <c r="G36" s="183">
        <f>BS!N10</f>
        <v>154019.4096196577</v>
      </c>
      <c r="H36" s="183">
        <f>BS!O10</f>
        <v>272716.40280718345</v>
      </c>
      <c r="I36" s="183">
        <f>BS!P10</f>
        <v>210674.64001585689</v>
      </c>
      <c r="J36" s="183">
        <f>BS!Q10</f>
        <v>220421.82219389101</v>
      </c>
      <c r="K36" s="183">
        <f>BS!R10</f>
        <v>283814.80470713781</v>
      </c>
      <c r="L36" s="183">
        <f>BS!S10</f>
        <v>304139.68821421085</v>
      </c>
      <c r="M36" s="183">
        <f>BS!T10</f>
        <v>110015.69115241116</v>
      </c>
      <c r="N36" s="183">
        <f>BS!U10</f>
        <v>235262.45004558071</v>
      </c>
      <c r="O36" s="183">
        <f>BS!V10</f>
        <v>367684.18291478034</v>
      </c>
      <c r="P36" s="183">
        <f>BS!W10</f>
        <v>558689.18839811825</v>
      </c>
      <c r="Q36" s="183">
        <f>BS!X10</f>
        <v>700069.18009343592</v>
      </c>
      <c r="R36" s="183">
        <f>BS!Y10</f>
        <v>502412.95892042661</v>
      </c>
      <c r="S36" s="183">
        <f>BS!Z10</f>
        <v>414297.02121600474</v>
      </c>
      <c r="T36" s="183">
        <f>BS!AA10</f>
        <v>356213.89535814332</v>
      </c>
      <c r="U36" s="183">
        <f>BS!AB10</f>
        <v>473626.48991408292</v>
      </c>
    </row>
    <row r="37" spans="1:21" ht="15.75" customHeight="1" x14ac:dyDescent="0.2">
      <c r="A37" s="187"/>
      <c r="B37" s="209" t="s">
        <v>476</v>
      </c>
      <c r="C37" s="225"/>
      <c r="D37" s="226">
        <f t="shared" ref="D37:K37" si="20">+D35-D36</f>
        <v>76576.448492848402</v>
      </c>
      <c r="E37" s="226">
        <f t="shared" si="20"/>
        <v>-108110.3055669856</v>
      </c>
      <c r="F37" s="226">
        <f t="shared" si="20"/>
        <v>-29695.658667674114</v>
      </c>
      <c r="G37" s="226">
        <f t="shared" si="20"/>
        <v>118696.99318752575</v>
      </c>
      <c r="H37" s="226">
        <f t="shared" si="20"/>
        <v>-62041.762791326561</v>
      </c>
      <c r="I37" s="226">
        <f t="shared" si="20"/>
        <v>9747.182178034127</v>
      </c>
      <c r="J37" s="226">
        <f t="shared" si="20"/>
        <v>63392.982513246796</v>
      </c>
      <c r="K37" s="226">
        <f t="shared" si="20"/>
        <v>20324.883507073042</v>
      </c>
      <c r="L37" s="226">
        <f t="shared" ref="L37:U37" si="21">+L35-L36</f>
        <v>-194123.99706179969</v>
      </c>
      <c r="M37" s="226">
        <f t="shared" si="21"/>
        <v>125246.75889316955</v>
      </c>
      <c r="N37" s="226">
        <f t="shared" si="21"/>
        <v>132421.73286919962</v>
      </c>
      <c r="O37" s="226">
        <f t="shared" si="21"/>
        <v>191005.00548333791</v>
      </c>
      <c r="P37" s="226">
        <f t="shared" si="21"/>
        <v>141379.99169531767</v>
      </c>
      <c r="Q37" s="226">
        <f t="shared" ref="Q37:R37" si="22">+Q35-Q36</f>
        <v>-197656.22117300931</v>
      </c>
      <c r="R37" s="226">
        <f t="shared" si="22"/>
        <v>-88115.937704421871</v>
      </c>
      <c r="S37" s="226">
        <f t="shared" ref="S37:T37" si="23">+S35-S36</f>
        <v>-58083.125857861422</v>
      </c>
      <c r="T37" s="226">
        <f t="shared" si="23"/>
        <v>117412.59455593961</v>
      </c>
      <c r="U37" s="226">
        <f t="shared" si="21"/>
        <v>-23953.308906260529</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-72241.104153270629</v>
      </c>
      <c r="E39" s="235">
        <f>E22</f>
        <v>372411.28208103427</v>
      </c>
      <c r="F39" s="235">
        <f t="shared" ref="F39:K39" si="24">F22</f>
        <v>-2886.4547592062445</v>
      </c>
      <c r="G39" s="235">
        <f t="shared" si="24"/>
        <v>-16476.67162418754</v>
      </c>
      <c r="H39" s="235">
        <f t="shared" si="24"/>
        <v>73404.944802001744</v>
      </c>
      <c r="I39" s="235">
        <f t="shared" si="24"/>
        <v>97220.42330171197</v>
      </c>
      <c r="J39" s="235">
        <f t="shared" si="24"/>
        <v>192227.68939113777</v>
      </c>
      <c r="K39" s="235">
        <f t="shared" si="24"/>
        <v>33362.237285033771</v>
      </c>
      <c r="L39" s="235">
        <f t="shared" ref="L39:U39" si="25">L22</f>
        <v>-77804.715769331131</v>
      </c>
      <c r="M39" s="235">
        <f t="shared" si="25"/>
        <v>93706.273147103857</v>
      </c>
      <c r="N39" s="235">
        <f t="shared" si="25"/>
        <v>182489.41130867181</v>
      </c>
      <c r="O39" s="235">
        <f t="shared" si="25"/>
        <v>78814.061308358912</v>
      </c>
      <c r="P39" s="235">
        <f t="shared" si="25"/>
        <v>291175.37978388462</v>
      </c>
      <c r="Q39" s="235">
        <f t="shared" ref="Q39:R39" si="26">Q22</f>
        <v>238263.84054733498</v>
      </c>
      <c r="R39" s="235">
        <f t="shared" si="26"/>
        <v>4968.3560721457761</v>
      </c>
      <c r="S39" s="235">
        <f t="shared" ref="S39:T39" si="27">S22</f>
        <v>-8060.3428436233953</v>
      </c>
      <c r="T39" s="235">
        <f t="shared" si="27"/>
        <v>202415.43925541808</v>
      </c>
      <c r="U39" s="235">
        <f t="shared" si="25"/>
        <v>199366.3123162438</v>
      </c>
    </row>
    <row r="40" spans="1:21" ht="15.75" customHeight="1" x14ac:dyDescent="0.2">
      <c r="A40" s="186"/>
      <c r="B40" s="230" t="s">
        <v>490</v>
      </c>
      <c r="C40" s="182" t="s">
        <v>491</v>
      </c>
      <c r="D40" s="183">
        <f>D26</f>
        <v>-273751.09358361166</v>
      </c>
      <c r="E40" s="183">
        <f>E26</f>
        <v>35360.973139024136</v>
      </c>
      <c r="F40" s="183">
        <f t="shared" ref="F40:K40" si="28">F26</f>
        <v>-87571.646803706768</v>
      </c>
      <c r="G40" s="183">
        <f t="shared" si="28"/>
        <v>88895.732421611319</v>
      </c>
      <c r="H40" s="183">
        <f t="shared" si="28"/>
        <v>-110445.81902697695</v>
      </c>
      <c r="I40" s="183">
        <f t="shared" si="28"/>
        <v>-139770.09088100019</v>
      </c>
      <c r="J40" s="183">
        <f t="shared" si="28"/>
        <v>-122428.50396232991</v>
      </c>
      <c r="K40" s="183">
        <f t="shared" si="28"/>
        <v>43944.826402399151</v>
      </c>
      <c r="L40" s="183">
        <f t="shared" ref="L40:U40" si="29">L26</f>
        <v>-253366.8340939217</v>
      </c>
      <c r="M40" s="183">
        <f t="shared" si="29"/>
        <v>152148.37851756086</v>
      </c>
      <c r="N40" s="183">
        <f t="shared" si="29"/>
        <v>-64897.514553053159</v>
      </c>
      <c r="O40" s="183">
        <f t="shared" si="29"/>
        <v>46633.551375764771</v>
      </c>
      <c r="P40" s="183">
        <f t="shared" si="29"/>
        <v>-81876.033112568432</v>
      </c>
      <c r="Q40" s="183">
        <f t="shared" ref="Q40:R40" si="30">Q26</f>
        <v>-410552.15650063247</v>
      </c>
      <c r="R40" s="183">
        <f t="shared" si="30"/>
        <v>-326362.26570244541</v>
      </c>
      <c r="S40" s="183">
        <f t="shared" ref="S40:T40" si="31">S26</f>
        <v>149743.17746525339</v>
      </c>
      <c r="T40" s="183">
        <f t="shared" si="31"/>
        <v>-223631.35800805181</v>
      </c>
      <c r="U40" s="183">
        <f t="shared" si="29"/>
        <v>-78411.850186936266</v>
      </c>
    </row>
    <row r="41" spans="1:21" ht="15.75" customHeight="1" x14ac:dyDescent="0.2">
      <c r="A41" s="187"/>
      <c r="B41" s="209" t="s">
        <v>476</v>
      </c>
      <c r="C41" s="225"/>
      <c r="D41" s="226">
        <f t="shared" ref="D41:K41" si="32">D39+D40</f>
        <v>-345992.19773688226</v>
      </c>
      <c r="E41" s="226">
        <f t="shared" si="32"/>
        <v>407772.25522005837</v>
      </c>
      <c r="F41" s="226">
        <f t="shared" si="32"/>
        <v>-90458.101562913012</v>
      </c>
      <c r="G41" s="226">
        <f t="shared" si="32"/>
        <v>72419.060797423779</v>
      </c>
      <c r="H41" s="226">
        <f t="shared" si="32"/>
        <v>-37040.87422497521</v>
      </c>
      <c r="I41" s="226">
        <f t="shared" si="32"/>
        <v>-42549.667579288216</v>
      </c>
      <c r="J41" s="226">
        <f t="shared" si="32"/>
        <v>69799.185428807861</v>
      </c>
      <c r="K41" s="226">
        <f t="shared" si="32"/>
        <v>77307.063687432921</v>
      </c>
      <c r="L41" s="226">
        <f t="shared" ref="L41:U41" si="33">L39+L40</f>
        <v>-331171.54986325285</v>
      </c>
      <c r="M41" s="226">
        <f t="shared" si="33"/>
        <v>245854.65166466474</v>
      </c>
      <c r="N41" s="226">
        <f t="shared" si="33"/>
        <v>117591.89675561865</v>
      </c>
      <c r="O41" s="226">
        <f t="shared" si="33"/>
        <v>125447.61268412368</v>
      </c>
      <c r="P41" s="226">
        <f t="shared" si="33"/>
        <v>209299.34667131619</v>
      </c>
      <c r="Q41" s="226">
        <f t="shared" ref="Q41:R41" si="34">Q39+Q40</f>
        <v>-172288.31595329748</v>
      </c>
      <c r="R41" s="226">
        <f t="shared" si="34"/>
        <v>-321393.90963029966</v>
      </c>
      <c r="S41" s="226">
        <f t="shared" ref="S41:T41" si="35">S39+S40</f>
        <v>141682.83462163</v>
      </c>
      <c r="T41" s="226">
        <f t="shared" si="35"/>
        <v>-21215.918752633734</v>
      </c>
      <c r="U41" s="226">
        <f t="shared" si="33"/>
        <v>120954.46212930753</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2023-03-31T01:30:32Z</dcterms:modified>
</cp:coreProperties>
</file>