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4_業種別経営指標/R04_業種別/H16-R04_業種別_製造業/"/>
    </mc:Choice>
  </mc:AlternateContent>
  <xr:revisionPtr revIDLastSave="326" documentId="13_ncr:1_{E5AE67E6-62E8-44DA-819B-45E9D73CA082}" xr6:coauthVersionLast="47" xr6:coauthVersionMax="47" xr10:uidLastSave="{C3EEAD8C-0151-44AF-A1EA-1BB870B3CB96}"/>
  <bookViews>
    <workbookView xWindow="-108" yWindow="-108" windowWidth="23256" windowHeight="12720" activeTab="6"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8" i="5" l="1"/>
  <c r="U33" i="5"/>
  <c r="U32" i="5"/>
  <c r="U30" i="5"/>
  <c r="U29" i="5"/>
  <c r="U28" i="5"/>
  <c r="U27" i="5"/>
  <c r="U26" i="5"/>
  <c r="U25" i="5"/>
  <c r="T40" i="5"/>
  <c r="T41" i="5" s="1"/>
  <c r="T38" i="5"/>
  <c r="T33" i="5"/>
  <c r="T32" i="5"/>
  <c r="T31" i="5"/>
  <c r="T30" i="5"/>
  <c r="T29" i="5"/>
  <c r="T28" i="5"/>
  <c r="T27" i="5"/>
  <c r="T26" i="5"/>
  <c r="T25" i="5"/>
  <c r="T24" i="5"/>
  <c r="T23" i="5"/>
  <c r="T20" i="5"/>
  <c r="T19" i="5"/>
  <c r="T44" i="5" s="1"/>
  <c r="T18" i="5"/>
  <c r="T17" i="5"/>
  <c r="T16" i="5"/>
  <c r="T15" i="5"/>
  <c r="T13" i="5"/>
  <c r="T12" i="5"/>
  <c r="T45" i="5" s="1"/>
  <c r="T11" i="5"/>
  <c r="T22" i="5" s="1"/>
  <c r="T9" i="5"/>
  <c r="T8" i="5"/>
  <c r="T7" i="5"/>
  <c r="T6" i="5"/>
  <c r="T5" i="5"/>
  <c r="T47" i="5" s="1"/>
  <c r="T32" i="6"/>
  <c r="T25" i="6"/>
  <c r="AM25" i="6" s="1"/>
  <c r="T24" i="6"/>
  <c r="T23" i="6"/>
  <c r="T22" i="6"/>
  <c r="T21" i="6"/>
  <c r="AM21" i="6" s="1"/>
  <c r="T20" i="6"/>
  <c r="T19" i="6"/>
  <c r="T18" i="6"/>
  <c r="T17" i="6"/>
  <c r="AM17" i="6" s="1"/>
  <c r="T16" i="6"/>
  <c r="AM16" i="6" s="1"/>
  <c r="T14" i="6"/>
  <c r="T13" i="6"/>
  <c r="AM13" i="6" s="1"/>
  <c r="T12" i="6"/>
  <c r="T11" i="6"/>
  <c r="T10" i="6"/>
  <c r="T9" i="6"/>
  <c r="AM9" i="6" s="1"/>
  <c r="T8" i="6"/>
  <c r="T7" i="6"/>
  <c r="AM7" i="6" s="1"/>
  <c r="T6" i="6"/>
  <c r="T5" i="6"/>
  <c r="AM8" i="6" s="1"/>
  <c r="CQ81" i="3"/>
  <c r="CT80" i="3" s="1"/>
  <c r="CL81" i="3"/>
  <c r="CL78" i="3"/>
  <c r="CL80" i="3" s="1"/>
  <c r="CL76" i="3"/>
  <c r="CL71" i="3"/>
  <c r="CL66" i="3"/>
  <c r="CQ64" i="3"/>
  <c r="CQ65" i="3"/>
  <c r="CL65" i="3"/>
  <c r="CL64" i="3"/>
  <c r="CL54" i="3"/>
  <c r="CL53" i="3"/>
  <c r="CL55" i="3" s="1"/>
  <c r="CL50" i="3"/>
  <c r="CL45" i="3"/>
  <c r="CL44" i="3"/>
  <c r="CL46" i="3" s="1"/>
  <c r="CO45" i="3" s="1"/>
  <c r="CL43" i="3"/>
  <c r="CL39" i="3"/>
  <c r="CL41" i="3" s="1"/>
  <c r="CL35" i="3"/>
  <c r="CL33" i="3"/>
  <c r="CL31" i="3"/>
  <c r="CL30" i="3"/>
  <c r="CL19" i="3"/>
  <c r="CL15" i="3"/>
  <c r="CQ61" i="3" s="1"/>
  <c r="CL12" i="3"/>
  <c r="CL70" i="3" s="1"/>
  <c r="CL9" i="3"/>
  <c r="CL7" i="3"/>
  <c r="CQ67" i="3" s="1"/>
  <c r="CL6" i="3"/>
  <c r="CL40" i="3" s="1"/>
  <c r="CL51" i="3"/>
  <c r="CO50" i="3" s="1"/>
  <c r="CL17" i="3"/>
  <c r="CL8" i="3"/>
  <c r="V70" i="7"/>
  <c r="V71" i="7" s="1"/>
  <c r="V69" i="7"/>
  <c r="V68" i="7"/>
  <c r="V64" i="7"/>
  <c r="V51" i="7"/>
  <c r="V44" i="7"/>
  <c r="V40" i="7"/>
  <c r="V35" i="7"/>
  <c r="V34" i="7"/>
  <c r="V30" i="7"/>
  <c r="V29" i="7"/>
  <c r="V28" i="7"/>
  <c r="V16" i="7"/>
  <c r="V15" i="7"/>
  <c r="V14" i="7"/>
  <c r="V13" i="7"/>
  <c r="V26" i="7" s="1"/>
  <c r="V11" i="7"/>
  <c r="V10" i="7"/>
  <c r="V33" i="7" s="1"/>
  <c r="V9" i="7"/>
  <c r="V8" i="7"/>
  <c r="V56" i="7" s="1"/>
  <c r="V7" i="7"/>
  <c r="V54" i="7" s="1"/>
  <c r="V6" i="7"/>
  <c r="V48" i="7" s="1"/>
  <c r="V5" i="7"/>
  <c r="V57" i="7" s="1"/>
  <c r="V4" i="7"/>
  <c r="T14" i="9"/>
  <c r="T13" i="9"/>
  <c r="T12" i="9"/>
  <c r="T11" i="9"/>
  <c r="T10" i="9"/>
  <c r="T21" i="9" s="1"/>
  <c r="T9" i="9"/>
  <c r="T8" i="9"/>
  <c r="T7" i="9"/>
  <c r="T6" i="9"/>
  <c r="T4" i="9"/>
  <c r="U36" i="8"/>
  <c r="T35" i="8"/>
  <c r="U31" i="8"/>
  <c r="T30" i="8"/>
  <c r="U29" i="8"/>
  <c r="T29" i="8"/>
  <c r="U28" i="8"/>
  <c r="T28" i="8"/>
  <c r="U20" i="8"/>
  <c r="T19" i="8"/>
  <c r="U18" i="8"/>
  <c r="T17" i="8"/>
  <c r="U16" i="8"/>
  <c r="U15" i="8"/>
  <c r="T14" i="8"/>
  <c r="T13" i="8"/>
  <c r="U12" i="8"/>
  <c r="T12" i="8"/>
  <c r="U11" i="8"/>
  <c r="U10" i="8"/>
  <c r="T10" i="8"/>
  <c r="T36" i="8"/>
  <c r="T31" i="8"/>
  <c r="T20" i="8"/>
  <c r="T18" i="8"/>
  <c r="T16" i="8"/>
  <c r="T15" i="8"/>
  <c r="T11" i="8"/>
  <c r="T9" i="8"/>
  <c r="T8" i="8"/>
  <c r="T7" i="8"/>
  <c r="T6" i="8"/>
  <c r="T5" i="8"/>
  <c r="AB47" i="1"/>
  <c r="T48" i="5" s="1"/>
  <c r="AB46" i="1"/>
  <c r="AB45" i="1"/>
  <c r="CL22" i="3" s="1"/>
  <c r="AB43" i="1"/>
  <c r="AB44" i="1" s="1"/>
  <c r="CL23"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AL22" i="6" s="1"/>
  <c r="S24" i="6"/>
  <c r="S23" i="6"/>
  <c r="S22" i="6"/>
  <c r="S21" i="6"/>
  <c r="S20" i="6"/>
  <c r="S19" i="6"/>
  <c r="S18" i="6"/>
  <c r="S17" i="6"/>
  <c r="AL17" i="6" s="1"/>
  <c r="S16" i="6"/>
  <c r="S14" i="6"/>
  <c r="S13" i="6"/>
  <c r="S12" i="6"/>
  <c r="S11" i="6"/>
  <c r="S10" i="6"/>
  <c r="S9" i="6"/>
  <c r="S8" i="6"/>
  <c r="S7" i="6"/>
  <c r="S6" i="6"/>
  <c r="S5" i="6"/>
  <c r="S31" i="6" s="1"/>
  <c r="CG81" i="3"/>
  <c r="CQ78" i="3"/>
  <c r="CQ80" i="3" s="1"/>
  <c r="CG78" i="3"/>
  <c r="CG80" i="3" s="1"/>
  <c r="CQ76" i="3"/>
  <c r="CG76" i="3"/>
  <c r="CQ71" i="3"/>
  <c r="CG71" i="3"/>
  <c r="CG64" i="3"/>
  <c r="CQ54" i="3"/>
  <c r="CT53" i="3" s="1"/>
  <c r="CG54" i="3"/>
  <c r="CQ53" i="3"/>
  <c r="CQ55" i="3" s="1"/>
  <c r="CG53" i="3"/>
  <c r="CQ50" i="3"/>
  <c r="CG50" i="3"/>
  <c r="CQ45" i="3"/>
  <c r="CG45" i="3"/>
  <c r="CG44" i="3"/>
  <c r="CQ44" i="3"/>
  <c r="CT43" i="3" s="1"/>
  <c r="CQ43" i="3"/>
  <c r="CG43" i="3"/>
  <c r="CQ39" i="3"/>
  <c r="CQ41" i="3" s="1"/>
  <c r="CG39" i="3"/>
  <c r="CQ35" i="3"/>
  <c r="CG35" i="3"/>
  <c r="CQ33" i="3"/>
  <c r="CG33" i="3"/>
  <c r="CQ31" i="3"/>
  <c r="CG31" i="3"/>
  <c r="CQ30" i="3"/>
  <c r="CG30" i="3"/>
  <c r="CQ19" i="3"/>
  <c r="CG19" i="3"/>
  <c r="CQ15" i="3"/>
  <c r="CG15" i="3"/>
  <c r="CL61" i="3" s="1"/>
  <c r="CQ12" i="3"/>
  <c r="CQ70" i="3" s="1"/>
  <c r="CG12" i="3"/>
  <c r="CL59" i="3" s="1"/>
  <c r="CQ9" i="3"/>
  <c r="CG9" i="3"/>
  <c r="CQ7" i="3"/>
  <c r="CQ49" i="3" s="1"/>
  <c r="CQ6" i="3"/>
  <c r="CQ17" i="3" s="1"/>
  <c r="CG7" i="3"/>
  <c r="CG6" i="3"/>
  <c r="CQ32" i="3"/>
  <c r="CT31" i="3" s="1"/>
  <c r="CQ14" i="3"/>
  <c r="U70" i="7"/>
  <c r="U71" i="7" s="1"/>
  <c r="U69" i="7"/>
  <c r="U68" i="7"/>
  <c r="U64" i="7"/>
  <c r="U51" i="7"/>
  <c r="U44" i="7"/>
  <c r="U40" i="7"/>
  <c r="U35" i="7"/>
  <c r="U34" i="7"/>
  <c r="U30" i="7"/>
  <c r="U29" i="7"/>
  <c r="U28" i="7"/>
  <c r="U16" i="7"/>
  <c r="U15" i="7"/>
  <c r="U14" i="7"/>
  <c r="U13" i="7"/>
  <c r="U11" i="7"/>
  <c r="U10" i="7"/>
  <c r="U9" i="7"/>
  <c r="U8" i="7"/>
  <c r="U7" i="7"/>
  <c r="U6" i="7"/>
  <c r="U5" i="7"/>
  <c r="U57" i="7" s="1"/>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U40" i="5"/>
  <c r="U31" i="5"/>
  <c r="U24" i="5"/>
  <c r="U23" i="5"/>
  <c r="U20" i="5"/>
  <c r="U19" i="5"/>
  <c r="U18" i="5"/>
  <c r="U17" i="5"/>
  <c r="U16" i="5"/>
  <c r="U15" i="5"/>
  <c r="U13" i="5"/>
  <c r="U12" i="5"/>
  <c r="U11" i="5"/>
  <c r="U22" i="5" s="1"/>
  <c r="U9" i="5"/>
  <c r="U8" i="5"/>
  <c r="U7" i="5"/>
  <c r="U6" i="5"/>
  <c r="U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Q62" i="3" l="1"/>
  <c r="CT29" i="3"/>
  <c r="CQ8" i="3"/>
  <c r="CT8" i="3" s="1"/>
  <c r="CQ28" i="3"/>
  <c r="CT48" i="3"/>
  <c r="S47" i="5"/>
  <c r="V66" i="7"/>
  <c r="AM6" i="6"/>
  <c r="AM10" i="6"/>
  <c r="CL69" i="3"/>
  <c r="CO69" i="3" s="1"/>
  <c r="AM11" i="6"/>
  <c r="CL58" i="3"/>
  <c r="AM12" i="6"/>
  <c r="T35" i="5"/>
  <c r="AM22" i="6"/>
  <c r="AM18" i="6"/>
  <c r="AM24" i="6"/>
  <c r="AM19" i="6"/>
  <c r="T28" i="6"/>
  <c r="T37" i="5"/>
  <c r="V20" i="7"/>
  <c r="CO64" i="3"/>
  <c r="CQ66" i="3"/>
  <c r="CT66" i="3" s="1"/>
  <c r="S37" i="8"/>
  <c r="S24" i="8" s="1"/>
  <c r="CO6" i="3"/>
  <c r="CO80" i="3"/>
  <c r="AM20" i="6"/>
  <c r="T34" i="5"/>
  <c r="T36" i="5" s="1"/>
  <c r="CO22" i="3"/>
  <c r="CL24" i="3" s="1"/>
  <c r="CO11" i="3"/>
  <c r="CQ59" i="3"/>
  <c r="CQ63" i="3"/>
  <c r="CT62" i="3" s="1"/>
  <c r="V63" i="7"/>
  <c r="CL14" i="3"/>
  <c r="CO13" i="3" s="1"/>
  <c r="CO8" i="3"/>
  <c r="CL60" i="3"/>
  <c r="T34" i="6"/>
  <c r="T49" i="5"/>
  <c r="T39" i="5"/>
  <c r="T16" i="9"/>
  <c r="T20" i="9"/>
  <c r="V12" i="7"/>
  <c r="V25" i="7" s="1"/>
  <c r="CL36" i="3"/>
  <c r="CO35" i="3" s="1"/>
  <c r="CQ60" i="3"/>
  <c r="CT60" i="3" s="1"/>
  <c r="AM5" i="6"/>
  <c r="T5" i="9"/>
  <c r="T17" i="9" s="1"/>
  <c r="T10" i="5"/>
  <c r="CL62" i="3"/>
  <c r="CO40" i="3"/>
  <c r="CQ58" i="3"/>
  <c r="CL63" i="3"/>
  <c r="CO53" i="3"/>
  <c r="V50" i="7"/>
  <c r="CL48" i="3"/>
  <c r="R44" i="5"/>
  <c r="S41" i="5"/>
  <c r="AL21" i="6"/>
  <c r="T37" i="8"/>
  <c r="T24" i="8" s="1"/>
  <c r="AM23" i="6"/>
  <c r="T46" i="5"/>
  <c r="S21" i="9"/>
  <c r="CT64" i="3"/>
  <c r="CL67" i="3"/>
  <c r="T43" i="5"/>
  <c r="S35" i="5"/>
  <c r="S44" i="5"/>
  <c r="AL18" i="6"/>
  <c r="AL6" i="6"/>
  <c r="AL7" i="6"/>
  <c r="AL11" i="6"/>
  <c r="AL16" i="6"/>
  <c r="AL20" i="6"/>
  <c r="AL24" i="6"/>
  <c r="T31" i="6"/>
  <c r="T27" i="6"/>
  <c r="T30" i="6"/>
  <c r="T35" i="6"/>
  <c r="T29" i="6"/>
  <c r="T33" i="6"/>
  <c r="AL9" i="6"/>
  <c r="S27" i="6"/>
  <c r="S30" i="6"/>
  <c r="AL25" i="6"/>
  <c r="AL10" i="6"/>
  <c r="AL19" i="6"/>
  <c r="S28" i="6"/>
  <c r="CO43" i="3"/>
  <c r="CL18" i="3"/>
  <c r="CO17" i="3" s="1"/>
  <c r="CL27" i="3"/>
  <c r="CL32" i="3"/>
  <c r="CO31" i="3" s="1"/>
  <c r="CL28" i="3"/>
  <c r="CL79" i="3"/>
  <c r="CO78" i="3" s="1"/>
  <c r="CL20" i="3"/>
  <c r="CO19" i="3" s="1"/>
  <c r="CL49" i="3"/>
  <c r="CO48" i="3" s="1"/>
  <c r="CL56" i="3"/>
  <c r="CO55" i="3" s="1"/>
  <c r="CL74" i="3"/>
  <c r="CL16" i="3"/>
  <c r="CO15" i="3" s="1"/>
  <c r="CL25" i="3"/>
  <c r="CO24" i="3" s="1"/>
  <c r="CL29" i="3"/>
  <c r="CO29" i="3" s="1"/>
  <c r="CL34" i="3"/>
  <c r="CO33" i="3" s="1"/>
  <c r="CL38" i="3"/>
  <c r="CO38" i="3" s="1"/>
  <c r="V22" i="7"/>
  <c r="V27" i="7"/>
  <c r="V32" i="7"/>
  <c r="V24" i="7"/>
  <c r="V53" i="7"/>
  <c r="V21" i="7"/>
  <c r="V19" i="7"/>
  <c r="U48" i="7"/>
  <c r="U33" i="7"/>
  <c r="U54" i="7"/>
  <c r="U24" i="7"/>
  <c r="U56" i="7"/>
  <c r="U26" i="7"/>
  <c r="T18" i="9"/>
  <c r="S33" i="8"/>
  <c r="CQ51" i="3"/>
  <c r="CT50" i="3" s="1"/>
  <c r="U50" i="7"/>
  <c r="AL23" i="6"/>
  <c r="S46" i="5"/>
  <c r="U20" i="7"/>
  <c r="S37" i="5"/>
  <c r="CQ48" i="3"/>
  <c r="S45" i="5"/>
  <c r="T22" i="8"/>
  <c r="T33" i="8"/>
  <c r="U66" i="7"/>
  <c r="AL8" i="6"/>
  <c r="AL12" i="6"/>
  <c r="S20" i="9"/>
  <c r="U12" i="7"/>
  <c r="U25" i="7" s="1"/>
  <c r="AL13" i="6"/>
  <c r="S10" i="5"/>
  <c r="R47" i="5"/>
  <c r="U63" i="7"/>
  <c r="S49" i="5"/>
  <c r="S34" i="5"/>
  <c r="S36" i="5" s="1"/>
  <c r="CG69" i="3"/>
  <c r="S32" i="6"/>
  <c r="S33" i="6" s="1"/>
  <c r="S5" i="9"/>
  <c r="S17" i="9" s="1"/>
  <c r="AL5" i="6"/>
  <c r="S22" i="8"/>
  <c r="S43" i="5"/>
  <c r="U46" i="5"/>
  <c r="U37" i="5"/>
  <c r="S35" i="6"/>
  <c r="S29" i="6"/>
  <c r="CQ46" i="3"/>
  <c r="CT45" i="3" s="1"/>
  <c r="CT38" i="3"/>
  <c r="CQ27" i="3"/>
  <c r="CQ79" i="3"/>
  <c r="CT78" i="3" s="1"/>
  <c r="CT6" i="3"/>
  <c r="CQ40" i="3"/>
  <c r="CT40" i="3" s="1"/>
  <c r="CQ18" i="3"/>
  <c r="CT17" i="3" s="1"/>
  <c r="CQ36" i="3"/>
  <c r="CT35" i="3" s="1"/>
  <c r="CQ56" i="3"/>
  <c r="CT55" i="3" s="1"/>
  <c r="CQ74" i="3"/>
  <c r="CQ20" i="3"/>
  <c r="CT19" i="3" s="1"/>
  <c r="CQ16" i="3"/>
  <c r="CT15" i="3" s="1"/>
  <c r="CQ25" i="3"/>
  <c r="CQ29" i="3"/>
  <c r="CQ34" i="3"/>
  <c r="CT33" i="3" s="1"/>
  <c r="CQ38" i="3"/>
  <c r="U22" i="7"/>
  <c r="U27" i="7"/>
  <c r="U32" i="7"/>
  <c r="U19" i="7"/>
  <c r="U53" i="7"/>
  <c r="U47" i="5"/>
  <c r="U35" i="5"/>
  <c r="R35" i="5"/>
  <c r="R37" i="5"/>
  <c r="R34" i="5"/>
  <c r="R43" i="5"/>
  <c r="U45" i="5"/>
  <c r="U41" i="5"/>
  <c r="U44" i="5"/>
  <c r="R46" i="5"/>
  <c r="R41" i="5"/>
  <c r="U34" i="5"/>
  <c r="U43" i="5"/>
  <c r="R45" i="5"/>
  <c r="R25" i="6"/>
  <c r="AK25" i="6" s="1"/>
  <c r="R24" i="6"/>
  <c r="R23" i="6"/>
  <c r="R22" i="6"/>
  <c r="R21" i="6"/>
  <c r="AK21" i="6" s="1"/>
  <c r="R20" i="6"/>
  <c r="R19" i="6"/>
  <c r="R18" i="6"/>
  <c r="R17" i="6"/>
  <c r="AK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O62" i="3" s="1"/>
  <c r="CB15" i="3"/>
  <c r="CO60" i="3" s="1"/>
  <c r="CB12" i="3"/>
  <c r="CB9" i="3"/>
  <c r="CB56" i="3" s="1"/>
  <c r="CB7" i="3"/>
  <c r="CB6" i="3"/>
  <c r="CB17" i="3" s="1"/>
  <c r="CB81" i="3"/>
  <c r="BW81" i="3"/>
  <c r="BR81" i="3"/>
  <c r="BM81" i="3"/>
  <c r="BH81" i="3"/>
  <c r="BC81" i="3"/>
  <c r="AX81" i="3"/>
  <c r="AS81" i="3"/>
  <c r="AN81" i="3"/>
  <c r="AI81" i="3"/>
  <c r="AD81" i="3"/>
  <c r="Y81" i="3"/>
  <c r="T81" i="3"/>
  <c r="O81" i="3"/>
  <c r="J81" i="3"/>
  <c r="E81" i="3"/>
  <c r="W70" i="7"/>
  <c r="W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CT27" i="3" l="1"/>
  <c r="CO27" i="3"/>
  <c r="V18" i="7"/>
  <c r="CL72" i="3"/>
  <c r="CO71" i="3" s="1"/>
  <c r="CL73" i="3"/>
  <c r="CL75" i="3" s="1"/>
  <c r="CO75" i="3" s="1"/>
  <c r="T19" i="9"/>
  <c r="S25" i="8"/>
  <c r="S26" i="8" s="1"/>
  <c r="S40" i="8" s="1"/>
  <c r="S34" i="6"/>
  <c r="CT58" i="3"/>
  <c r="T39" i="8"/>
  <c r="V60" i="7"/>
  <c r="V59" i="7"/>
  <c r="CB70" i="3"/>
  <c r="CO58" i="3"/>
  <c r="CG67" i="3"/>
  <c r="CO66" i="3"/>
  <c r="U21" i="7"/>
  <c r="U18" i="7"/>
  <c r="T25" i="8"/>
  <c r="T26" i="8" s="1"/>
  <c r="T40" i="8" s="1"/>
  <c r="S39" i="8"/>
  <c r="S41" i="8" s="1"/>
  <c r="S39" i="5"/>
  <c r="S19" i="9"/>
  <c r="U36" i="5"/>
  <c r="S18" i="9"/>
  <c r="U59" i="7"/>
  <c r="U61" i="7"/>
  <c r="U60" i="7"/>
  <c r="R36" i="5"/>
  <c r="R39" i="5"/>
  <c r="R27" i="6"/>
  <c r="AK18" i="6"/>
  <c r="R30" i="6"/>
  <c r="AK19" i="6"/>
  <c r="AK16" i="6"/>
  <c r="AK20" i="6"/>
  <c r="AK24" i="6"/>
  <c r="AK6" i="6"/>
  <c r="AK10" i="6"/>
  <c r="U39" i="5"/>
  <c r="CB69" i="3"/>
  <c r="CE69" i="3" s="1"/>
  <c r="R48" i="5"/>
  <c r="R49" i="5" s="1"/>
  <c r="R31" i="6"/>
  <c r="CE53" i="3"/>
  <c r="R28" i="6"/>
  <c r="AK12" i="6"/>
  <c r="CB13" i="3"/>
  <c r="T12" i="7"/>
  <c r="T21" i="7" s="1"/>
  <c r="R32" i="6"/>
  <c r="R33" i="6" s="1"/>
  <c r="T63" i="7"/>
  <c r="T66" i="7"/>
  <c r="AK9" i="6"/>
  <c r="AK7" i="6"/>
  <c r="AK11" i="6"/>
  <c r="R5" i="9"/>
  <c r="CG61" i="3"/>
  <c r="CG59" i="3"/>
  <c r="CG63" i="3"/>
  <c r="AK8" i="6"/>
  <c r="AK5" i="6"/>
  <c r="AK13" i="6"/>
  <c r="CB79" i="3"/>
  <c r="CE78" i="3" s="1"/>
  <c r="T53" i="7"/>
  <c r="CE64" i="3"/>
  <c r="AK22" i="6"/>
  <c r="AK23" i="6"/>
  <c r="CE55" i="3"/>
  <c r="R29" i="6"/>
  <c r="CE80" i="3"/>
  <c r="T54" i="7"/>
  <c r="T26" i="7"/>
  <c r="R21" i="9"/>
  <c r="R37" i="8"/>
  <c r="R24" i="8" s="1"/>
  <c r="R33" i="8"/>
  <c r="R22" i="8"/>
  <c r="CB51" i="3"/>
  <c r="CE50" i="3" s="1"/>
  <c r="CB48" i="3"/>
  <c r="T50" i="7"/>
  <c r="CB49" i="3"/>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B20" i="3"/>
  <c r="CE19" i="3" s="1"/>
  <c r="CB8" i="3"/>
  <c r="CE8" i="3" s="1"/>
  <c r="CE11" i="3"/>
  <c r="CB14" i="3"/>
  <c r="CE13" i="3" s="1"/>
  <c r="CB27" i="3"/>
  <c r="CB32" i="3"/>
  <c r="CE31" i="3" s="1"/>
  <c r="CE38" i="3"/>
  <c r="P42" i="1"/>
  <c r="CO73" i="3" l="1"/>
  <c r="V61" i="7"/>
  <c r="CE48" i="3"/>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J25" i="6" s="1"/>
  <c r="Q24" i="6"/>
  <c r="Q23" i="6"/>
  <c r="Q22" i="6"/>
  <c r="Q21" i="6"/>
  <c r="Q20" i="6"/>
  <c r="Q19" i="6"/>
  <c r="Q18" i="6"/>
  <c r="Q17" i="6"/>
  <c r="AJ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57" i="7" s="1"/>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Q34" i="6" l="1"/>
  <c r="S32" i="7"/>
  <c r="AJ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J18" i="6"/>
  <c r="AJ22" i="6"/>
  <c r="Q35" i="5"/>
  <c r="Q41" i="5"/>
  <c r="S54" i="7"/>
  <c r="AJ19" i="6"/>
  <c r="AJ23" i="6"/>
  <c r="AJ16" i="6"/>
  <c r="AJ20" i="6"/>
  <c r="AJ24" i="6"/>
  <c r="Q44" i="5"/>
  <c r="AJ9" i="6"/>
  <c r="AJ13" i="6"/>
  <c r="Q35" i="6"/>
  <c r="AJ6" i="6"/>
  <c r="AJ10" i="6"/>
  <c r="AJ7" i="6"/>
  <c r="AJ11" i="6"/>
  <c r="BZ22" i="3"/>
  <c r="BW24" i="3" s="1"/>
  <c r="AJ8" i="6"/>
  <c r="AJ12" i="6"/>
  <c r="AJ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Z38" i="3" s="1"/>
  <c r="BW48" i="3"/>
  <c r="BW8" i="3"/>
  <c r="BZ8" i="3" s="1"/>
  <c r="BW14" i="3"/>
  <c r="BZ13" i="3" s="1"/>
  <c r="BW27" i="3"/>
  <c r="BW32" i="3"/>
  <c r="BZ31" i="3" s="1"/>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I25" i="6" s="1"/>
  <c r="P24" i="6"/>
  <c r="P23" i="6"/>
  <c r="P22" i="6"/>
  <c r="P21" i="6"/>
  <c r="AI21" i="6" s="1"/>
  <c r="P20" i="6"/>
  <c r="P19" i="6"/>
  <c r="P18" i="6"/>
  <c r="P17" i="6"/>
  <c r="AI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U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I6" i="6"/>
  <c r="AI7" i="6"/>
  <c r="AI12" i="6"/>
  <c r="P20" i="9"/>
  <c r="P21" i="9"/>
  <c r="BR46" i="3"/>
  <c r="BU45" i="3" s="1"/>
  <c r="P31" i="6"/>
  <c r="AI11" i="6"/>
  <c r="P27" i="6"/>
  <c r="AI18" i="6"/>
  <c r="P30" i="6"/>
  <c r="AI19" i="6"/>
  <c r="P28" i="6"/>
  <c r="P33" i="8"/>
  <c r="P37" i="8"/>
  <c r="P24" i="8" s="1"/>
  <c r="AI16" i="6"/>
  <c r="AI20" i="6"/>
  <c r="AI24" i="6"/>
  <c r="P44" i="5"/>
  <c r="P35" i="5"/>
  <c r="AI9" i="6"/>
  <c r="AI10" i="6"/>
  <c r="P49" i="5"/>
  <c r="BU22" i="3"/>
  <c r="BR24" i="3" s="1"/>
  <c r="P19" i="9"/>
  <c r="BR72" i="3"/>
  <c r="BU71" i="3" s="1"/>
  <c r="BU75" i="3"/>
  <c r="P17" i="9"/>
  <c r="P34" i="6"/>
  <c r="P22" i="8"/>
  <c r="R59" i="7" s="1"/>
  <c r="AI8" i="6"/>
  <c r="R27" i="7"/>
  <c r="AI5" i="6"/>
  <c r="AI13" i="6"/>
  <c r="BU11" i="3"/>
  <c r="P18" i="9"/>
  <c r="R48" i="7"/>
  <c r="R32" i="7"/>
  <c r="R54" i="7"/>
  <c r="R50" i="7"/>
  <c r="R18" i="7"/>
  <c r="P45" i="5"/>
  <c r="AI22" i="6"/>
  <c r="P46" i="5"/>
  <c r="P41" i="5"/>
  <c r="AI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H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H7" i="6"/>
  <c r="P41" i="8"/>
  <c r="O41" i="5"/>
  <c r="AH13" i="6"/>
  <c r="AH8" i="6"/>
  <c r="AH6" i="6"/>
  <c r="AH24" i="6"/>
  <c r="AH11" i="6"/>
  <c r="O46" i="5"/>
  <c r="O35" i="5"/>
  <c r="AH10" i="6"/>
  <c r="AH12" i="6"/>
  <c r="AH9" i="6"/>
  <c r="AH21" i="6"/>
  <c r="AH25" i="6"/>
  <c r="O44" i="5"/>
  <c r="O37" i="5"/>
  <c r="AH18" i="6"/>
  <c r="AH22" i="6"/>
  <c r="O31" i="6"/>
  <c r="O27" i="6"/>
  <c r="O30" i="6"/>
  <c r="O35" i="6"/>
  <c r="O49" i="5"/>
  <c r="AH19" i="6"/>
  <c r="AH23" i="6"/>
  <c r="O28" i="6"/>
  <c r="AH17" i="6"/>
  <c r="O34" i="5"/>
  <c r="O45" i="5"/>
  <c r="AH16" i="6"/>
  <c r="AH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U35" i="8"/>
  <c r="U37" i="8" s="1"/>
  <c r="U24" i="8" s="1"/>
  <c r="U30" i="8"/>
  <c r="U19" i="8"/>
  <c r="U17" i="8"/>
  <c r="U14" i="8"/>
  <c r="U13" i="8"/>
  <c r="U9" i="8"/>
  <c r="U8" i="8"/>
  <c r="U7" i="8"/>
  <c r="U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U22" i="8"/>
  <c r="U33" i="8"/>
  <c r="Q32" i="7"/>
  <c r="BM72" i="3"/>
  <c r="BP71" i="3" s="1"/>
  <c r="BM48" i="3"/>
  <c r="BM49" i="3"/>
  <c r="BP48" i="3" s="1"/>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24" i="3" l="1"/>
  <c r="BP27" i="3"/>
  <c r="O25" i="8"/>
  <c r="O26" i="8" s="1"/>
  <c r="O40" i="8" s="1"/>
  <c r="O41" i="8" s="1"/>
  <c r="U25" i="8"/>
  <c r="U26" i="8" s="1"/>
  <c r="U40" i="8" s="1"/>
  <c r="U39" i="8"/>
  <c r="Q60" i="7"/>
  <c r="Q59" i="7"/>
  <c r="A2" i="9"/>
  <c r="Q61" i="7" l="1"/>
  <c r="U41" i="8"/>
  <c r="D14" i="9"/>
  <c r="E14" i="9"/>
  <c r="F14" i="9"/>
  <c r="G14" i="9"/>
  <c r="H14" i="9"/>
  <c r="I14" i="9"/>
  <c r="J14" i="9"/>
  <c r="K14" i="9"/>
  <c r="L14" i="9"/>
  <c r="M14" i="9"/>
  <c r="N14" i="9"/>
  <c r="U14" i="9"/>
  <c r="C14" i="9"/>
  <c r="D13" i="9"/>
  <c r="E13" i="9"/>
  <c r="F13" i="9"/>
  <c r="G13" i="9"/>
  <c r="H13" i="9"/>
  <c r="I13" i="9"/>
  <c r="J13" i="9"/>
  <c r="K13" i="9"/>
  <c r="L13" i="9"/>
  <c r="M13" i="9"/>
  <c r="N13" i="9"/>
  <c r="U13" i="9"/>
  <c r="C13" i="9"/>
  <c r="D12" i="9"/>
  <c r="E12" i="9"/>
  <c r="F12" i="9"/>
  <c r="G12" i="9"/>
  <c r="H12" i="9"/>
  <c r="I12" i="9"/>
  <c r="J12" i="9"/>
  <c r="K12" i="9"/>
  <c r="L12" i="9"/>
  <c r="M12" i="9"/>
  <c r="N12" i="9"/>
  <c r="U12" i="9"/>
  <c r="C12" i="9"/>
  <c r="D11" i="9"/>
  <c r="E11" i="9"/>
  <c r="F11" i="9"/>
  <c r="G11" i="9"/>
  <c r="H11" i="9"/>
  <c r="I11" i="9"/>
  <c r="J11" i="9"/>
  <c r="K11" i="9"/>
  <c r="L11" i="9"/>
  <c r="M11" i="9"/>
  <c r="N11" i="9"/>
  <c r="U11" i="9"/>
  <c r="C11" i="9"/>
  <c r="D10" i="9"/>
  <c r="E10" i="9"/>
  <c r="F10" i="9"/>
  <c r="G10" i="9"/>
  <c r="H10" i="9"/>
  <c r="I10" i="9"/>
  <c r="J10" i="9"/>
  <c r="K10" i="9"/>
  <c r="L10" i="9"/>
  <c r="M10" i="9"/>
  <c r="M21" i="9" s="1"/>
  <c r="N10" i="9"/>
  <c r="U10" i="9"/>
  <c r="C10" i="9"/>
  <c r="D9" i="9"/>
  <c r="E9" i="9"/>
  <c r="F9" i="9"/>
  <c r="G9" i="9"/>
  <c r="H9" i="9"/>
  <c r="I9" i="9"/>
  <c r="J9" i="9"/>
  <c r="K9" i="9"/>
  <c r="L9" i="9"/>
  <c r="M9" i="9"/>
  <c r="N9" i="9"/>
  <c r="U9" i="9"/>
  <c r="C9" i="9"/>
  <c r="D8" i="9"/>
  <c r="E8" i="9"/>
  <c r="F8" i="9"/>
  <c r="G8" i="9"/>
  <c r="H8" i="9"/>
  <c r="I8" i="9"/>
  <c r="J8" i="9"/>
  <c r="K8" i="9"/>
  <c r="L8" i="9"/>
  <c r="M8" i="9"/>
  <c r="N8" i="9"/>
  <c r="U8" i="9"/>
  <c r="C8" i="9"/>
  <c r="D7" i="9"/>
  <c r="E7" i="9"/>
  <c r="F7" i="9"/>
  <c r="G7" i="9"/>
  <c r="H7" i="9"/>
  <c r="I7" i="9"/>
  <c r="J7" i="9"/>
  <c r="K7" i="9"/>
  <c r="L7" i="9"/>
  <c r="M7" i="9"/>
  <c r="N7" i="9"/>
  <c r="U7" i="9"/>
  <c r="C7" i="9"/>
  <c r="D6" i="9"/>
  <c r="E6" i="9"/>
  <c r="F6" i="9"/>
  <c r="G6" i="9"/>
  <c r="H6" i="9"/>
  <c r="I6" i="9"/>
  <c r="J6" i="9"/>
  <c r="K6" i="9"/>
  <c r="L6" i="9"/>
  <c r="M6" i="9"/>
  <c r="N6" i="9"/>
  <c r="U6" i="9"/>
  <c r="C6" i="9"/>
  <c r="U4" i="9"/>
  <c r="U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G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K80" i="3" s="1"/>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AF5" i="6" s="1"/>
  <c r="L6" i="6"/>
  <c r="M6" i="6"/>
  <c r="L7" i="6"/>
  <c r="M7" i="6"/>
  <c r="L8" i="6"/>
  <c r="M8" i="6"/>
  <c r="L9" i="6"/>
  <c r="AE9" i="6" s="1"/>
  <c r="M9" i="6"/>
  <c r="AF9" i="6" s="1"/>
  <c r="L10" i="6"/>
  <c r="M10" i="6"/>
  <c r="L11" i="6"/>
  <c r="AE11" i="6" s="1"/>
  <c r="M11" i="6"/>
  <c r="L12" i="6"/>
  <c r="M12" i="6"/>
  <c r="L13" i="6"/>
  <c r="AE13" i="6" s="1"/>
  <c r="M13" i="6"/>
  <c r="AF13" i="6" s="1"/>
  <c r="L14" i="6"/>
  <c r="M14" i="6"/>
  <c r="L16" i="6"/>
  <c r="M16" i="6"/>
  <c r="L17" i="6"/>
  <c r="M17" i="6"/>
  <c r="L18" i="6"/>
  <c r="M18" i="6"/>
  <c r="L19" i="6"/>
  <c r="M19" i="6"/>
  <c r="L20" i="6"/>
  <c r="M20" i="6"/>
  <c r="L21" i="6"/>
  <c r="M21" i="6"/>
  <c r="L22" i="6"/>
  <c r="M22" i="6"/>
  <c r="L23" i="6"/>
  <c r="M23" i="6"/>
  <c r="L24" i="6"/>
  <c r="M24" i="6"/>
  <c r="L25" i="6"/>
  <c r="AE25" i="6" s="1"/>
  <c r="M25" i="6"/>
  <c r="AF25" i="6" s="1"/>
  <c r="W69" i="7"/>
  <c r="O69" i="7"/>
  <c r="N69" i="7"/>
  <c r="W68" i="7"/>
  <c r="O68" i="7"/>
  <c r="N68" i="7"/>
  <c r="W64" i="7"/>
  <c r="O64" i="7"/>
  <c r="N64" i="7"/>
  <c r="W51" i="7"/>
  <c r="O51" i="7"/>
  <c r="N51" i="7"/>
  <c r="W44" i="7"/>
  <c r="O44" i="7"/>
  <c r="N44" i="7"/>
  <c r="W40" i="7"/>
  <c r="O40" i="7"/>
  <c r="N40" i="7"/>
  <c r="W35" i="7"/>
  <c r="O35" i="7"/>
  <c r="N35" i="7"/>
  <c r="W34" i="7"/>
  <c r="O34" i="7"/>
  <c r="N34" i="7"/>
  <c r="W30" i="7"/>
  <c r="O30" i="7"/>
  <c r="N30" i="7"/>
  <c r="W29" i="7"/>
  <c r="O29" i="7"/>
  <c r="N29" i="7"/>
  <c r="W28" i="7"/>
  <c r="O28" i="7"/>
  <c r="N28" i="7"/>
  <c r="W16" i="7"/>
  <c r="O16" i="7"/>
  <c r="N16" i="7"/>
  <c r="W15" i="7"/>
  <c r="O15" i="7"/>
  <c r="N15" i="7"/>
  <c r="W14" i="7"/>
  <c r="O14" i="7"/>
  <c r="N14" i="7"/>
  <c r="W13" i="7"/>
  <c r="O13" i="7"/>
  <c r="N13" i="7"/>
  <c r="W11" i="7"/>
  <c r="O11" i="7"/>
  <c r="N11" i="7"/>
  <c r="W10" i="7"/>
  <c r="O10" i="7"/>
  <c r="N10" i="7"/>
  <c r="W9" i="7"/>
  <c r="O9" i="7"/>
  <c r="N9" i="7"/>
  <c r="W8" i="7"/>
  <c r="O8" i="7"/>
  <c r="N8" i="7"/>
  <c r="W7" i="7"/>
  <c r="O7" i="7"/>
  <c r="N7" i="7"/>
  <c r="W6" i="7"/>
  <c r="O6" i="7"/>
  <c r="N6" i="7"/>
  <c r="N20" i="7" s="1"/>
  <c r="W5" i="7"/>
  <c r="O5" i="7"/>
  <c r="O57" i="7" s="1"/>
  <c r="N5" i="7"/>
  <c r="W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W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X5" i="6" s="1"/>
  <c r="F25" i="6"/>
  <c r="F24" i="6"/>
  <c r="F23" i="6"/>
  <c r="F22" i="6"/>
  <c r="F21" i="6"/>
  <c r="F20" i="6"/>
  <c r="F19" i="6"/>
  <c r="F18" i="6"/>
  <c r="F17" i="6"/>
  <c r="F16" i="6"/>
  <c r="F14" i="6"/>
  <c r="F13" i="6"/>
  <c r="F12" i="6"/>
  <c r="F10" i="6"/>
  <c r="F9" i="6"/>
  <c r="F8" i="6"/>
  <c r="F7" i="6"/>
  <c r="F6" i="6"/>
  <c r="F5" i="6"/>
  <c r="G25" i="6"/>
  <c r="G24" i="6"/>
  <c r="G23" i="6"/>
  <c r="G22" i="6"/>
  <c r="G21" i="6"/>
  <c r="Z21" i="6" s="1"/>
  <c r="G20" i="6"/>
  <c r="G19" i="6"/>
  <c r="G18" i="6"/>
  <c r="G17" i="6"/>
  <c r="Z17" i="6" s="1"/>
  <c r="G16" i="6"/>
  <c r="G14" i="6"/>
  <c r="G13" i="6"/>
  <c r="G12" i="6"/>
  <c r="G10" i="6"/>
  <c r="G9" i="6"/>
  <c r="G8" i="6"/>
  <c r="G7" i="6"/>
  <c r="G6" i="6"/>
  <c r="G5" i="6"/>
  <c r="G31" i="6" s="1"/>
  <c r="H25" i="6"/>
  <c r="AA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C41" i="1"/>
  <c r="CQ11" i="3" s="1"/>
  <c r="CT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D25" i="6" s="1"/>
  <c r="K13" i="6"/>
  <c r="AD13" i="6" s="1"/>
  <c r="K23" i="6"/>
  <c r="K24" i="6"/>
  <c r="K21" i="6"/>
  <c r="AD21" i="6" s="1"/>
  <c r="K20" i="6"/>
  <c r="K19" i="6"/>
  <c r="K18" i="6"/>
  <c r="K17" i="6"/>
  <c r="AD17" i="6" s="1"/>
  <c r="K16" i="6"/>
  <c r="K12" i="6"/>
  <c r="K10" i="6"/>
  <c r="K9" i="6"/>
  <c r="K7" i="6"/>
  <c r="AD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C47" i="1"/>
  <c r="CQ69" i="3" s="1"/>
  <c r="CT69" i="3" s="1"/>
  <c r="U21" i="6"/>
  <c r="U11" i="6"/>
  <c r="AC46" i="1"/>
  <c r="AC45" i="1"/>
  <c r="CQ22" i="3" s="1"/>
  <c r="AC43" i="1"/>
  <c r="AC44" i="1" s="1"/>
  <c r="CQ23" i="3" s="1"/>
  <c r="CT22" i="3" s="1"/>
  <c r="CQ24" i="3" s="1"/>
  <c r="CT24" i="3" s="1"/>
  <c r="AC42" i="1"/>
  <c r="CQ13" i="3" s="1"/>
  <c r="CT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U14" i="6"/>
  <c r="R47" i="1"/>
  <c r="J32" i="6" s="1"/>
  <c r="J14" i="6"/>
  <c r="J5" i="6"/>
  <c r="Q47" i="1"/>
  <c r="I14" i="6"/>
  <c r="U8" i="6"/>
  <c r="J8" i="6"/>
  <c r="I8" i="6"/>
  <c r="I5" i="6"/>
  <c r="U5" i="6"/>
  <c r="AN5" i="6" s="1"/>
  <c r="U12" i="6"/>
  <c r="U22" i="6"/>
  <c r="U25" i="6"/>
  <c r="U16" i="6"/>
  <c r="J22" i="6"/>
  <c r="J25" i="6"/>
  <c r="J19" i="6"/>
  <c r="I22" i="6"/>
  <c r="I25" i="6"/>
  <c r="AB25" i="6" s="1"/>
  <c r="I24" i="6"/>
  <c r="U13" i="6"/>
  <c r="U27" i="6" s="1"/>
  <c r="U23" i="6"/>
  <c r="U24" i="6"/>
  <c r="J13" i="6"/>
  <c r="J27" i="6" s="1"/>
  <c r="J23" i="6"/>
  <c r="J24" i="6"/>
  <c r="I13" i="6"/>
  <c r="I27" i="6" s="1"/>
  <c r="I23" i="6"/>
  <c r="J21" i="6"/>
  <c r="I21" i="6"/>
  <c r="U20" i="6"/>
  <c r="J20" i="6"/>
  <c r="AC20" i="6" s="1"/>
  <c r="I20" i="6"/>
  <c r="U19" i="6"/>
  <c r="I19" i="6"/>
  <c r="U18" i="6"/>
  <c r="J18" i="6"/>
  <c r="I18" i="6"/>
  <c r="U17" i="6"/>
  <c r="J17" i="6"/>
  <c r="AC17" i="6" s="1"/>
  <c r="I17" i="6"/>
  <c r="J16" i="6"/>
  <c r="I16" i="6"/>
  <c r="AB16" i="6" s="1"/>
  <c r="J12" i="6"/>
  <c r="I12" i="6"/>
  <c r="U10" i="6"/>
  <c r="AN10" i="6" s="1"/>
  <c r="J10" i="6"/>
  <c r="AC10" i="6" s="1"/>
  <c r="I10" i="6"/>
  <c r="U9" i="6"/>
  <c r="J9" i="6"/>
  <c r="I9" i="6"/>
  <c r="U7" i="6"/>
  <c r="J7" i="6"/>
  <c r="I7" i="6"/>
  <c r="U6" i="6"/>
  <c r="J6" i="6"/>
  <c r="I6" i="6"/>
  <c r="AB6" i="6" s="1"/>
  <c r="K47" i="1"/>
  <c r="C25" i="6"/>
  <c r="V25" i="6" s="1"/>
  <c r="C24" i="6"/>
  <c r="C23" i="6"/>
  <c r="C22" i="6"/>
  <c r="C21" i="6"/>
  <c r="C20" i="6"/>
  <c r="C19" i="6"/>
  <c r="C18" i="6"/>
  <c r="C17" i="6"/>
  <c r="V17" i="6" s="1"/>
  <c r="C16" i="6"/>
  <c r="C14" i="6"/>
  <c r="C5" i="6"/>
  <c r="V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Q80" i="3" s="1"/>
  <c r="AN53" i="3"/>
  <c r="AN55" i="3" s="1"/>
  <c r="AI9" i="3"/>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F32" i="7" s="1"/>
  <c r="D11" i="5"/>
  <c r="D22" i="5" s="1"/>
  <c r="J6" i="3"/>
  <c r="J17" i="3" s="1"/>
  <c r="F11" i="7"/>
  <c r="F15" i="7"/>
  <c r="F28" i="7"/>
  <c r="F34" i="7"/>
  <c r="D5" i="5"/>
  <c r="D8" i="6"/>
  <c r="D12" i="6"/>
  <c r="F30" i="7"/>
  <c r="F40" i="7"/>
  <c r="F69" i="7"/>
  <c r="D10" i="6"/>
  <c r="D12" i="5"/>
  <c r="J12" i="3"/>
  <c r="J14" i="3" s="1"/>
  <c r="F29" i="7"/>
  <c r="CG70" i="3"/>
  <c r="J12" i="7"/>
  <c r="J13" i="3"/>
  <c r="AD13" i="3"/>
  <c r="U20" i="9" l="1"/>
  <c r="L48" i="5"/>
  <c r="AL80" i="3"/>
  <c r="F27" i="7"/>
  <c r="R22" i="3"/>
  <c r="O24" i="3" s="1"/>
  <c r="W22" i="3"/>
  <c r="T24" i="3" s="1"/>
  <c r="AF11" i="6"/>
  <c r="AF7" i="6"/>
  <c r="AG22" i="3"/>
  <c r="AD24" i="3" s="1"/>
  <c r="D41" i="5"/>
  <c r="M53" i="3"/>
  <c r="BK45" i="3"/>
  <c r="I21" i="9"/>
  <c r="V21" i="6"/>
  <c r="CQ72" i="3"/>
  <c r="CT71" i="3" s="1"/>
  <c r="CQ73" i="3"/>
  <c r="I47" i="5"/>
  <c r="N31" i="6"/>
  <c r="N63" i="7"/>
  <c r="E47" i="5"/>
  <c r="T14" i="3"/>
  <c r="J47" i="5"/>
  <c r="G12" i="7"/>
  <c r="C47" i="5"/>
  <c r="Y59" i="3"/>
  <c r="AI29" i="3"/>
  <c r="AL29" i="3" s="1"/>
  <c r="AN69" i="3"/>
  <c r="W63" i="7"/>
  <c r="U48" i="5"/>
  <c r="U49" i="5" s="1"/>
  <c r="W12" i="7"/>
  <c r="W18" i="7" s="1"/>
  <c r="U10" i="5"/>
  <c r="R64" i="3"/>
  <c r="M80" i="3"/>
  <c r="AV80" i="3"/>
  <c r="CJ80" i="3"/>
  <c r="BF80" i="3"/>
  <c r="AV6" i="3"/>
  <c r="G48" i="5"/>
  <c r="G49" i="5" s="1"/>
  <c r="E12" i="7"/>
  <c r="CJ43" i="3"/>
  <c r="W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U21" i="9"/>
  <c r="H33" i="7"/>
  <c r="AG43" i="3"/>
  <c r="AN8" i="6"/>
  <c r="R6" i="3"/>
  <c r="AQ22" i="3"/>
  <c r="AN24" i="3" s="1"/>
  <c r="AQ69" i="3"/>
  <c r="M22" i="3"/>
  <c r="J24" i="3" s="1"/>
  <c r="CJ53" i="3"/>
  <c r="W64" i="3"/>
  <c r="AG53" i="3"/>
  <c r="W53" i="3"/>
  <c r="Y67" i="3"/>
  <c r="AQ64" i="3"/>
  <c r="AA6" i="6"/>
  <c r="AV11" i="3"/>
  <c r="AS32" i="3"/>
  <c r="AV31" i="3" s="1"/>
  <c r="H16" i="9"/>
  <c r="C21" i="9"/>
  <c r="O17" i="3"/>
  <c r="O40" i="3"/>
  <c r="R40" i="3" s="1"/>
  <c r="AX61" i="3"/>
  <c r="O38" i="3"/>
  <c r="AS25" i="3"/>
  <c r="E18" i="3"/>
  <c r="H17" i="3" s="1"/>
  <c r="AD32" i="3"/>
  <c r="AG31" i="3" s="1"/>
  <c r="W8" i="6"/>
  <c r="D31" i="6"/>
  <c r="AC12" i="6"/>
  <c r="AN60" i="3"/>
  <c r="G20" i="7"/>
  <c r="AD49" i="3"/>
  <c r="T67" i="3"/>
  <c r="AD74" i="3"/>
  <c r="AD48" i="3"/>
  <c r="I41" i="5"/>
  <c r="J48" i="3"/>
  <c r="AS49" i="3"/>
  <c r="AI67" i="3"/>
  <c r="AS74" i="3"/>
  <c r="V20" i="6"/>
  <c r="V24" i="6"/>
  <c r="J30" i="6"/>
  <c r="G53" i="7"/>
  <c r="Y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G18" i="7"/>
  <c r="V19" i="6"/>
  <c r="V23" i="6"/>
  <c r="AB17" i="6"/>
  <c r="AB20" i="6"/>
  <c r="AB13" i="6"/>
  <c r="G26" i="7"/>
  <c r="X9" i="6"/>
  <c r="W9" i="6"/>
  <c r="F18" i="7"/>
  <c r="M18" i="9"/>
  <c r="L37" i="8"/>
  <c r="L24" i="8" s="1"/>
  <c r="AG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W6" i="6"/>
  <c r="H6" i="3"/>
  <c r="AV22" i="3"/>
  <c r="AS24" i="3" s="1"/>
  <c r="AV40" i="3"/>
  <c r="J27" i="7"/>
  <c r="AB6" i="3"/>
  <c r="AB69" i="3"/>
  <c r="AB75" i="3"/>
  <c r="Y8" i="6"/>
  <c r="Y9" i="6"/>
  <c r="X6" i="6"/>
  <c r="X10" i="6"/>
  <c r="BA40" i="3"/>
  <c r="R29" i="3"/>
  <c r="E25" i="7"/>
  <c r="AX38" i="3"/>
  <c r="BA38" i="3" s="1"/>
  <c r="AX16" i="3"/>
  <c r="BA15" i="3" s="1"/>
  <c r="AG6" i="3"/>
  <c r="O34" i="3"/>
  <c r="R33" i="3" s="1"/>
  <c r="AI38" i="3"/>
  <c r="AL38" i="3" s="1"/>
  <c r="T25" i="3"/>
  <c r="W24" i="3" s="1"/>
  <c r="T38" i="3"/>
  <c r="W38" i="3" s="1"/>
  <c r="T32" i="3"/>
  <c r="W31" i="3" s="1"/>
  <c r="T16" i="3"/>
  <c r="W15" i="3" s="1"/>
  <c r="T34" i="3"/>
  <c r="W33" i="3" s="1"/>
  <c r="W10" i="6"/>
  <c r="W12" i="6"/>
  <c r="T79" i="3"/>
  <c r="W78" i="3" s="1"/>
  <c r="E35" i="5"/>
  <c r="AA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Y7" i="6"/>
  <c r="Y5" i="6"/>
  <c r="AC13" i="6"/>
  <c r="F35" i="6"/>
  <c r="W25" i="6"/>
  <c r="P24" i="7"/>
  <c r="N37" i="8"/>
  <c r="N24" i="8" s="1"/>
  <c r="AC25" i="6"/>
  <c r="W20" i="6"/>
  <c r="Y28" i="3"/>
  <c r="I44" i="5"/>
  <c r="E54" i="7"/>
  <c r="L54" i="7"/>
  <c r="H27" i="6"/>
  <c r="AA18" i="6"/>
  <c r="H30" i="6"/>
  <c r="X24" i="6"/>
  <c r="W18" i="6"/>
  <c r="E37" i="8"/>
  <c r="E24" i="8" s="1"/>
  <c r="D28" i="6"/>
  <c r="AS67" i="3"/>
  <c r="E74" i="3"/>
  <c r="AA19" i="6"/>
  <c r="Y49" i="3"/>
  <c r="D44" i="5"/>
  <c r="AN49" i="3"/>
  <c r="E32" i="7"/>
  <c r="E53" i="7"/>
  <c r="E28" i="3"/>
  <c r="AC18" i="6"/>
  <c r="AA20" i="6"/>
  <c r="AA24" i="6"/>
  <c r="N29" i="6"/>
  <c r="F21" i="7"/>
  <c r="F25" i="7"/>
  <c r="J33" i="6"/>
  <c r="Y20" i="6"/>
  <c r="BH28" i="3"/>
  <c r="BM67" i="3"/>
  <c r="BM66" i="3"/>
  <c r="BM63" i="3"/>
  <c r="BM62" i="3"/>
  <c r="J19" i="9"/>
  <c r="F20" i="9"/>
  <c r="K50" i="7"/>
  <c r="E56" i="7"/>
  <c r="I20" i="7"/>
  <c r="F44" i="5"/>
  <c r="AG8" i="6"/>
  <c r="AG12" i="6"/>
  <c r="G16" i="9"/>
  <c r="N16" i="9"/>
  <c r="O16" i="9"/>
  <c r="V22" i="6"/>
  <c r="CJ6" i="3"/>
  <c r="Z16" i="6"/>
  <c r="Y18" i="6"/>
  <c r="F30" i="6"/>
  <c r="BM59" i="3"/>
  <c r="BM58" i="3"/>
  <c r="C43" i="5"/>
  <c r="K57" i="7"/>
  <c r="K33" i="7"/>
  <c r="E26" i="7"/>
  <c r="G44" i="5"/>
  <c r="E44" i="5"/>
  <c r="D35" i="5"/>
  <c r="F56" i="7"/>
  <c r="F54" i="7"/>
  <c r="D37" i="5"/>
  <c r="BM61" i="3"/>
  <c r="BM60" i="3"/>
  <c r="I31" i="6"/>
  <c r="Z10" i="6"/>
  <c r="AA22" i="6"/>
  <c r="X16" i="6"/>
  <c r="AB5" i="6"/>
  <c r="K27" i="6"/>
  <c r="AA13" i="6"/>
  <c r="Y12" i="6"/>
  <c r="F28" i="6"/>
  <c r="X8" i="6"/>
  <c r="X13" i="6"/>
  <c r="AD19" i="6"/>
  <c r="AD23" i="6"/>
  <c r="M31" i="6"/>
  <c r="V18" i="6"/>
  <c r="C30" i="6"/>
  <c r="AB7" i="6"/>
  <c r="AC9" i="6"/>
  <c r="AB18" i="6"/>
  <c r="AB21" i="6"/>
  <c r="J31" i="6"/>
  <c r="AD16" i="6"/>
  <c r="AD20" i="6"/>
  <c r="AD10" i="6"/>
  <c r="W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R17" i="3" s="1"/>
  <c r="T59" i="3"/>
  <c r="O70" i="3"/>
  <c r="AI79" i="3"/>
  <c r="AL78" i="3" s="1"/>
  <c r="AI28" i="3"/>
  <c r="BH32" i="3"/>
  <c r="BK31" i="3" s="1"/>
  <c r="BC79" i="3"/>
  <c r="BF78" i="3" s="1"/>
  <c r="BC34" i="3"/>
  <c r="BF33" i="3" s="1"/>
  <c r="BH63" i="3"/>
  <c r="O25" i="3"/>
  <c r="T60" i="3"/>
  <c r="W60" i="3" s="1"/>
  <c r="O20" i="3"/>
  <c r="R19" i="3" s="1"/>
  <c r="O36" i="3"/>
  <c r="R35" i="3" s="1"/>
  <c r="R38" i="3"/>
  <c r="AL6" i="3"/>
  <c r="AI49" i="3"/>
  <c r="BH20" i="3"/>
  <c r="BK19" i="3" s="1"/>
  <c r="M43" i="3"/>
  <c r="E57" i="7"/>
  <c r="L53" i="7"/>
  <c r="E20" i="7"/>
  <c r="H50" i="7"/>
  <c r="G56" i="7"/>
  <c r="G54" i="7"/>
  <c r="O27" i="7"/>
  <c r="P48" i="7"/>
  <c r="L27" i="7"/>
  <c r="O19" i="7"/>
  <c r="I32" i="7"/>
  <c r="E22" i="7"/>
  <c r="L50" i="7"/>
  <c r="L19" i="7"/>
  <c r="W50" i="7"/>
  <c r="CG8" i="3"/>
  <c r="CJ8" i="3" s="1"/>
  <c r="AF10" i="6"/>
  <c r="BH14" i="3"/>
  <c r="BH34" i="3"/>
  <c r="BK33" i="3" s="1"/>
  <c r="Y72" i="3"/>
  <c r="AB71" i="3" s="1"/>
  <c r="Y14" i="3"/>
  <c r="Y27" i="3"/>
  <c r="AS8" i="3"/>
  <c r="AV8" i="3" s="1"/>
  <c r="AN9" i="6"/>
  <c r="K47" i="5"/>
  <c r="AD9" i="6"/>
  <c r="AD8" i="6"/>
  <c r="G19" i="7"/>
  <c r="Y62" i="3"/>
  <c r="AB62" i="3" s="1"/>
  <c r="W24" i="7"/>
  <c r="O20" i="7"/>
  <c r="L20" i="7"/>
  <c r="E19" i="7"/>
  <c r="T62" i="3"/>
  <c r="W62" i="3" s="1"/>
  <c r="BH29" i="3"/>
  <c r="BK29" i="3" s="1"/>
  <c r="E27" i="6"/>
  <c r="J25" i="7"/>
  <c r="Y18" i="3"/>
  <c r="AB17" i="3" s="1"/>
  <c r="AB10" i="6"/>
  <c r="U31" i="6"/>
  <c r="AS60" i="3"/>
  <c r="E49" i="5"/>
  <c r="J26" i="7"/>
  <c r="I33" i="7"/>
  <c r="AA7" i="6"/>
  <c r="AA12" i="6"/>
  <c r="W7" i="6"/>
  <c r="M29" i="6"/>
  <c r="AF12" i="6"/>
  <c r="AF8" i="6"/>
  <c r="AF6" i="6"/>
  <c r="P26" i="7"/>
  <c r="CG40" i="3"/>
  <c r="CJ40" i="3" s="1"/>
  <c r="AD5" i="6"/>
  <c r="Y58" i="3"/>
  <c r="BH16" i="3"/>
  <c r="BK15" i="3" s="1"/>
  <c r="Y16" i="3"/>
  <c r="AB15" i="3" s="1"/>
  <c r="L26" i="7"/>
  <c r="K24" i="7"/>
  <c r="AN11" i="6"/>
  <c r="AD6" i="6"/>
  <c r="AD12" i="6"/>
  <c r="AD11" i="6"/>
  <c r="E43" i="5"/>
  <c r="Y6" i="6"/>
  <c r="Y10" i="6"/>
  <c r="X7" i="6"/>
  <c r="W13" i="6"/>
  <c r="O24" i="7"/>
  <c r="P33" i="7"/>
  <c r="F22" i="8"/>
  <c r="F39" i="8" s="1"/>
  <c r="F37" i="8"/>
  <c r="F24" i="8" s="1"/>
  <c r="E34" i="5"/>
  <c r="AE17" i="6"/>
  <c r="CG79" i="3"/>
  <c r="CJ78" i="3" s="1"/>
  <c r="AN66" i="3"/>
  <c r="AQ66" i="3" s="1"/>
  <c r="F57" i="7"/>
  <c r="T56" i="3"/>
  <c r="W55" i="3" s="1"/>
  <c r="G22" i="7"/>
  <c r="CG28" i="3"/>
  <c r="J28" i="3"/>
  <c r="J33" i="8"/>
  <c r="K33" i="8"/>
  <c r="J53" i="7"/>
  <c r="T51" i="3"/>
  <c r="W50" i="3" s="1"/>
  <c r="H29" i="6"/>
  <c r="Y17" i="6"/>
  <c r="Y21" i="6"/>
  <c r="Y25" i="6"/>
  <c r="E30" i="6"/>
  <c r="W16" i="6"/>
  <c r="D37" i="8"/>
  <c r="D24" i="8" s="1"/>
  <c r="O54" i="7"/>
  <c r="AF21" i="6"/>
  <c r="AF19" i="6"/>
  <c r="L44" i="5"/>
  <c r="F21" i="9"/>
  <c r="AN74" i="3"/>
  <c r="Y22" i="6"/>
  <c r="J66" i="3"/>
  <c r="G57" i="7"/>
  <c r="G48" i="7"/>
  <c r="AN24" i="6"/>
  <c r="K45" i="5"/>
  <c r="H37" i="8"/>
  <c r="H24" i="8" s="1"/>
  <c r="I50" i="7"/>
  <c r="H44" i="5"/>
  <c r="H41" i="5"/>
  <c r="G46" i="5"/>
  <c r="F34" i="5"/>
  <c r="F35" i="5"/>
  <c r="E45" i="5"/>
  <c r="G27" i="6"/>
  <c r="BH56" i="3"/>
  <c r="BK55" i="3" s="1"/>
  <c r="Y23" i="6"/>
  <c r="M6" i="3"/>
  <c r="O66" i="3"/>
  <c r="R66" i="3" s="1"/>
  <c r="J74" i="3"/>
  <c r="J79" i="3"/>
  <c r="M78" i="3" s="1"/>
  <c r="V16" i="6"/>
  <c r="AN18" i="6"/>
  <c r="AB24" i="6"/>
  <c r="K44" i="5"/>
  <c r="AD18" i="6"/>
  <c r="AD22" i="6"/>
  <c r="M32" i="7"/>
  <c r="I37" i="8"/>
  <c r="I24" i="8" s="1"/>
  <c r="G33" i="8"/>
  <c r="G37" i="8"/>
  <c r="G24" i="8" s="1"/>
  <c r="F33" i="8"/>
  <c r="J50" i="7"/>
  <c r="J56" i="7"/>
  <c r="I53" i="7"/>
  <c r="G50" i="7"/>
  <c r="E46" i="5"/>
  <c r="AA16" i="6"/>
  <c r="Y16" i="6"/>
  <c r="Y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G21" i="7"/>
  <c r="BC14" i="3"/>
  <c r="AS58" i="3"/>
  <c r="BC32" i="3"/>
  <c r="BF31" i="3" s="1"/>
  <c r="L32" i="7"/>
  <c r="BC74" i="3"/>
  <c r="E38" i="3"/>
  <c r="H38" i="3" s="1"/>
  <c r="J46" i="5"/>
  <c r="C28" i="6"/>
  <c r="AC21" i="6"/>
  <c r="J28" i="6"/>
  <c r="AC19" i="6"/>
  <c r="T17" i="3"/>
  <c r="T8" i="3"/>
  <c r="W8" i="3" s="1"/>
  <c r="T40" i="3"/>
  <c r="T74" i="3"/>
  <c r="W6" i="3"/>
  <c r="T66" i="3"/>
  <c r="F37" i="5"/>
  <c r="W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F22" i="6"/>
  <c r="BF6" i="3"/>
  <c r="E27" i="7"/>
  <c r="E46" i="3"/>
  <c r="H45" i="3" s="1"/>
  <c r="H43" i="3"/>
  <c r="J67" i="3"/>
  <c r="E49" i="3"/>
  <c r="E79" i="3"/>
  <c r="H78" i="3" s="1"/>
  <c r="E70" i="3"/>
  <c r="E14" i="3"/>
  <c r="H13" i="3" s="1"/>
  <c r="E25" i="3"/>
  <c r="H24" i="3" s="1"/>
  <c r="E29" i="3"/>
  <c r="H29" i="3" s="1"/>
  <c r="E16" i="3"/>
  <c r="H15" i="3" s="1"/>
  <c r="E34" i="3"/>
  <c r="H33" i="3" s="1"/>
  <c r="E27" i="3"/>
  <c r="AC24" i="6"/>
  <c r="AC16" i="6"/>
  <c r="AC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W24" i="6"/>
  <c r="E22" i="8"/>
  <c r="E39" i="8" s="1"/>
  <c r="E33" i="8"/>
  <c r="D22" i="8"/>
  <c r="D39" i="8" s="1"/>
  <c r="D33" i="8"/>
  <c r="M35" i="5"/>
  <c r="BK64" i="3"/>
  <c r="N33" i="8"/>
  <c r="AE20" i="6"/>
  <c r="AI8" i="3"/>
  <c r="AL8" i="3" s="1"/>
  <c r="AL11" i="3"/>
  <c r="AB9" i="6"/>
  <c r="AN20" i="6"/>
  <c r="E10" i="5"/>
  <c r="H45" i="5"/>
  <c r="G35" i="5"/>
  <c r="X22" i="6"/>
  <c r="W19" i="6"/>
  <c r="BC69" i="3"/>
  <c r="BC72" i="3" s="1"/>
  <c r="BF71" i="3" s="1"/>
  <c r="W54" i="7"/>
  <c r="N53" i="7"/>
  <c r="AF24" i="6"/>
  <c r="M30" i="6"/>
  <c r="AF20" i="6"/>
  <c r="AF18" i="6"/>
  <c r="AF16" i="6"/>
  <c r="J17" i="9"/>
  <c r="I19" i="7"/>
  <c r="AA9" i="6"/>
  <c r="X19" i="6"/>
  <c r="W22" i="6"/>
  <c r="N50" i="7"/>
  <c r="O56" i="7"/>
  <c r="W19" i="7"/>
  <c r="O48" i="7"/>
  <c r="L30" i="6"/>
  <c r="L27" i="6"/>
  <c r="M47" i="5"/>
  <c r="AG7" i="6"/>
  <c r="W48" i="7"/>
  <c r="I48" i="7"/>
  <c r="O22" i="7"/>
  <c r="AN17" i="6"/>
  <c r="AX28" i="3"/>
  <c r="AV43" i="3"/>
  <c r="I22" i="7"/>
  <c r="AN25" i="6"/>
  <c r="AQ43" i="3"/>
  <c r="K19" i="7"/>
  <c r="K37" i="5"/>
  <c r="N54" i="7"/>
  <c r="K21" i="9"/>
  <c r="G21" i="9"/>
  <c r="O53" i="7"/>
  <c r="U30" i="6"/>
  <c r="AX49" i="3"/>
  <c r="Y56" i="3"/>
  <c r="AB55" i="3" s="1"/>
  <c r="AN19" i="6"/>
  <c r="J22" i="7"/>
  <c r="H35" i="5"/>
  <c r="AA21" i="6"/>
  <c r="Z18" i="6"/>
  <c r="H37" i="5"/>
  <c r="N32" i="7"/>
  <c r="P56" i="7"/>
  <c r="N45" i="5"/>
  <c r="K48" i="7"/>
  <c r="AN22" i="6"/>
  <c r="AX74" i="3"/>
  <c r="BA73" i="3" s="1"/>
  <c r="AN16" i="6"/>
  <c r="I33" i="8"/>
  <c r="H33" i="8"/>
  <c r="J54" i="7"/>
  <c r="I54" i="7"/>
  <c r="O33" i="7"/>
  <c r="M37" i="5"/>
  <c r="AG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N12" i="6"/>
  <c r="I10" i="5"/>
  <c r="AB22" i="3"/>
  <c r="Y24" i="3" s="1"/>
  <c r="H22" i="8"/>
  <c r="J60" i="7" s="1"/>
  <c r="G22" i="8"/>
  <c r="G39" i="8" s="1"/>
  <c r="AG29" i="3"/>
  <c r="AA10" i="6"/>
  <c r="L34" i="5"/>
  <c r="N34" i="5"/>
  <c r="K16" i="9"/>
  <c r="H20" i="9"/>
  <c r="J20" i="9"/>
  <c r="AG11" i="3"/>
  <c r="AE8" i="6"/>
  <c r="P27" i="7"/>
  <c r="J18" i="7"/>
  <c r="K63" i="7"/>
  <c r="J22" i="8"/>
  <c r="J39" i="8" s="1"/>
  <c r="W27" i="7"/>
  <c r="AN13" i="6"/>
  <c r="L32" i="6"/>
  <c r="L35" i="6" s="1"/>
  <c r="AE5" i="6"/>
  <c r="N66" i="7"/>
  <c r="M33" i="7"/>
  <c r="AN38" i="3"/>
  <c r="AN14" i="3"/>
  <c r="AX8" i="3"/>
  <c r="BA8" i="3" s="1"/>
  <c r="M20" i="7"/>
  <c r="BH27" i="3"/>
  <c r="BH38" i="3"/>
  <c r="BK38" i="3" s="1"/>
  <c r="BH25" i="3"/>
  <c r="AN58" i="3"/>
  <c r="AA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N7" i="6"/>
  <c r="K31" i="6"/>
  <c r="CG14" i="3"/>
  <c r="AA8" i="6"/>
  <c r="G29" i="6"/>
  <c r="BA11" i="3"/>
  <c r="BH70" i="3"/>
  <c r="N47" i="5"/>
  <c r="G34" i="5"/>
  <c r="G19" i="9"/>
  <c r="M24" i="7"/>
  <c r="AD62" i="3"/>
  <c r="I26" i="7"/>
  <c r="H48" i="5"/>
  <c r="H49" i="5" s="1"/>
  <c r="AD69" i="3"/>
  <c r="AD73" i="3" s="1"/>
  <c r="AN13" i="3"/>
  <c r="AB8" i="6"/>
  <c r="J35" i="6"/>
  <c r="AS27" i="3"/>
  <c r="G47" i="5"/>
  <c r="Y8" i="3"/>
  <c r="AB8" i="3" s="1"/>
  <c r="J63" i="7"/>
  <c r="AD60" i="3"/>
  <c r="AG60" i="3" s="1"/>
  <c r="Y13" i="3"/>
  <c r="L12" i="7"/>
  <c r="L18" i="7" s="1"/>
  <c r="J45" i="5"/>
  <c r="AL22" i="3"/>
  <c r="AI24" i="3" s="1"/>
  <c r="Z9" i="6"/>
  <c r="AL40" i="3"/>
  <c r="I22" i="8"/>
  <c r="I39" i="8" s="1"/>
  <c r="AG40" i="3"/>
  <c r="G18" i="9"/>
  <c r="AV38" i="3"/>
  <c r="AN40" i="3"/>
  <c r="AQ40" i="3" s="1"/>
  <c r="AV60" i="3"/>
  <c r="AG15" i="3"/>
  <c r="Y40" i="3"/>
  <c r="AB40" i="3" s="1"/>
  <c r="I12" i="7"/>
  <c r="J10" i="5"/>
  <c r="J24" i="7"/>
  <c r="Z25" i="6"/>
  <c r="Z22" i="6"/>
  <c r="K56" i="7"/>
  <c r="I56" i="7"/>
  <c r="G28" i="6"/>
  <c r="K32" i="7"/>
  <c r="Z24" i="6"/>
  <c r="Z23" i="6"/>
  <c r="Z20" i="6"/>
  <c r="G30" i="6"/>
  <c r="AS48" i="3"/>
  <c r="AQ45" i="3"/>
  <c r="J37" i="5"/>
  <c r="I46" i="5"/>
  <c r="H46" i="5"/>
  <c r="H34" i="5"/>
  <c r="Z19" i="6"/>
  <c r="J41" i="5"/>
  <c r="L33" i="8"/>
  <c r="AS56" i="3"/>
  <c r="AV55" i="3" s="1"/>
  <c r="AL53" i="3"/>
  <c r="K22" i="7"/>
  <c r="K35" i="5"/>
  <c r="AV64" i="3"/>
  <c r="I37" i="5"/>
  <c r="I20" i="9"/>
  <c r="K20" i="9"/>
  <c r="G20" i="9"/>
  <c r="CJ22" i="3"/>
  <c r="CG24" i="3" s="1"/>
  <c r="AE7" i="6"/>
  <c r="BF8" i="3"/>
  <c r="N20" i="9"/>
  <c r="AE12" i="6"/>
  <c r="BF38" i="3"/>
  <c r="BH8" i="3"/>
  <c r="BK8" i="3" s="1"/>
  <c r="BH40" i="3"/>
  <c r="BK40" i="3" s="1"/>
  <c r="BC17" i="3"/>
  <c r="CG16" i="3"/>
  <c r="CJ15" i="3" s="1"/>
  <c r="AN6" i="6"/>
  <c r="U29" i="6"/>
  <c r="CJ58" i="3"/>
  <c r="W60" i="7"/>
  <c r="BC13" i="3"/>
  <c r="W33" i="7"/>
  <c r="O26" i="7"/>
  <c r="L47" i="5"/>
  <c r="AE6" i="6"/>
  <c r="BA22" i="3"/>
  <c r="AX24" i="3" s="1"/>
  <c r="BA24" i="3" s="1"/>
  <c r="L5" i="9"/>
  <c r="L19" i="9" s="1"/>
  <c r="W32" i="7"/>
  <c r="U32" i="6"/>
  <c r="U35" i="6" s="1"/>
  <c r="AE10" i="6"/>
  <c r="L31" i="6"/>
  <c r="N43" i="5"/>
  <c r="W26" i="7"/>
  <c r="BC40" i="3"/>
  <c r="BF40" i="3" s="1"/>
  <c r="CG25" i="3"/>
  <c r="CJ24" i="3" s="1"/>
  <c r="CG18" i="3"/>
  <c r="CJ17" i="3" s="1"/>
  <c r="CG32" i="3"/>
  <c r="CJ31" i="3" s="1"/>
  <c r="BK22" i="3"/>
  <c r="BH24" i="3" s="1"/>
  <c r="P12" i="7"/>
  <c r="P18" i="7" s="1"/>
  <c r="AG6" i="6"/>
  <c r="AG10" i="6"/>
  <c r="N35" i="5"/>
  <c r="M16" i="9"/>
  <c r="M28" i="6"/>
  <c r="N48" i="7"/>
  <c r="N22" i="7"/>
  <c r="W53" i="7"/>
  <c r="BH74" i="3"/>
  <c r="AG20" i="6"/>
  <c r="AG19" i="6"/>
  <c r="N27" i="6"/>
  <c r="U28" i="6"/>
  <c r="AG18" i="6"/>
  <c r="N30" i="6"/>
  <c r="AN23" i="6"/>
  <c r="W57" i="7"/>
  <c r="BK6" i="3"/>
  <c r="BK53" i="3"/>
  <c r="W20" i="7"/>
  <c r="AX48" i="3"/>
  <c r="W56" i="7"/>
  <c r="AE23" i="6"/>
  <c r="AE21" i="6"/>
  <c r="AE19" i="6"/>
  <c r="M34" i="5"/>
  <c r="L46" i="5"/>
  <c r="L41" i="5"/>
  <c r="P50" i="7"/>
  <c r="N48" i="5"/>
  <c r="N49" i="5" s="1"/>
  <c r="P66" i="7"/>
  <c r="Z7" i="6"/>
  <c r="J38" i="3"/>
  <c r="M38" i="3" s="1"/>
  <c r="V12" i="6"/>
  <c r="F22" i="7"/>
  <c r="AE24" i="6"/>
  <c r="F33" i="7"/>
  <c r="J51" i="3"/>
  <c r="M50" i="3" s="1"/>
  <c r="L43" i="5"/>
  <c r="K27" i="7"/>
  <c r="L22" i="7"/>
  <c r="P22" i="7"/>
  <c r="C31" i="6"/>
  <c r="Z12" i="6"/>
  <c r="AE18" i="6"/>
  <c r="Z8" i="6"/>
  <c r="V13" i="6"/>
  <c r="L28" i="6"/>
  <c r="AD59" i="3"/>
  <c r="Y25" i="3"/>
  <c r="E8" i="3"/>
  <c r="H8" i="3" s="1"/>
  <c r="Y29" i="3"/>
  <c r="AB29" i="3" s="1"/>
  <c r="AD58" i="3"/>
  <c r="E40" i="3"/>
  <c r="H40" i="3" s="1"/>
  <c r="D47" i="5"/>
  <c r="J34" i="5"/>
  <c r="I45" i="5"/>
  <c r="V10" i="6"/>
  <c r="K48" i="5"/>
  <c r="K49" i="5" s="1"/>
  <c r="M66" i="7"/>
  <c r="K32" i="6"/>
  <c r="I24" i="7"/>
  <c r="H47" i="5"/>
  <c r="BH49" i="3"/>
  <c r="BH79" i="3"/>
  <c r="BK78" i="3" s="1"/>
  <c r="AB11" i="3"/>
  <c r="Y32" i="3"/>
  <c r="AB31" i="3" s="1"/>
  <c r="E21" i="7"/>
  <c r="Z5" i="6"/>
  <c r="F20" i="7"/>
  <c r="AE22" i="6"/>
  <c r="Z6" i="6"/>
  <c r="Y34" i="3"/>
  <c r="AB33" i="3" s="1"/>
  <c r="Y38" i="3"/>
  <c r="AB38" i="3" s="1"/>
  <c r="Y20" i="3"/>
  <c r="AB19" i="3" s="1"/>
  <c r="Y36" i="3"/>
  <c r="AB35" i="3" s="1"/>
  <c r="CJ69" i="3"/>
  <c r="W66" i="7"/>
  <c r="K5" i="9"/>
  <c r="K10" i="5"/>
  <c r="P53" i="7"/>
  <c r="P57" i="7"/>
  <c r="V8" i="6"/>
  <c r="L29" i="6"/>
  <c r="L48" i="7"/>
  <c r="Y60" i="3"/>
  <c r="AB60" i="3" s="1"/>
  <c r="Z13" i="6"/>
  <c r="V11" i="6"/>
  <c r="AE16" i="6"/>
  <c r="V7" i="6"/>
  <c r="AS66" i="3"/>
  <c r="AX67" i="3"/>
  <c r="H56" i="7"/>
  <c r="F41" i="5"/>
  <c r="AX58" i="3"/>
  <c r="BA58" i="3" s="1"/>
  <c r="AX70" i="3"/>
  <c r="BA69" i="3" s="1"/>
  <c r="BC60" i="3"/>
  <c r="BF60" i="3" s="1"/>
  <c r="BH61" i="3"/>
  <c r="P32" i="7"/>
  <c r="BH62" i="3"/>
  <c r="CJ62" i="3"/>
  <c r="BC58" i="3"/>
  <c r="N32" i="6"/>
  <c r="E16" i="9"/>
  <c r="F16" i="9"/>
  <c r="F24" i="7"/>
  <c r="J44" i="5"/>
  <c r="J35" i="5"/>
  <c r="M26" i="7"/>
  <c r="K22" i="8"/>
  <c r="K39" i="8" s="1"/>
  <c r="AC11" i="6"/>
  <c r="K12" i="7"/>
  <c r="K25" i="7" s="1"/>
  <c r="G10" i="5"/>
  <c r="I57" i="7"/>
  <c r="AI58" i="3"/>
  <c r="G45" i="5"/>
  <c r="G41" i="5"/>
  <c r="F50" i="7"/>
  <c r="M32" i="6"/>
  <c r="M34" i="6" s="1"/>
  <c r="L45" i="5"/>
  <c r="BC66" i="3"/>
  <c r="BF66" i="3" s="1"/>
  <c r="L10" i="5"/>
  <c r="P54" i="7"/>
  <c r="N21" i="9"/>
  <c r="V9" i="6"/>
  <c r="C27" i="6"/>
  <c r="AB19" i="6"/>
  <c r="I29" i="6"/>
  <c r="AN21" i="6"/>
  <c r="X12" i="6"/>
  <c r="G37" i="5"/>
  <c r="N12" i="7"/>
  <c r="O66" i="7"/>
  <c r="P19" i="7"/>
  <c r="BH13" i="3"/>
  <c r="V6" i="6"/>
  <c r="AB12" i="6"/>
  <c r="AI62" i="3"/>
  <c r="AL62" i="3" s="1"/>
  <c r="J18" i="9"/>
  <c r="X11" i="6"/>
  <c r="G24" i="7"/>
  <c r="H43" i="5"/>
  <c r="AF23" i="6"/>
  <c r="AF17" i="6"/>
  <c r="L37" i="5"/>
  <c r="BH67" i="3"/>
  <c r="N37" i="5"/>
  <c r="C5" i="9"/>
  <c r="C17" i="9" s="1"/>
  <c r="D27" i="6"/>
  <c r="D29" i="6"/>
  <c r="F26" i="7"/>
  <c r="F19" i="7"/>
  <c r="M11" i="3"/>
  <c r="J25" i="3"/>
  <c r="M24" i="3" s="1"/>
  <c r="O59" i="3"/>
  <c r="J36" i="3"/>
  <c r="M35" i="3" s="1"/>
  <c r="J34" i="3"/>
  <c r="M33" i="3" s="1"/>
  <c r="J27" i="3"/>
  <c r="AN73" i="3"/>
  <c r="AN75" i="3" s="1"/>
  <c r="AQ75" i="3" s="1"/>
  <c r="AN72" i="3"/>
  <c r="AQ71" i="3" s="1"/>
  <c r="F10" i="5"/>
  <c r="T13" i="3"/>
  <c r="W13" i="3" s="1"/>
  <c r="F11" i="6"/>
  <c r="Y11" i="6" s="1"/>
  <c r="H12" i="7"/>
  <c r="H18" i="7" s="1"/>
  <c r="F48" i="5"/>
  <c r="F49" i="5" s="1"/>
  <c r="T69" i="3"/>
  <c r="H66" i="7"/>
  <c r="O61" i="3"/>
  <c r="J60" i="3"/>
  <c r="M60" i="3" s="1"/>
  <c r="E18" i="7"/>
  <c r="J32" i="3"/>
  <c r="M31" i="3" s="1"/>
  <c r="I43" i="5"/>
  <c r="C48" i="5"/>
  <c r="C49" i="5" s="1"/>
  <c r="C32" i="6"/>
  <c r="E66" i="7"/>
  <c r="M19" i="7"/>
  <c r="F33" i="6"/>
  <c r="J20" i="3"/>
  <c r="M19" i="3" s="1"/>
  <c r="J18" i="3"/>
  <c r="M17" i="3" s="1"/>
  <c r="O58" i="3"/>
  <c r="AQ38" i="3"/>
  <c r="J62" i="3"/>
  <c r="M62" i="3" s="1"/>
  <c r="E63" i="7"/>
  <c r="AC5" i="6"/>
  <c r="AC8" i="6"/>
  <c r="AC6" i="6"/>
  <c r="AC7" i="6"/>
  <c r="U5" i="9"/>
  <c r="T41" i="3"/>
  <c r="W40" i="3" s="1"/>
  <c r="Y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Q60" i="3" s="1"/>
  <c r="AI60" i="3"/>
  <c r="AL60" i="3" s="1"/>
  <c r="L35" i="5"/>
  <c r="BH58" i="3"/>
  <c r="AI59" i="3"/>
  <c r="AG13" i="6"/>
  <c r="D34" i="5"/>
  <c r="D11" i="6"/>
  <c r="W11" i="6" s="1"/>
  <c r="D10" i="5"/>
  <c r="D5" i="9"/>
  <c r="J34" i="6"/>
  <c r="L66" i="7"/>
  <c r="J48" i="5"/>
  <c r="J49" i="5" s="1"/>
  <c r="J29" i="6"/>
  <c r="AB11" i="6"/>
  <c r="O13" i="3"/>
  <c r="E5" i="9"/>
  <c r="H11" i="6"/>
  <c r="AA11" i="6" s="1"/>
  <c r="H10" i="5"/>
  <c r="H5" i="9"/>
  <c r="N24" i="7"/>
  <c r="CJ60" i="3"/>
  <c r="BH60" i="3"/>
  <c r="BC59" i="3"/>
  <c r="AG11" i="6"/>
  <c r="AG9" i="6"/>
  <c r="J16" i="9"/>
  <c r="C29" i="6"/>
  <c r="I34" i="5"/>
  <c r="W22" i="7"/>
  <c r="N22" i="8"/>
  <c r="G11" i="6"/>
  <c r="Z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A23" i="6"/>
  <c r="H28" i="6"/>
  <c r="F53" i="7"/>
  <c r="F48" i="7"/>
  <c r="L56" i="7"/>
  <c r="AD24" i="6"/>
  <c r="H22" i="7"/>
  <c r="H57" i="7"/>
  <c r="BC48" i="3"/>
  <c r="AC23" i="6"/>
  <c r="D30" i="6"/>
  <c r="AI46" i="3"/>
  <c r="AL45" i="3" s="1"/>
  <c r="AL43" i="3"/>
  <c r="CG56" i="3"/>
  <c r="CJ55" i="3" s="1"/>
  <c r="CG51" i="3"/>
  <c r="CJ50" i="3" s="1"/>
  <c r="CG48" i="3"/>
  <c r="K43" i="5"/>
  <c r="K46" i="5"/>
  <c r="H54" i="7"/>
  <c r="Y46" i="3"/>
  <c r="AB45" i="3" s="1"/>
  <c r="AB43" i="3"/>
  <c r="F43" i="5"/>
  <c r="F46" i="5"/>
  <c r="X21" i="6"/>
  <c r="N56" i="7"/>
  <c r="N57" i="7"/>
  <c r="M41" i="5"/>
  <c r="BC46" i="3"/>
  <c r="BF45" i="3" s="1"/>
  <c r="BF43" i="3"/>
  <c r="AI56" i="3"/>
  <c r="AL55" i="3" s="1"/>
  <c r="AI48" i="3"/>
  <c r="AI51" i="3"/>
  <c r="AL50" i="3" s="1"/>
  <c r="I30" i="6"/>
  <c r="AB22" i="6"/>
  <c r="BC51" i="3"/>
  <c r="BF50" i="3" s="1"/>
  <c r="BC56" i="3"/>
  <c r="BF55" i="3" s="1"/>
  <c r="W59" i="7"/>
  <c r="F29" i="6"/>
  <c r="H48" i="7"/>
  <c r="K28" i="6"/>
  <c r="AB23" i="6"/>
  <c r="I28" i="6"/>
  <c r="AN56" i="3"/>
  <c r="AQ55" i="3" s="1"/>
  <c r="AQ8" i="3"/>
  <c r="AN48" i="3"/>
  <c r="AN51" i="3"/>
  <c r="AQ50" i="3" s="1"/>
  <c r="CG49" i="3"/>
  <c r="CG74" i="3"/>
  <c r="X18" i="6"/>
  <c r="E28" i="6"/>
  <c r="X20" i="6"/>
  <c r="X25" i="6"/>
  <c r="X23" i="6"/>
  <c r="X17" i="6"/>
  <c r="M37" i="8"/>
  <c r="M24" i="8" s="1"/>
  <c r="O50" i="7"/>
  <c r="AG25" i="6"/>
  <c r="AG21" i="6"/>
  <c r="AG17" i="6"/>
  <c r="N28" i="6"/>
  <c r="AG24" i="6"/>
  <c r="AG16" i="6"/>
  <c r="AX66" i="3"/>
  <c r="BH66" i="3"/>
  <c r="M46" i="5"/>
  <c r="U17" i="9" l="1"/>
  <c r="U18" i="9"/>
  <c r="U19" i="9"/>
  <c r="CQ75" i="3"/>
  <c r="CT75" i="3" s="1"/>
  <c r="CT73" i="3"/>
  <c r="BF58" i="3"/>
  <c r="R24" i="3"/>
  <c r="AV24" i="3"/>
  <c r="AB58" i="3"/>
  <c r="R62" i="3"/>
  <c r="BF22" i="3"/>
  <c r="BC24" i="3" s="1"/>
  <c r="BF24" i="3" s="1"/>
  <c r="AV62" i="3"/>
  <c r="AQ58" i="3"/>
  <c r="W25" i="7"/>
  <c r="W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U33" i="6"/>
  <c r="U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W61" i="7"/>
</calcChain>
</file>

<file path=xl/sharedStrings.xml><?xml version="1.0" encoding="utf-8"?>
<sst xmlns="http://schemas.openxmlformats.org/spreadsheetml/2006/main" count="1674" uniqueCount="585">
  <si>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</si>
  <si>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</si>
  <si>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</si>
  <si>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</si>
  <si>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</si>
  <si>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</si>
  <si>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</si>
  <si>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</si>
  <si>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</si>
  <si>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</si>
  <si>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</si>
  <si>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</si>
  <si>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</si>
  <si>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</si>
  <si>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</si>
  <si>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</si>
  <si>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</si>
  <si>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</si>
  <si>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</si>
  <si>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</si>
  <si>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</si>
  <si>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</si>
  <si>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</si>
  <si>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</si>
  <si>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</si>
  <si>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</si>
  <si>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</si>
  <si>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</si>
  <si>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</si>
  <si>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</si>
  <si>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</si>
  <si>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</si>
  <si>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</si>
  <si>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</si>
  <si>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</si>
  <si>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</si>
  <si>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</si>
  <si>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</si>
  <si>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</si>
  <si>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</si>
  <si>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</si>
  <si>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</si>
  <si>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</si>
  <si>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</si>
  <si>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</si>
  <si>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</si>
  <si>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</si>
  <si>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</si>
  <si>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</si>
  <si>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</si>
  <si>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</si>
  <si>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</si>
  <si>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</si>
  <si>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</si>
  <si>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</si>
  <si>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</si>
  <si>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</si>
  <si>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</si>
  <si>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</si>
  <si>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</si>
  <si>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</si>
  <si>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</si>
  <si>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</si>
  <si>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</si>
  <si>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</si>
  <si>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</si>
  <si>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</si>
  <si>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</si>
  <si>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</si>
  <si>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</si>
  <si>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</si>
  <si>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</si>
  <si>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</si>
  <si>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</si>
  <si>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</si>
  <si>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</si>
  <si>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</si>
  <si>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</si>
  <si>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</si>
  <si>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</si>
  <si>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</si>
  <si>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</si>
  <si>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</si>
  <si>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</si>
  <si>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</si>
  <si>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</si>
  <si>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</si>
  <si>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</si>
  <si>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</si>
  <si>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</si>
  <si>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</si>
  <si>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</si>
  <si>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</si>
  <si>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</si>
  <si>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</si>
  <si>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</si>
  <si>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</si>
  <si>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</si>
  <si>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</si>
  <si>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</si>
  <si>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</si>
  <si>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</si>
  <si>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</si>
  <si>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</si>
  <si>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</si>
  <si>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</si>
  <si>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</si>
  <si>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</si>
  <si>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</si>
  <si>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</si>
  <si>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</si>
  <si>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</si>
  <si>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</si>
  <si>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</si>
  <si>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</si>
  <si>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</si>
  <si>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</si>
  <si>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</si>
  <si>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</si>
  <si>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</si>
  <si>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</si>
  <si>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</si>
  <si>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</si>
  <si>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</si>
  <si>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</si>
  <si>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</si>
  <si>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</si>
  <si>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</si>
  <si>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</si>
  <si>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</si>
  <si>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</si>
  <si>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</si>
  <si>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</si>
  <si>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</si>
  <si>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</si>
  <si>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</si>
  <si>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</si>
  <si>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</si>
  <si>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</si>
  <si>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</si>
  <si>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</si>
  <si>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</si>
  <si>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</si>
  <si>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</si>
  <si>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</si>
  <si>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</si>
  <si>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</si>
  <si>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</si>
  <si>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</si>
  <si>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</si>
  <si>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</si>
  <si>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</si>
  <si>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</si>
  <si>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</si>
  <si>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</si>
  <si>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</si>
  <si>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</si>
  <si>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</si>
  <si>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</si>
  <si>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</si>
  <si>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</si>
  <si>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</si>
  <si>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</si>
  <si>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</si>
  <si>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</si>
  <si>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</si>
  <si>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</si>
  <si>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</si>
  <si>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</si>
  <si>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</si>
  <si>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</si>
  <si>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</si>
  <si>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</si>
  <si>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</si>
  <si>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</si>
  <si>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</si>
  <si>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</si>
  <si>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</si>
  <si>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</si>
  <si>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</si>
  <si>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</si>
  <si>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</si>
  <si>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</si>
  <si>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</si>
  <si>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</si>
  <si>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</si>
  <si>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</si>
  <si>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</si>
  <si>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</si>
  <si>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</si>
  <si>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</si>
  <si>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</si>
  <si>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</si>
  <si>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</si>
  <si>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</si>
  <si>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</si>
  <si>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</si>
  <si>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</si>
  <si>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</si>
  <si>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</si>
  <si>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</si>
  <si>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</si>
  <si>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</si>
  <si>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</si>
  <si>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</si>
  <si>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</si>
  <si>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</si>
  <si>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</si>
  <si>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</si>
  <si>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</si>
  <si>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</si>
  <si>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</si>
  <si>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</si>
  <si>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</si>
  <si>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</si>
  <si>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</si>
  <si>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</si>
  <si>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</si>
  <si>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</si>
  <si>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</si>
  <si>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</si>
  <si>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</si>
  <si>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</si>
  <si>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</si>
  <si>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</si>
  <si>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</si>
  <si>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</si>
  <si>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</si>
  <si>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</si>
  <si>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</si>
  <si>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</si>
  <si>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</si>
  <si>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</si>
  <si>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</si>
  <si>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</si>
  <si>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</si>
  <si>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</si>
  <si>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</si>
  <si>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</si>
  <si>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</si>
  <si>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</si>
  <si>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</si>
  <si>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</si>
  <si>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</si>
  <si>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</si>
  <si>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</si>
  <si>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</si>
  <si>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</si>
  <si>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</si>
  <si>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</si>
  <si>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</si>
  <si>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</si>
  <si>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</si>
  <si>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</si>
  <si>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</si>
  <si>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</si>
  <si>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</si>
  <si>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</si>
  <si>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</si>
  <si>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</si>
  <si>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</si>
  <si>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</si>
  <si>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</si>
  <si>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</si>
  <si>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</si>
  <si>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</si>
  <si>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</si>
  <si>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</si>
  <si>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</si>
  <si>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</si>
  <si>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</si>
  <si>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</si>
  <si>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</si>
  <si>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</si>
  <si>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</si>
  <si>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</si>
  <si>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</si>
  <si>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</si>
  <si>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</si>
  <si>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</si>
  <si>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</si>
  <si>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</si>
  <si>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</si>
  <si>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</si>
  <si>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</si>
  <si>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</si>
  <si>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</si>
  <si>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</si>
  <si>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</si>
  <si>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</si>
  <si>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</si>
  <si>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</si>
  <si>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</si>
  <si>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</si>
  <si>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</si>
  <si>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</si>
  <si>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</si>
  <si>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</si>
  <si>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</si>
  <si>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</si>
  <si>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</si>
  <si>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</si>
  <si>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</si>
  <si>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</si>
  <si>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</si>
  <si>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</si>
  <si>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</si>
  <si>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</si>
  <si>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</si>
  <si>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</si>
  <si>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</si>
  <si>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</si>
  <si>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</si>
  <si>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</si>
  <si>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</si>
  <si>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</si>
  <si>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</si>
  <si>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</si>
  <si>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</si>
  <si>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</si>
  <si>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</si>
  <si>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</si>
  <si>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</si>
  <si>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</si>
  <si>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</si>
  <si>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</si>
  <si>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</si>
  <si>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</si>
  <si>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</si>
  <si>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</si>
  <si>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</si>
  <si>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</si>
  <si>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</si>
  <si>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</si>
  <si>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</si>
  <si>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</si>
  <si>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</si>
  <si>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</si>
  <si>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</si>
  <si>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</si>
  <si>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</si>
  <si>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</si>
  <si>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</si>
  <si>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</si>
  <si>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</si>
  <si>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</si>
  <si>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</si>
  <si>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</si>
  <si>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</si>
  <si>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</si>
  <si>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</si>
  <si>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</si>
  <si>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</si>
  <si>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</si>
  <si>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</si>
  <si>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</si>
  <si>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</si>
  <si>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</si>
  <si>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</si>
  <si>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</si>
  <si>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</si>
  <si>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</si>
  <si>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</si>
  <si>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</si>
  <si>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</si>
  <si>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</si>
  <si>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</si>
  <si>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</si>
  <si>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</si>
  <si>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</si>
  <si>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</si>
  <si>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</si>
  <si>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</si>
  <si>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</si>
  <si>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</si>
  <si>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</si>
  <si>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</si>
  <si>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</si>
  <si>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</si>
  <si>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</si>
  <si>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</si>
  <si>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</si>
  <si>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</si>
  <si>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</si>
  <si>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</si>
  <si>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</si>
  <si>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</si>
  <si>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</si>
  <si>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</si>
  <si>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</si>
  <si>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</si>
  <si>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</si>
  <si>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</si>
  <si>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</si>
  <si>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</si>
  <si>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</si>
  <si>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</si>
  <si>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</si>
  <si>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</si>
  <si>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</si>
  <si>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</si>
  <si>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</si>
  <si>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</si>
  <si>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</si>
  <si>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</si>
  <si>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</si>
  <si>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</si>
  <si>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</si>
  <si>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</si>
  <si>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</si>
  <si>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</si>
  <si>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</si>
  <si>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</si>
  <si>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</si>
  <si>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</si>
  <si>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</si>
  <si>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</si>
  <si>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</si>
  <si>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</si>
  <si>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</si>
  <si>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</si>
  <si>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</si>
  <si>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</si>
  <si>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</si>
  <si>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</si>
  <si>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</si>
  <si>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</si>
  <si>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</si>
  <si>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</si>
  <si>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</si>
  <si>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</si>
  <si>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</si>
  <si>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</si>
  <si>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</si>
  <si>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</si>
  <si>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</si>
  <si>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</si>
  <si>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</si>
  <si>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</si>
  <si>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</si>
  <si>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</si>
  <si>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</si>
  <si>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</si>
  <si>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</si>
  <si>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</si>
  <si>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</si>
  <si>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</si>
  <si>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</si>
  <si>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</si>
  <si>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</si>
  <si>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</si>
  <si>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</si>
  <si>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</si>
  <si>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</si>
  <si>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</si>
  <si>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</si>
  <si>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</si>
  <si>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</si>
  <si>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</si>
  <si>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</si>
  <si>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</si>
  <si>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</si>
  <si>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</si>
  <si>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</si>
  <si>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</si>
  <si>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</si>
  <si>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</si>
  <si>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</si>
  <si>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</si>
  <si>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</si>
  <si>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</si>
  <si>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</si>
  <si>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</si>
  <si>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</si>
  <si>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</si>
  <si>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</si>
  <si>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</si>
  <si>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</si>
  <si>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</si>
  <si>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</si>
  <si>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</si>
  <si>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</si>
  <si>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</si>
  <si>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</si>
  <si>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</si>
  <si>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</si>
  <si>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</si>
  <si>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</si>
  <si>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</si>
  <si>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</si>
  <si>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</si>
  <si>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</si>
  <si>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</si>
  <si>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</si>
  <si>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</si>
  <si>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</si>
  <si>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</si>
  <si>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</si>
  <si>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</si>
  <si>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</si>
  <si>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</si>
  <si>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</si>
  <si>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</si>
  <si>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</si>
  <si>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</si>
  <si>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</si>
  <si>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</si>
  <si>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</si>
  <si>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</si>
  <si>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</si>
  <si>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</si>
  <si>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</si>
  <si>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</si>
  <si>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</si>
  <si>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</si>
  <si>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</si>
  <si>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</si>
  <si>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</si>
  <si>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</si>
  <si>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</si>
  <si>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</si>
  <si>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</si>
  <si>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</si>
  <si>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</si>
  <si>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</si>
  <si>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</si>
  <si>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</si>
  <si>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</si>
  <si>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</si>
  <si>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</si>
  <si>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</si>
  <si>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</si>
  <si>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</si>
  <si>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</si>
  <si>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</si>
  <si>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</si>
  <si>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</si>
  <si>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</si>
  <si>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</si>
  <si>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</si>
  <si>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</si>
  <si>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</si>
  <si>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</si>
  <si>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</si>
  <si>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</si>
  <si>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</si>
  <si>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</si>
  <si>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</si>
  <si>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</si>
  <si>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</si>
  <si>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</si>
  <si>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</si>
  <si>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</si>
  <si>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</si>
  <si>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</si>
  <si>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</si>
  <si>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</si>
  <si>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</si>
  <si>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</si>
  <si>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</si>
  <si>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</si>
  <si>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</si>
  <si>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</si>
  <si>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</si>
  <si>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</si>
  <si>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</si>
  <si>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</si>
  <si>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</si>
  <si>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</si>
  <si>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</si>
  <si>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</si>
  <si>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</si>
  <si>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</si>
  <si>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</si>
  <si>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</si>
  <si>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</si>
  <si>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</si>
  <si>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　本資料は、中小企業庁平成16年から令和02年中小企業実態基本調査および令和03年中小企業実態基本調査（いずれも速報）をもとに作成しております。</t>
    <rPh sb="19" eb="21">
      <t>レイワ</t>
    </rPh>
    <rPh sb="37" eb="39">
      <t>レイワ</t>
    </rPh>
    <phoneticPr fontId="3"/>
  </si>
  <si>
    <t>R02年</t>
    <rPh sb="3" eb="4">
      <t>ネン</t>
    </rPh>
    <phoneticPr fontId="3"/>
  </si>
  <si>
    <t>Ｒ０３年</t>
    <rPh sb="3" eb="4">
      <t>ネン</t>
    </rPh>
    <phoneticPr fontId="3"/>
  </si>
  <si>
    <t>R04年</t>
    <rPh sb="3" eb="4">
      <t>ネン</t>
    </rPh>
    <phoneticPr fontId="3"/>
  </si>
  <si>
    <t>※　本資料は、中小企業庁平成16年から令和03年中小企業実態基本調査および令和04年中小企業実態基本調査（いずれも速報）をもとに作成しております。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7" eb="39">
      <t>レイワ</t>
    </rPh>
    <rPh sb="41" eb="42">
      <t>ネン</t>
    </rPh>
    <rPh sb="42" eb="44">
      <t>チュウショウ</t>
    </rPh>
    <rPh sb="44" eb="46">
      <t>キギョウ</t>
    </rPh>
    <rPh sb="46" eb="48">
      <t>ジッタイ</t>
    </rPh>
    <rPh sb="48" eb="50">
      <t>キホン</t>
    </rPh>
    <rPh sb="50" eb="52">
      <t>チョウサ</t>
    </rPh>
    <rPh sb="57" eb="59">
      <t>ソクホウ</t>
    </rPh>
    <rPh sb="64" eb="66">
      <t>サクセイ</t>
    </rPh>
    <phoneticPr fontId="3"/>
  </si>
  <si>
    <t>※　本資料は、中小企業庁平成16年から令和03年中小企業実態基本調査および令和04年中小企業実態基本調査（いずれも速報）をもとに作成しております。</t>
    <rPh sb="19" eb="21">
      <t>レイワ</t>
    </rPh>
    <rPh sb="37" eb="39">
      <t>レイワ</t>
    </rPh>
    <phoneticPr fontId="3"/>
  </si>
  <si>
    <t>Ｒ０４年</t>
    <rPh sb="3" eb="4">
      <t>ネン</t>
    </rPh>
    <phoneticPr fontId="3"/>
  </si>
  <si>
    <t>２１　窯業・土石製品製造業</t>
    <rPh sb="3" eb="5">
      <t>ヨウギョウ</t>
    </rPh>
    <rPh sb="6" eb="8">
      <t>ドセキ</t>
    </rPh>
    <rPh sb="8" eb="10">
      <t>セイヒン</t>
    </rPh>
    <rPh sb="10" eb="13">
      <t>セイゾウギョウ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</si>
</sst>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総合評価!$C$19:$U$19</c:f>
              <c:numCache>
                <c:formatCode>#,##0;"△ "#,##0</c:formatCode>
                <c:ptCount val="19"/>
                <c:pt idx="0">
                  <c:v>149492.23207232502</c:v>
                </c:pt>
                <c:pt idx="1">
                  <c:v>148534.21945701356</c:v>
                </c:pt>
                <c:pt idx="2">
                  <c:v>197367.00269618895</c:v>
                </c:pt>
                <c:pt idx="3">
                  <c:v>162120.71171816153</c:v>
                </c:pt>
                <c:pt idx="4">
                  <c:v>166689.26005200355</c:v>
                </c:pt>
                <c:pt idx="5">
                  <c:v>232881.80099990391</c:v>
                </c:pt>
                <c:pt idx="6">
                  <c:v>304743.24012146896</c:v>
                </c:pt>
                <c:pt idx="7">
                  <c:v>190694.82843783332</c:v>
                </c:pt>
                <c:pt idx="8">
                  <c:v>185476.80024428348</c:v>
                </c:pt>
                <c:pt idx="9">
                  <c:v>172466.2122887203</c:v>
                </c:pt>
                <c:pt idx="10">
                  <c:v>177524.99744425935</c:v>
                </c:pt>
                <c:pt idx="11">
                  <c:v>153408.31565152138</c:v>
                </c:pt>
                <c:pt idx="12">
                  <c:v>217737.01421806036</c:v>
                </c:pt>
                <c:pt idx="13">
                  <c:v>186523.27475391861</c:v>
                </c:pt>
                <c:pt idx="14">
                  <c:v>247282.16531609549</c:v>
                </c:pt>
                <c:pt idx="15">
                  <c:v>258586.1202457092</c:v>
                </c:pt>
                <c:pt idx="16">
                  <c:v>307850.7243221848</c:v>
                </c:pt>
                <c:pt idx="17">
                  <c:v>310023.02923397085</c:v>
                </c:pt>
                <c:pt idx="18">
                  <c:v>302485.51743554283</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総合評価!$C$17:$U$17</c:f>
              <c:numCache>
                <c:formatCode>#,##0;"△ "#,##0</c:formatCode>
                <c:ptCount val="19"/>
                <c:pt idx="0">
                  <c:v>383752.47959273198</c:v>
                </c:pt>
                <c:pt idx="1">
                  <c:v>302428.92156862747</c:v>
                </c:pt>
                <c:pt idx="2">
                  <c:v>382488.11878388253</c:v>
                </c:pt>
                <c:pt idx="3">
                  <c:v>273724.28114471474</c:v>
                </c:pt>
                <c:pt idx="4">
                  <c:v>288943.92722827988</c:v>
                </c:pt>
                <c:pt idx="5">
                  <c:v>280545.62017039739</c:v>
                </c:pt>
                <c:pt idx="6">
                  <c:v>328202.89800290007</c:v>
                </c:pt>
                <c:pt idx="7">
                  <c:v>262186.21397915535</c:v>
                </c:pt>
                <c:pt idx="8">
                  <c:v>285138.01997369505</c:v>
                </c:pt>
                <c:pt idx="9">
                  <c:v>257319.74827691971</c:v>
                </c:pt>
                <c:pt idx="10">
                  <c:v>295598.6160379845</c:v>
                </c:pt>
                <c:pt idx="11">
                  <c:v>222546.22597645104</c:v>
                </c:pt>
                <c:pt idx="12">
                  <c:v>234577.45316737451</c:v>
                </c:pt>
                <c:pt idx="13">
                  <c:v>244113.99912658738</c:v>
                </c:pt>
                <c:pt idx="14">
                  <c:v>304654.61628416466</c:v>
                </c:pt>
                <c:pt idx="15">
                  <c:v>280112.08523952396</c:v>
                </c:pt>
                <c:pt idx="16">
                  <c:v>277587.45260241441</c:v>
                </c:pt>
                <c:pt idx="17">
                  <c:v>327856.84659597662</c:v>
                </c:pt>
                <c:pt idx="18">
                  <c:v>313694.38921268395</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総合評価!$C$16:$U$16</c:f>
              <c:numCache>
                <c:formatCode>#,##0;"△ "#,##0</c:formatCode>
                <c:ptCount val="19"/>
                <c:pt idx="0">
                  <c:v>254300.096550513</c:v>
                </c:pt>
                <c:pt idx="1">
                  <c:v>204618.40120663648</c:v>
                </c:pt>
                <c:pt idx="2">
                  <c:v>234099.41382127907</c:v>
                </c:pt>
                <c:pt idx="3">
                  <c:v>198558.91461630253</c:v>
                </c:pt>
                <c:pt idx="4">
                  <c:v>249668.5440295272</c:v>
                </c:pt>
                <c:pt idx="5">
                  <c:v>254202.65043246822</c:v>
                </c:pt>
                <c:pt idx="6">
                  <c:v>302376.86072510667</c:v>
                </c:pt>
                <c:pt idx="7">
                  <c:v>201324.24603802565</c:v>
                </c:pt>
                <c:pt idx="8">
                  <c:v>202770.36876540253</c:v>
                </c:pt>
                <c:pt idx="9">
                  <c:v>198288.65072981827</c:v>
                </c:pt>
                <c:pt idx="10">
                  <c:v>231396.63570095928</c:v>
                </c:pt>
                <c:pt idx="11">
                  <c:v>165848.69248499369</c:v>
                </c:pt>
                <c:pt idx="12">
                  <c:v>207116.71543233399</c:v>
                </c:pt>
                <c:pt idx="13">
                  <c:v>204751.75005008749</c:v>
                </c:pt>
                <c:pt idx="14">
                  <c:v>257965.77457850124</c:v>
                </c:pt>
                <c:pt idx="15">
                  <c:v>244266.81179331985</c:v>
                </c:pt>
                <c:pt idx="16">
                  <c:v>241581.54502275877</c:v>
                </c:pt>
                <c:pt idx="17">
                  <c:v>273877.75106530567</c:v>
                </c:pt>
                <c:pt idx="18">
                  <c:v>263180.58895584312</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総合評価!$C$15:$U$15</c:f>
              <c:numCache>
                <c:formatCode>#,##0;"△ "#,##0</c:formatCode>
                <c:ptCount val="19"/>
                <c:pt idx="0">
                  <c:v>276862.020538927</c:v>
                </c:pt>
                <c:pt idx="1">
                  <c:v>244330.97662141779</c:v>
                </c:pt>
                <c:pt idx="2">
                  <c:v>343995.03492176341</c:v>
                </c:pt>
                <c:pt idx="3">
                  <c:v>234726.63715293832</c:v>
                </c:pt>
                <c:pt idx="4">
                  <c:v>203652.24619771284</c:v>
                </c:pt>
                <c:pt idx="5">
                  <c:v>257562.12687981984</c:v>
                </c:pt>
                <c:pt idx="6">
                  <c:v>326135.370696545</c:v>
                </c:pt>
                <c:pt idx="7">
                  <c:v>250961.32899370315</c:v>
                </c:pt>
                <c:pt idx="8">
                  <c:v>266762.08772034023</c:v>
                </c:pt>
                <c:pt idx="9">
                  <c:v>228968.9537896229</c:v>
                </c:pt>
                <c:pt idx="10">
                  <c:v>241409.24772314038</c:v>
                </c:pt>
                <c:pt idx="11">
                  <c:v>207747.38164270468</c:v>
                </c:pt>
                <c:pt idx="12">
                  <c:v>244974.17075527442</c:v>
                </c:pt>
                <c:pt idx="13">
                  <c:v>225314.21812867536</c:v>
                </c:pt>
                <c:pt idx="14">
                  <c:v>293582.62179653399</c:v>
                </c:pt>
                <c:pt idx="15">
                  <c:v>293382.81030096789</c:v>
                </c:pt>
                <c:pt idx="16">
                  <c:v>342968.14991094405</c:v>
                </c:pt>
                <c:pt idx="17">
                  <c:v>362598.05727876321</c:v>
                </c:pt>
                <c:pt idx="18">
                  <c:v>350936.29121801839</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総合評価２!$C$5:$U$5</c:f>
              <c:numCache>
                <c:formatCode>#,##0;"△ "#,##0</c:formatCode>
                <c:ptCount val="19"/>
                <c:pt idx="0">
                  <c:v>476566.84718686901</c:v>
                </c:pt>
                <c:pt idx="1">
                  <c:v>431883.95550527907</c:v>
                </c:pt>
                <c:pt idx="2">
                  <c:v>470276.95833658014</c:v>
                </c:pt>
                <c:pt idx="3">
                  <c:v>382317.10699519957</c:v>
                </c:pt>
                <c:pt idx="4">
                  <c:v>444717.01417659037</c:v>
                </c:pt>
                <c:pt idx="5">
                  <c:v>466028.2715769179</c:v>
                </c:pt>
                <c:pt idx="6">
                  <c:v>571062.94556079933</c:v>
                </c:pt>
                <c:pt idx="7">
                  <c:v>380712.29461116524</c:v>
                </c:pt>
                <c:pt idx="8">
                  <c:v>481641.09597770061</c:v>
                </c:pt>
                <c:pt idx="9">
                  <c:v>399147.49110443954</c:v>
                </c:pt>
                <c:pt idx="10">
                  <c:v>466318.69523454586</c:v>
                </c:pt>
                <c:pt idx="11">
                  <c:v>401930.379131675</c:v>
                </c:pt>
                <c:pt idx="12">
                  <c:v>420952.65570839075</c:v>
                </c:pt>
                <c:pt idx="13">
                  <c:v>433716.8601081805</c:v>
                </c:pt>
                <c:pt idx="14">
                  <c:v>610593.27578583988</c:v>
                </c:pt>
                <c:pt idx="15">
                  <c:v>497242.65165447723</c:v>
                </c:pt>
                <c:pt idx="16">
                  <c:v>509828.00504650705</c:v>
                </c:pt>
                <c:pt idx="17">
                  <c:v>552662.77653354476</c:v>
                </c:pt>
                <c:pt idx="18">
                  <c:v>548953.19845895481</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総合評価２!$C$12:$U$12</c:f>
              <c:numCache>
                <c:formatCode>#,##0;"△ "#,##0</c:formatCode>
                <c:ptCount val="19"/>
                <c:pt idx="0">
                  <c:v>13674.265777231602</c:v>
                </c:pt>
                <c:pt idx="1">
                  <c:v>16694.570135746606</c:v>
                </c:pt>
                <c:pt idx="2">
                  <c:v>9079.0707428644273</c:v>
                </c:pt>
                <c:pt idx="3">
                  <c:v>3082.2768024796655</c:v>
                </c:pt>
                <c:pt idx="4">
                  <c:v>6865.6097148884965</c:v>
                </c:pt>
                <c:pt idx="5">
                  <c:v>1369.1385894512221</c:v>
                </c:pt>
                <c:pt idx="6">
                  <c:v>2702.8496897490108</c:v>
                </c:pt>
                <c:pt idx="7">
                  <c:v>6234.1960336807178</c:v>
                </c:pt>
                <c:pt idx="8">
                  <c:v>6262.6598008963583</c:v>
                </c:pt>
                <c:pt idx="9">
                  <c:v>13732.672359275977</c:v>
                </c:pt>
                <c:pt idx="10">
                  <c:v>19225.646491871281</c:v>
                </c:pt>
                <c:pt idx="11">
                  <c:v>16776.347528637059</c:v>
                </c:pt>
                <c:pt idx="12">
                  <c:v>15000.913303005145</c:v>
                </c:pt>
                <c:pt idx="13">
                  <c:v>21976.353230743764</c:v>
                </c:pt>
                <c:pt idx="14">
                  <c:v>34865.859400268091</c:v>
                </c:pt>
                <c:pt idx="15">
                  <c:v>26373.395206001584</c:v>
                </c:pt>
                <c:pt idx="16">
                  <c:v>32709.981100336434</c:v>
                </c:pt>
                <c:pt idx="17">
                  <c:v>31117.694282033495</c:v>
                </c:pt>
                <c:pt idx="18">
                  <c:v>28642.931542032995</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総合評価２!$C$31:$U$31</c:f>
              <c:numCache>
                <c:formatCode>#,##0;"△ "#,##0</c:formatCode>
                <c:ptCount val="19"/>
                <c:pt idx="0">
                  <c:v>22324.436042925827</c:v>
                </c:pt>
                <c:pt idx="1">
                  <c:v>22201.344265790522</c:v>
                </c:pt>
                <c:pt idx="2">
                  <c:v>20673.303125695289</c:v>
                </c:pt>
                <c:pt idx="3">
                  <c:v>17498.622533931128</c:v>
                </c:pt>
                <c:pt idx="4">
                  <c:v>22009.745296558289</c:v>
                </c:pt>
                <c:pt idx="5">
                  <c:v>23125.453858909561</c:v>
                </c:pt>
                <c:pt idx="6">
                  <c:v>25022.7644848294</c:v>
                </c:pt>
                <c:pt idx="7">
                  <c:v>19175.642123498961</c:v>
                </c:pt>
                <c:pt idx="8">
                  <c:v>20812.598250798255</c:v>
                </c:pt>
                <c:pt idx="9">
                  <c:v>20099.963332515981</c:v>
                </c:pt>
                <c:pt idx="10">
                  <c:v>23231.277787026942</c:v>
                </c:pt>
                <c:pt idx="11">
                  <c:v>22813.28010636209</c:v>
                </c:pt>
                <c:pt idx="12">
                  <c:v>21586.248916090448</c:v>
                </c:pt>
                <c:pt idx="13">
                  <c:v>21737.842606863589</c:v>
                </c:pt>
                <c:pt idx="14">
                  <c:v>23976.843960369242</c:v>
                </c:pt>
                <c:pt idx="15">
                  <c:v>20922.614147680928</c:v>
                </c:pt>
                <c:pt idx="16">
                  <c:v>23898.261635295974</c:v>
                </c:pt>
                <c:pt idx="17">
                  <c:v>24630.645776470486</c:v>
                </c:pt>
                <c:pt idx="18">
                  <c:v>23585.912371768478</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総合評価２!$C$35:$U$35</c:f>
              <c:numCache>
                <c:formatCode>#,##0;"△ "#,##0</c:formatCode>
                <c:ptCount val="19"/>
                <c:pt idx="0">
                  <c:v>10511.702520455548</c:v>
                </c:pt>
                <c:pt idx="1">
                  <c:v>10865.641264210744</c:v>
                </c:pt>
                <c:pt idx="2">
                  <c:v>10753.444519797977</c:v>
                </c:pt>
                <c:pt idx="3">
                  <c:v>8876.0075742721801</c:v>
                </c:pt>
                <c:pt idx="4">
                  <c:v>10037.115992711071</c:v>
                </c:pt>
                <c:pt idx="5">
                  <c:v>10738.143069133941</c:v>
                </c:pt>
                <c:pt idx="6">
                  <c:v>12523.93499041418</c:v>
                </c:pt>
                <c:pt idx="7">
                  <c:v>9637.1735021668064</c:v>
                </c:pt>
                <c:pt idx="8">
                  <c:v>10018.163239291993</c:v>
                </c:pt>
                <c:pt idx="9">
                  <c:v>10522.176595079773</c:v>
                </c:pt>
                <c:pt idx="10">
                  <c:v>12933.052640623951</c:v>
                </c:pt>
                <c:pt idx="11">
                  <c:v>11758.633100642957</c:v>
                </c:pt>
                <c:pt idx="12">
                  <c:v>10575.547505895342</c:v>
                </c:pt>
                <c:pt idx="13">
                  <c:v>10748.93162008083</c:v>
                </c:pt>
                <c:pt idx="14">
                  <c:v>12259.8988744985</c:v>
                </c:pt>
                <c:pt idx="15">
                  <c:v>11759.201341968102</c:v>
                </c:pt>
                <c:pt idx="16">
                  <c:v>13277.76171878624</c:v>
                </c:pt>
                <c:pt idx="17">
                  <c:v>13510.156976795543</c:v>
                </c:pt>
                <c:pt idx="18">
                  <c:v>12747.359205293515</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30111129200955145"/>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総合評価２!$C$32:$U$32</c:f>
              <c:numCache>
                <c:formatCode>#,##0;"△ "#,##0</c:formatCode>
                <c:ptCount val="19"/>
                <c:pt idx="0">
                  <c:v>224396.66198542947</c:v>
                </c:pt>
                <c:pt idx="1">
                  <c:v>211369.90950226251</c:v>
                </c:pt>
                <c:pt idx="2">
                  <c:v>244619.69863568561</c:v>
                </c:pt>
                <c:pt idx="3">
                  <c:v>193926.6665637863</c:v>
                </c:pt>
                <c:pt idx="4">
                  <c:v>202804.53931107355</c:v>
                </c:pt>
                <c:pt idx="5">
                  <c:v>216396.97473553149</c:v>
                </c:pt>
                <c:pt idx="6">
                  <c:v>285817.94829160115</c:v>
                </c:pt>
                <c:pt idx="7">
                  <c:v>191335.98833071918</c:v>
                </c:pt>
                <c:pt idx="8">
                  <c:v>231838.38289248871</c:v>
                </c:pt>
                <c:pt idx="9">
                  <c:v>208950.64928251438</c:v>
                </c:pt>
                <c:pt idx="10">
                  <c:v>259603.63816678704</c:v>
                </c:pt>
                <c:pt idx="11">
                  <c:v>207166.69580950239</c:v>
                </c:pt>
                <c:pt idx="12">
                  <c:v>206233.36761666383</c:v>
                </c:pt>
                <c:pt idx="13">
                  <c:v>214464.3769896006</c:v>
                </c:pt>
                <c:pt idx="14">
                  <c:v>312210.05679297459</c:v>
                </c:pt>
                <c:pt idx="15">
                  <c:v>279466.82070161914</c:v>
                </c:pt>
                <c:pt idx="16">
                  <c:v>283258.04076786072</c:v>
                </c:pt>
                <c:pt idx="17">
                  <c:v>303141.09235952829</c:v>
                </c:pt>
                <c:pt idx="18">
                  <c:v>296689.96888274222</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総合評価２!$C$34:$U$34</c:f>
              <c:numCache>
                <c:formatCode>#,##0.0;"△ "#,##0.0</c:formatCode>
                <c:ptCount val="19"/>
                <c:pt idx="0">
                  <c:v>44.041568704451223</c:v>
                </c:pt>
                <c:pt idx="1">
                  <c:v>40.72540865894927</c:v>
                </c:pt>
                <c:pt idx="2">
                  <c:v>43.065282297870013</c:v>
                </c:pt>
                <c:pt idx="3">
                  <c:v>45.468478033658435</c:v>
                </c:pt>
                <c:pt idx="4">
                  <c:v>41.684776811625191</c:v>
                </c:pt>
                <c:pt idx="5">
                  <c:v>39.808507595305791</c:v>
                </c:pt>
                <c:pt idx="6">
                  <c:v>38.43218105157662</c:v>
                </c:pt>
                <c:pt idx="7">
                  <c:v>40.585393373854536</c:v>
                </c:pt>
                <c:pt idx="8">
                  <c:v>46.503190456879345</c:v>
                </c:pt>
                <c:pt idx="9">
                  <c:v>39.184709269356659</c:v>
                </c:pt>
                <c:pt idx="10">
                  <c:v>30.776837807210111</c:v>
                </c:pt>
                <c:pt idx="11">
                  <c:v>34.234353908673164</c:v>
                </c:pt>
                <c:pt idx="12">
                  <c:v>36.387142863355002</c:v>
                </c:pt>
                <c:pt idx="13">
                  <c:v>38.714710824784639</c:v>
                </c:pt>
                <c:pt idx="14">
                  <c:v>39.077570642460927</c:v>
                </c:pt>
                <c:pt idx="15">
                  <c:v>36.097981734248535</c:v>
                </c:pt>
                <c:pt idx="16">
                  <c:v>33.605776996689897</c:v>
                </c:pt>
                <c:pt idx="17">
                  <c:v>33.795865151100195</c:v>
                </c:pt>
                <c:pt idx="18">
                  <c:v>36.49582510202368</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Lベンチマーク!$C$16:$U$16</c:f>
              <c:numCache>
                <c:formatCode>0.0%</c:formatCode>
                <c:ptCount val="19"/>
                <c:pt idx="1">
                  <c:v>-9.3759966614020751E-2</c:v>
                </c:pt>
                <c:pt idx="2">
                  <c:v>8.8896571270825397E-2</c:v>
                </c:pt>
                <c:pt idx="3">
                  <c:v>-0.18703840318374088</c:v>
                </c:pt>
                <c:pt idx="4">
                  <c:v>0.16321505378563739</c:v>
                </c:pt>
                <c:pt idx="5">
                  <c:v>4.7920940105667276E-2</c:v>
                </c:pt>
                <c:pt idx="6">
                  <c:v>0.22538262245007479</c:v>
                </c:pt>
                <c:pt idx="7">
                  <c:v>-0.3333269168124795</c:v>
                </c:pt>
                <c:pt idx="8">
                  <c:v>0.26510517993546134</c:v>
                </c:pt>
                <c:pt idx="9">
                  <c:v>-0.17127609243103381</c:v>
                </c:pt>
                <c:pt idx="10">
                  <c:v>0.168286675043964</c:v>
                </c:pt>
                <c:pt idx="11">
                  <c:v>-0.13807792130333796</c:v>
                </c:pt>
                <c:pt idx="12">
                  <c:v>4.7327292397780996E-2</c:v>
                </c:pt>
                <c:pt idx="13">
                  <c:v>3.0322185230806431E-2</c:v>
                </c:pt>
                <c:pt idx="14">
                  <c:v>0.4078154020425715</c:v>
                </c:pt>
                <c:pt idx="15">
                  <c:v>-0.18564014480093849</c:v>
                </c:pt>
                <c:pt idx="16">
                  <c:v>2.5310285330822913E-2</c:v>
                </c:pt>
                <c:pt idx="17">
                  <c:v>8.4018082692672635E-2</c:v>
                </c:pt>
                <c:pt idx="18">
                  <c:v>-6.7121909274538982E-3</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Lベンチマーク!$C$17:$U$17</c:f>
              <c:numCache>
                <c:formatCode>0.0%</c:formatCode>
                <c:ptCount val="19"/>
                <c:pt idx="0">
                  <c:v>2.9523934012442802E-2</c:v>
                </c:pt>
                <c:pt idx="1">
                  <c:v>2.9251597483315815E-2</c:v>
                </c:pt>
                <c:pt idx="2">
                  <c:v>1.7436604049412763E-2</c:v>
                </c:pt>
                <c:pt idx="3">
                  <c:v>-2.7487395803835971E-3</c:v>
                </c:pt>
                <c:pt idx="4">
                  <c:v>1.3144603964146153E-2</c:v>
                </c:pt>
                <c:pt idx="5">
                  <c:v>3.3993813332214005E-3</c:v>
                </c:pt>
                <c:pt idx="6">
                  <c:v>2.9089457560279545E-4</c:v>
                </c:pt>
                <c:pt idx="7">
                  <c:v>1.8350689258868947E-2</c:v>
                </c:pt>
                <c:pt idx="8">
                  <c:v>7.6392243094046729E-3</c:v>
                </c:pt>
                <c:pt idx="9">
                  <c:v>2.9540268171960531E-2</c:v>
                </c:pt>
                <c:pt idx="10">
                  <c:v>3.7988542806352242E-2</c:v>
                </c:pt>
                <c:pt idx="11">
                  <c:v>3.8628948355780318E-2</c:v>
                </c:pt>
                <c:pt idx="12">
                  <c:v>3.0458757036473369E-2</c:v>
                </c:pt>
                <c:pt idx="13">
                  <c:v>4.6774841598950435E-2</c:v>
                </c:pt>
                <c:pt idx="14">
                  <c:v>5.6506990631560096E-2</c:v>
                </c:pt>
                <c:pt idx="15">
                  <c:v>3.4026636303772416E-2</c:v>
                </c:pt>
                <c:pt idx="16">
                  <c:v>5.5832860816103461E-2</c:v>
                </c:pt>
                <c:pt idx="17">
                  <c:v>4.9016796937501321E-2</c:v>
                </c:pt>
                <c:pt idx="18">
                  <c:v>4.1348457999690051E-2</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Lベンチマーク!$C$18:$U$18</c:f>
              <c:numCache>
                <c:formatCode>#,##0_ ;[Red]\-#,##0\ </c:formatCode>
                <c:ptCount val="19"/>
                <c:pt idx="0">
                  <c:v>659.10517659634183</c:v>
                </c:pt>
                <c:pt idx="1">
                  <c:v>649.42478605142605</c:v>
                </c:pt>
                <c:pt idx="2">
                  <c:v>360.47220099623604</c:v>
                </c:pt>
                <c:pt idx="3">
                  <c:v>-48.099156361208799</c:v>
                </c:pt>
                <c:pt idx="4">
                  <c:v>289.30938527498722</c:v>
                </c:pt>
                <c:pt idx="5">
                  <c:v>78.612236170249972</c:v>
                </c:pt>
                <c:pt idx="6">
                  <c:v>7.2789864552231505</c:v>
                </c:pt>
                <c:pt idx="7">
                  <c:v>351.88624994760727</c:v>
                </c:pt>
                <c:pt idx="8">
                  <c:v>158.9921064993712</c:v>
                </c:pt>
                <c:pt idx="9">
                  <c:v>593.75830708909552</c:v>
                </c:pt>
                <c:pt idx="10">
                  <c:v>882.522390658733</c:v>
                </c:pt>
                <c:pt idx="11">
                  <c:v>881.25301905461163</c:v>
                </c:pt>
                <c:pt idx="12">
                  <c:v>657.4903110640355</c:v>
                </c:pt>
                <c:pt idx="13">
                  <c:v>1016.7841446389602</c:v>
                </c:pt>
                <c:pt idx="14">
                  <c:v>1354.8592970429629</c:v>
                </c:pt>
                <c:pt idx="15">
                  <c:v>711.92618212730224</c:v>
                </c:pt>
                <c:pt idx="16">
                  <c:v>1334.3083156303053</c:v>
                </c:pt>
                <c:pt idx="17">
                  <c:v>1207.3153624647782</c:v>
                </c:pt>
                <c:pt idx="18">
                  <c:v>975.24110708843887</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Lベンチマーク!$C$19:$U$19</c:f>
              <c:numCache>
                <c:formatCode>#,##0.0_ ;[Red]\-#,##0.0\ </c:formatCode>
                <c:ptCount val="19"/>
                <c:pt idx="0">
                  <c:v>5.5753843825752281</c:v>
                </c:pt>
                <c:pt idx="1">
                  <c:v>3.9038416320885188</c:v>
                </c:pt>
                <c:pt idx="2">
                  <c:v>3.9428759433580343</c:v>
                </c:pt>
                <c:pt idx="3">
                  <c:v>8.6510738954006943</c:v>
                </c:pt>
                <c:pt idx="4">
                  <c:v>6.4049481551657088</c:v>
                </c:pt>
                <c:pt idx="5">
                  <c:v>3.4262460472788399</c:v>
                </c:pt>
                <c:pt idx="6">
                  <c:v>2.3084950729859304</c:v>
                </c:pt>
                <c:pt idx="7">
                  <c:v>4.4528495236503778</c:v>
                </c:pt>
                <c:pt idx="8">
                  <c:v>3.7871502382211522</c:v>
                </c:pt>
                <c:pt idx="9">
                  <c:v>3.3866135204075132</c:v>
                </c:pt>
                <c:pt idx="10">
                  <c:v>3.3627446726481649</c:v>
                </c:pt>
                <c:pt idx="11">
                  <c:v>2.7800024861145047</c:v>
                </c:pt>
                <c:pt idx="12">
                  <c:v>1.8145138776621319</c:v>
                </c:pt>
                <c:pt idx="13">
                  <c:v>1.7384008208594657</c:v>
                </c:pt>
                <c:pt idx="14">
                  <c:v>0.66666690851304011</c:v>
                </c:pt>
                <c:pt idx="15">
                  <c:v>1.2828376162865787</c:v>
                </c:pt>
                <c:pt idx="16">
                  <c:v>0.2938120973281303</c:v>
                </c:pt>
                <c:pt idx="17">
                  <c:v>0.16155249653697076</c:v>
                </c:pt>
                <c:pt idx="18">
                  <c:v>0.93811543328053637</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Lベンチマーク!$C$20:$U$20</c:f>
              <c:numCache>
                <c:formatCode>#,##0.0_ ;[Red]\-#,##0.0\ </c:formatCode>
                <c:ptCount val="19"/>
                <c:pt idx="0">
                  <c:v>1.8629183896232004</c:v>
                </c:pt>
                <c:pt idx="1">
                  <c:v>1.8616923773716691</c:v>
                </c:pt>
                <c:pt idx="2">
                  <c:v>2.2786643554560393</c:v>
                </c:pt>
                <c:pt idx="3">
                  <c:v>1.9709696161940187</c:v>
                </c:pt>
                <c:pt idx="4">
                  <c:v>1.1833476649631978</c:v>
                </c:pt>
                <c:pt idx="5">
                  <c:v>1.6098659225123502</c:v>
                </c:pt>
                <c:pt idx="6">
                  <c:v>1.6756855139039524</c:v>
                </c:pt>
                <c:pt idx="7">
                  <c:v>2.3094019793824332</c:v>
                </c:pt>
                <c:pt idx="8">
                  <c:v>2.2424136881099388</c:v>
                </c:pt>
                <c:pt idx="9">
                  <c:v>1.9036654248204907</c:v>
                </c:pt>
                <c:pt idx="10">
                  <c:v>1.8348040979336724</c:v>
                </c:pt>
                <c:pt idx="11">
                  <c:v>2.2188843704358776</c:v>
                </c:pt>
                <c:pt idx="12">
                  <c:v>1.8681387920855552</c:v>
                </c:pt>
                <c:pt idx="13">
                  <c:v>1.9390553673272963</c:v>
                </c:pt>
                <c:pt idx="14">
                  <c:v>1.5321854535279373</c:v>
                </c:pt>
                <c:pt idx="15">
                  <c:v>2.1022969479562379</c:v>
                </c:pt>
                <c:pt idx="16">
                  <c:v>2.0707341301267417</c:v>
                </c:pt>
                <c:pt idx="17">
                  <c:v>1.6196077716141872</c:v>
                </c:pt>
                <c:pt idx="18">
                  <c:v>1.9100515392795878</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Lベンチマーク!$C$21:$U$21</c:f>
              <c:numCache>
                <c:formatCode>0.0%</c:formatCode>
                <c:ptCount val="19"/>
                <c:pt idx="0">
                  <c:v>0.28034451875863037</c:v>
                </c:pt>
                <c:pt idx="1">
                  <c:v>0.32937108589229058</c:v>
                </c:pt>
                <c:pt idx="2">
                  <c:v>0.34037295763192132</c:v>
                </c:pt>
                <c:pt idx="3">
                  <c:v>0.37196873744782766</c:v>
                </c:pt>
                <c:pt idx="4">
                  <c:v>0.36584091041960121</c:v>
                </c:pt>
                <c:pt idx="5">
                  <c:v>0.45358270983866716</c:v>
                </c:pt>
                <c:pt idx="6">
                  <c:v>0.48146788765395587</c:v>
                </c:pt>
                <c:pt idx="7">
                  <c:v>0.42107045907709184</c:v>
                </c:pt>
                <c:pt idx="8">
                  <c:v>0.39411593574204623</c:v>
                </c:pt>
                <c:pt idx="9">
                  <c:v>0.40128396018738732</c:v>
                </c:pt>
                <c:pt idx="10">
                  <c:v>0.37521905985130416</c:v>
                </c:pt>
                <c:pt idx="11">
                  <c:v>0.40805017273425387</c:v>
                </c:pt>
                <c:pt idx="12">
                  <c:v>0.48138414735365542</c:v>
                </c:pt>
                <c:pt idx="13">
                  <c:v>0.43313314027172534</c:v>
                </c:pt>
                <c:pt idx="14">
                  <c:v>0.44802624785964967</c:v>
                </c:pt>
                <c:pt idx="15">
                  <c:v>0.48002038546385617</c:v>
                </c:pt>
                <c:pt idx="16">
                  <c:v>0.52584668451137595</c:v>
                </c:pt>
                <c:pt idx="17">
                  <c:v>0.48602102210952958</c:v>
                </c:pt>
                <c:pt idx="18">
                  <c:v>0.49090454617539142</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PL!$K$4:$AC$4</c:f>
              <c:numCache>
                <c:formatCode>##\ ###\ ###\ ##0;[&lt;-999]\-#\ ###\ ##0;#\ ##0</c:formatCode>
                <c:ptCount val="19"/>
                <c:pt idx="0">
                  <c:v>11393</c:v>
                </c:pt>
                <c:pt idx="1">
                  <c:v>10608</c:v>
                </c:pt>
                <c:pt idx="2">
                  <c:v>10338.231005322499</c:v>
                </c:pt>
                <c:pt idx="3">
                  <c:v>9511.4782435730995</c:v>
                </c:pt>
                <c:pt idx="4">
                  <c:v>9849.5839639144506</c:v>
                </c:pt>
                <c:pt idx="5">
                  <c:v>9706.4625336266308</c:v>
                </c:pt>
                <c:pt idx="6">
                  <c:v>8629.2077089966606</c:v>
                </c:pt>
                <c:pt idx="7">
                  <c:v>10187.594072415965</c:v>
                </c:pt>
                <c:pt idx="8">
                  <c:v>9883.0704331000088</c:v>
                </c:pt>
                <c:pt idx="9">
                  <c:v>11464.746979305573</c:v>
                </c:pt>
                <c:pt idx="10">
                  <c:v>11643.685918299981</c:v>
                </c:pt>
                <c:pt idx="11">
                  <c:v>11827.511068099988</c:v>
                </c:pt>
                <c:pt idx="12">
                  <c:v>12016.284332899975</c:v>
                </c:pt>
                <c:pt idx="13">
                  <c:v>12210.070519199995</c:v>
                </c:pt>
                <c:pt idx="14">
                  <c:v>10090.623360700001</c:v>
                </c:pt>
                <c:pt idx="15">
                  <c:v>10067</c:v>
                </c:pt>
                <c:pt idx="16">
                  <c:v>10106</c:v>
                </c:pt>
                <c:pt idx="17">
                  <c:v>10091</c:v>
                </c:pt>
                <c:pt idx="18">
                  <c:v>10123</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PL!$K$5:$AC$5</c:f>
              <c:numCache>
                <c:formatCode>0.0</c:formatCode>
                <c:ptCount val="19"/>
                <c:pt idx="0">
                  <c:v>21.347318528921299</c:v>
                </c:pt>
                <c:pt idx="1">
                  <c:v>19.453054298642535</c:v>
                </c:pt>
                <c:pt idx="2">
                  <c:v>22.748031868795213</c:v>
                </c:pt>
                <c:pt idx="3">
                  <c:v>21.848411568045332</c:v>
                </c:pt>
                <c:pt idx="4">
                  <c:v>20.205459362863763</c:v>
                </c:pt>
                <c:pt idx="5">
                  <c:v>20.152178392700858</c:v>
                </c:pt>
                <c:pt idx="6">
                  <c:v>22.821736819167953</c:v>
                </c:pt>
                <c:pt idx="7">
                  <c:v>19.853952851186037</c:v>
                </c:pt>
                <c:pt idx="8">
                  <c:v>23.141805274563811</c:v>
                </c:pt>
                <c:pt idx="9">
                  <c:v>19.858120360783609</c:v>
                </c:pt>
                <c:pt idx="10">
                  <c:v>20.072881892659066</c:v>
                </c:pt>
                <c:pt idx="11">
                  <c:v>17.618263452592512</c:v>
                </c:pt>
                <c:pt idx="12">
                  <c:v>19.500963661852872</c:v>
                </c:pt>
                <c:pt idx="13">
                  <c:v>19.952157532469993</c:v>
                </c:pt>
                <c:pt idx="14">
                  <c:v>25.465956937246414</c:v>
                </c:pt>
                <c:pt idx="15">
                  <c:v>23.765799442876588</c:v>
                </c:pt>
                <c:pt idx="16">
                  <c:v>21.333267365921234</c:v>
                </c:pt>
                <c:pt idx="17">
                  <c:v>22.438014071945297</c:v>
                </c:pt>
                <c:pt idx="18">
                  <c:v>23.274622147584708</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総合評価!$C$5:$U$5</c:f>
              <c:numCache>
                <c:formatCode>#,##0;"△ "#,##0</c:formatCode>
                <c:ptCount val="19"/>
                <c:pt idx="0">
                  <c:v>476566.84718686901</c:v>
                </c:pt>
                <c:pt idx="1">
                  <c:v>431883.95550527907</c:v>
                </c:pt>
                <c:pt idx="2">
                  <c:v>470276.95833658014</c:v>
                </c:pt>
                <c:pt idx="3">
                  <c:v>382317.10699519957</c:v>
                </c:pt>
                <c:pt idx="4">
                  <c:v>444717.01417659037</c:v>
                </c:pt>
                <c:pt idx="5">
                  <c:v>466028.2715769179</c:v>
                </c:pt>
                <c:pt idx="6">
                  <c:v>571062.94556079933</c:v>
                </c:pt>
                <c:pt idx="7">
                  <c:v>380712.29461116524</c:v>
                </c:pt>
                <c:pt idx="8">
                  <c:v>481641.09597770061</c:v>
                </c:pt>
                <c:pt idx="9">
                  <c:v>399147.49110443954</c:v>
                </c:pt>
                <c:pt idx="10">
                  <c:v>466318.69523454586</c:v>
                </c:pt>
                <c:pt idx="11">
                  <c:v>401930.379131675</c:v>
                </c:pt>
                <c:pt idx="12">
                  <c:v>420952.65570839075</c:v>
                </c:pt>
                <c:pt idx="13">
                  <c:v>433716.8601081805</c:v>
                </c:pt>
                <c:pt idx="14">
                  <c:v>610593.27578583988</c:v>
                </c:pt>
                <c:pt idx="15">
                  <c:v>497242.65165447723</c:v>
                </c:pt>
                <c:pt idx="16">
                  <c:v>509828.00504650705</c:v>
                </c:pt>
                <c:pt idx="17">
                  <c:v>552662.77653354476</c:v>
                </c:pt>
                <c:pt idx="18">
                  <c:v>548953.19845895481</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総合評価!$C$12:$U$12</c:f>
              <c:numCache>
                <c:formatCode>#,##0;"△ "#,##0</c:formatCode>
                <c:ptCount val="19"/>
                <c:pt idx="0">
                  <c:v>8068.5359431229699</c:v>
                </c:pt>
                <c:pt idx="1">
                  <c:v>3795.9087481146307</c:v>
                </c:pt>
                <c:pt idx="2">
                  <c:v>1941.7759394961477</c:v>
                </c:pt>
                <c:pt idx="3">
                  <c:v>-840.99770914266651</c:v>
                </c:pt>
                <c:pt idx="4">
                  <c:v>2483.6581056210766</c:v>
                </c:pt>
                <c:pt idx="5">
                  <c:v>-777.02789697397793</c:v>
                </c:pt>
                <c:pt idx="6">
                  <c:v>-1550.9490888707821</c:v>
                </c:pt>
                <c:pt idx="7">
                  <c:v>1148.6573494731438</c:v>
                </c:pt>
                <c:pt idx="8">
                  <c:v>-4829.2269687239641</c:v>
                </c:pt>
                <c:pt idx="9">
                  <c:v>8879.5262784086972</c:v>
                </c:pt>
                <c:pt idx="10">
                  <c:v>10769.538842515687</c:v>
                </c:pt>
                <c:pt idx="11">
                  <c:v>9945.3613190129781</c:v>
                </c:pt>
                <c:pt idx="12">
                  <c:v>8727.024691697301</c:v>
                </c:pt>
                <c:pt idx="13">
                  <c:v>14663.948992896116</c:v>
                </c:pt>
                <c:pt idx="14">
                  <c:v>26813.732660714802</c:v>
                </c:pt>
                <c:pt idx="15">
                  <c:v>15306.307977942914</c:v>
                </c:pt>
                <c:pt idx="16">
                  <c:v>21779.970017811203</c:v>
                </c:pt>
                <c:pt idx="17">
                  <c:v>18426.199484689329</c:v>
                </c:pt>
                <c:pt idx="18">
                  <c:v>18104.31176528697</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総合評価!$C$10:$U$10</c:f>
              <c:numCache>
                <c:formatCode>#,##0;"△ "#,##0</c:formatCode>
                <c:ptCount val="19"/>
                <c:pt idx="0">
                  <c:v>14070.128148863034</c:v>
                </c:pt>
                <c:pt idx="1">
                  <c:v>12633.295625942701</c:v>
                </c:pt>
                <c:pt idx="2">
                  <c:v>8200.0331160771311</c:v>
                </c:pt>
                <c:pt idx="3">
                  <c:v>-1050.8901642554556</c:v>
                </c:pt>
                <c:pt idx="4">
                  <c:v>5845.6290274688508</c:v>
                </c:pt>
                <c:pt idx="5">
                  <c:v>1584.2078071520082</c:v>
                </c:pt>
                <c:pt idx="6">
                  <c:v>166.11911319139099</c:v>
                </c:pt>
                <c:pt idx="7">
                  <c:v>6986.3330154404603</c:v>
                </c:pt>
                <c:pt idx="8">
                  <c:v>3679.3643688011598</c:v>
                </c:pt>
                <c:pt idx="9">
                  <c:v>11790.923927390375</c:v>
                </c:pt>
                <c:pt idx="10">
                  <c:v>17714.767715319871</c:v>
                </c:pt>
                <c:pt idx="11">
                  <c:v>15526.147858096676</c:v>
                </c:pt>
                <c:pt idx="12">
                  <c:v>12821.694664080098</c:v>
                </c:pt>
                <c:pt idx="13">
                  <c:v>20287.037430354289</c:v>
                </c:pt>
                <c:pt idx="14">
                  <c:v>34502.788514524043</c:v>
                </c:pt>
                <c:pt idx="15">
                  <c:v>16919.494862570296</c:v>
                </c:pt>
                <c:pt idx="16">
                  <c:v>28465.156045913322</c:v>
                </c:pt>
                <c:pt idx="17">
                  <c:v>27089.759092260432</c:v>
                </c:pt>
                <c:pt idx="18">
                  <c:v>22698.368270275609</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総合評価!$C$9:$U$9</c:f>
              <c:numCache>
                <c:formatCode>#,##0;"△ "#,##0</c:formatCode>
                <c:ptCount val="19"/>
                <c:pt idx="0">
                  <c:v>56651.155972965797</c:v>
                </c:pt>
                <c:pt idx="1">
                  <c:v>53898.755656108588</c:v>
                </c:pt>
                <c:pt idx="2">
                  <c:v>62202.153803650064</c:v>
                </c:pt>
                <c:pt idx="3">
                  <c:v>43944.568213566621</c:v>
                </c:pt>
                <c:pt idx="4">
                  <c:v>46442.799820978114</c:v>
                </c:pt>
                <c:pt idx="5">
                  <c:v>53355.721600469464</c:v>
                </c:pt>
                <c:pt idx="6">
                  <c:v>59702.314101014228</c:v>
                </c:pt>
                <c:pt idx="7">
                  <c:v>41043.87375645322</c:v>
                </c:pt>
                <c:pt idx="8">
                  <c:v>50302.209484361745</c:v>
                </c:pt>
                <c:pt idx="9">
                  <c:v>47677.577007180065</c:v>
                </c:pt>
                <c:pt idx="10">
                  <c:v>47911.344274595016</c:v>
                </c:pt>
                <c:pt idx="11">
                  <c:v>34220.62942474462</c:v>
                </c:pt>
                <c:pt idx="12">
                  <c:v>44804.919393215823</c:v>
                </c:pt>
                <c:pt idx="13">
                  <c:v>47253.724821613723</c:v>
                </c:pt>
                <c:pt idx="14">
                  <c:v>73758.237856303022</c:v>
                </c:pt>
                <c:pt idx="15">
                  <c:v>61117.517926557317</c:v>
                </c:pt>
                <c:pt idx="16">
                  <c:v>59363.784583415792</c:v>
                </c:pt>
                <c:pt idx="17">
                  <c:v>69171.560301258534</c:v>
                </c:pt>
                <c:pt idx="18">
                  <c:v>59327.262175244505</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総合評価!$C$8:$U$8</c:f>
              <c:numCache>
                <c:formatCode>#,##0;"△ "#,##0</c:formatCode>
                <c:ptCount val="19"/>
                <c:pt idx="0">
                  <c:v>54847.567804792401</c:v>
                </c:pt>
                <c:pt idx="1">
                  <c:v>58791.855203619911</c:v>
                </c:pt>
                <c:pt idx="2">
                  <c:v>69121.627099094723</c:v>
                </c:pt>
                <c:pt idx="3">
                  <c:v>62896.222487337633</c:v>
                </c:pt>
                <c:pt idx="4">
                  <c:v>66054.671608089659</c:v>
                </c:pt>
                <c:pt idx="5">
                  <c:v>75452.846948517952</c:v>
                </c:pt>
                <c:pt idx="6">
                  <c:v>116186.8783061342</c:v>
                </c:pt>
                <c:pt idx="7">
                  <c:v>65704.769235610773</c:v>
                </c:pt>
                <c:pt idx="8">
                  <c:v>70099.72485216432</c:v>
                </c:pt>
                <c:pt idx="9">
                  <c:v>67675.778245622743</c:v>
                </c:pt>
                <c:pt idx="10">
                  <c:v>114139.83107209363</c:v>
                </c:pt>
                <c:pt idx="11">
                  <c:v>86535.170244490844</c:v>
                </c:pt>
                <c:pt idx="12">
                  <c:v>73667.3139261529</c:v>
                </c:pt>
                <c:pt idx="13">
                  <c:v>64066.313040365712</c:v>
                </c:pt>
                <c:pt idx="14">
                  <c:v>82258.000358836667</c:v>
                </c:pt>
                <c:pt idx="15">
                  <c:v>100630.7237202351</c:v>
                </c:pt>
                <c:pt idx="16">
                  <c:v>100412.88482089853</c:v>
                </c:pt>
                <c:pt idx="17">
                  <c:v>104548.76097512637</c:v>
                </c:pt>
                <c:pt idx="18">
                  <c:v>106500.27304158839</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総合評価!$C$7:$U$7</c:f>
              <c:numCache>
                <c:formatCode>#,##0;"△ "#,##0</c:formatCode>
                <c:ptCount val="19"/>
                <c:pt idx="0">
                  <c:v>98827.8100588081</c:v>
                </c:pt>
                <c:pt idx="1">
                  <c:v>86045.908748114627</c:v>
                </c:pt>
                <c:pt idx="2">
                  <c:v>105095.88461686388</c:v>
                </c:pt>
                <c:pt idx="3">
                  <c:v>88136.766027137812</c:v>
                </c:pt>
                <c:pt idx="4">
                  <c:v>84461.43885453805</c:v>
                </c:pt>
                <c:pt idx="5">
                  <c:v>86004.198379392852</c:v>
                </c:pt>
                <c:pt idx="6">
                  <c:v>109762.63677126115</c:v>
                </c:pt>
                <c:pt idx="7">
                  <c:v>77601.012323214731</c:v>
                </c:pt>
                <c:pt idx="8">
                  <c:v>107757.08418716153</c:v>
                </c:pt>
                <c:pt idx="9">
                  <c:v>81806.370102321293</c:v>
                </c:pt>
                <c:pt idx="10">
                  <c:v>79837.69510477838</c:v>
                </c:pt>
                <c:pt idx="11">
                  <c:v>70884.748282170316</c:v>
                </c:pt>
                <c:pt idx="12">
                  <c:v>74939.439633215123</c:v>
                </c:pt>
                <c:pt idx="13">
                  <c:v>82857.301697266725</c:v>
                </c:pt>
                <c:pt idx="14">
                  <c:v>121691.03006331081</c:v>
                </c:pt>
                <c:pt idx="15">
                  <c:v>100799.08419225721</c:v>
                </c:pt>
                <c:pt idx="16">
                  <c:v>95016.21531763309</c:v>
                </c:pt>
                <c:pt idx="17">
                  <c:v>102331.01189178476</c:v>
                </c:pt>
                <c:pt idx="18">
                  <c:v>108164.06539563372</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総合評価!$C$6:$U$6</c:f>
              <c:numCache>
                <c:formatCode>#,##0;"△ "#,##0</c:formatCode>
                <c:ptCount val="19"/>
                <c:pt idx="0">
                  <c:v>252170.18520143948</c:v>
                </c:pt>
                <c:pt idx="1">
                  <c:v>220514.04600301659</c:v>
                </c:pt>
                <c:pt idx="2">
                  <c:v>225657.25970089453</c:v>
                </c:pt>
                <c:pt idx="3">
                  <c:v>188390.44043141321</c:v>
                </c:pt>
                <c:pt idx="4">
                  <c:v>241912.47486551682</c:v>
                </c:pt>
                <c:pt idx="5">
                  <c:v>249631.29684138639</c:v>
                </c:pt>
                <c:pt idx="6">
                  <c:v>285244.99726919812</c:v>
                </c:pt>
                <c:pt idx="7">
                  <c:v>189376.30628044606</c:v>
                </c:pt>
                <c:pt idx="8">
                  <c:v>249802.71308521193</c:v>
                </c:pt>
                <c:pt idx="9">
                  <c:v>190196.84182192516</c:v>
                </c:pt>
                <c:pt idx="10">
                  <c:v>206715.05706775878</c:v>
                </c:pt>
                <c:pt idx="11">
                  <c:v>194763.68332217261</c:v>
                </c:pt>
                <c:pt idx="12">
                  <c:v>214719.28809172692</c:v>
                </c:pt>
                <c:pt idx="13">
                  <c:v>219252.48311857984</c:v>
                </c:pt>
                <c:pt idx="14">
                  <c:v>298383.21899286524</c:v>
                </c:pt>
                <c:pt idx="15">
                  <c:v>217775.83095285809</c:v>
                </c:pt>
                <c:pt idx="16">
                  <c:v>226569.96427864634</c:v>
                </c:pt>
                <c:pt idx="17">
                  <c:v>249521.68417401644</c:v>
                </c:pt>
                <c:pt idx="18">
                  <c:v>252263.22957621256</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総合評価!$C$18:$U$18</c:f>
              <c:numCache>
                <c:formatCode>#,##0;"△ "#,##0</c:formatCode>
                <c:ptCount val="19"/>
                <c:pt idx="0">
                  <c:v>237673.22039849032</c:v>
                </c:pt>
                <c:pt idx="1">
                  <c:v>191442.59049773758</c:v>
                </c:pt>
                <c:pt idx="2">
                  <c:v>240921.84216501622</c:v>
                </c:pt>
                <c:pt idx="3">
                  <c:v>174653.23231868781</c:v>
                </c:pt>
                <c:pt idx="4">
                  <c:v>186586.78283720536</c:v>
                </c:pt>
                <c:pt idx="5">
                  <c:v>164617.66786837738</c:v>
                </c:pt>
                <c:pt idx="6">
                  <c:v>183363.71826150673</c:v>
                </c:pt>
                <c:pt idx="7">
                  <c:v>169436.43442235049</c:v>
                </c:pt>
                <c:pt idx="8">
                  <c:v>160566.92146556237</c:v>
                </c:pt>
                <c:pt idx="9">
                  <c:v>158669.49997830376</c:v>
                </c:pt>
                <c:pt idx="10">
                  <c:v>181462.40985522704</c:v>
                </c:pt>
                <c:pt idx="11">
                  <c:v>125686.5399580396</c:v>
                </c:pt>
                <c:pt idx="12">
                  <c:v>131148.8293277628</c:v>
                </c:pt>
                <c:pt idx="13">
                  <c:v>129934.74845257387</c:v>
                </c:pt>
                <c:pt idx="14">
                  <c:v>133480.03819511476</c:v>
                </c:pt>
                <c:pt idx="15">
                  <c:v>144975.18138402392</c:v>
                </c:pt>
                <c:pt idx="16">
                  <c:v>143862.29467642985</c:v>
                </c:pt>
                <c:pt idx="17">
                  <c:v>179776.34446536517</c:v>
                </c:pt>
                <c:pt idx="18">
                  <c:v>171710.49501136027</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総合評価!$C$46:$U$46</c:f>
              <c:numCache>
                <c:formatCode>#,##0.0;"△ "#,##0.0</c:formatCode>
                <c:ptCount val="19"/>
                <c:pt idx="0">
                  <c:v>44.571135015358244</c:v>
                </c:pt>
                <c:pt idx="1">
                  <c:v>42.451937438242311</c:v>
                </c:pt>
                <c:pt idx="2">
                  <c:v>41.548627103623204</c:v>
                </c:pt>
                <c:pt idx="3">
                  <c:v>40.07232735919866</c:v>
                </c:pt>
                <c:pt idx="4">
                  <c:v>40.951095759937829</c:v>
                </c:pt>
                <c:pt idx="5">
                  <c:v>32.062500186131317</c:v>
                </c:pt>
                <c:pt idx="6">
                  <c:v>28.969877090154107</c:v>
                </c:pt>
                <c:pt idx="7">
                  <c:v>37.413011045479436</c:v>
                </c:pt>
                <c:pt idx="8">
                  <c:v>34.118543353817735</c:v>
                </c:pt>
                <c:pt idx="9">
                  <c:v>36.918260375345746</c:v>
                </c:pt>
                <c:pt idx="10">
                  <c:v>38.354122407808603</c:v>
                </c:pt>
                <c:pt idx="11">
                  <c:v>33.431313108703748</c:v>
                </c:pt>
                <c:pt idx="12">
                  <c:v>28.995055162806842</c:v>
                </c:pt>
                <c:pt idx="13">
                  <c:v>30.172666495336486</c:v>
                </c:pt>
                <c:pt idx="14">
                  <c:v>24.183936031244162</c:v>
                </c:pt>
                <c:pt idx="15">
                  <c:v>26.912133715655745</c:v>
                </c:pt>
                <c:pt idx="16">
                  <c:v>24.573439232789003</c:v>
                </c:pt>
                <c:pt idx="17">
                  <c:v>28.183416859084577</c:v>
                </c:pt>
                <c:pt idx="18">
                  <c:v>27.866941644591581</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総合評価!$C$34:$U$34</c:f>
              <c:numCache>
                <c:formatCode>#,##0;"△ "#,##0</c:formatCode>
                <c:ptCount val="19"/>
                <c:pt idx="1">
                  <c:v>33427.430979885947</c:v>
                </c:pt>
                <c:pt idx="2">
                  <c:v>16805.265930052006</c:v>
                </c:pt>
                <c:pt idx="3">
                  <c:v>30532.556971695951</c:v>
                </c:pt>
                <c:pt idx="4">
                  <c:v>43947.916855093448</c:v>
                </c:pt>
                <c:pt idx="5">
                  <c:v>22439.440587186407</c:v>
                </c:pt>
                <c:pt idx="6">
                  <c:v>3627.0294752927002</c:v>
                </c:pt>
                <c:pt idx="7">
                  <c:v>9962.2079390648651</c:v>
                </c:pt>
                <c:pt idx="8">
                  <c:v>48535.45527570312</c:v>
                </c:pt>
                <c:pt idx="9">
                  <c:v>31549.043799504878</c:v>
                </c:pt>
                <c:pt idx="10">
                  <c:v>33508.131187806423</c:v>
                </c:pt>
                <c:pt idx="11">
                  <c:v>38931.101555188434</c:v>
                </c:pt>
                <c:pt idx="12">
                  <c:v>31514.485769108</c:v>
                </c:pt>
                <c:pt idx="13">
                  <c:v>60498.012281727402</c:v>
                </c:pt>
                <c:pt idx="14">
                  <c:v>75616.201883634087</c:v>
                </c:pt>
                <c:pt idx="15">
                  <c:v>26261.969449331817</c:v>
                </c:pt>
                <c:pt idx="16">
                  <c:v>35132.009321732534</c:v>
                </c:pt>
                <c:pt idx="17">
                  <c:v>97421.766069564648</c:v>
                </c:pt>
                <c:pt idx="18">
                  <c:v>22015.659402117686</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総合評価!$C$35:$U$35</c:f>
              <c:numCache>
                <c:formatCode>#,##0;"△ "#,##0</c:formatCode>
                <c:ptCount val="19"/>
                <c:pt idx="1">
                  <c:v>35052.547530905176</c:v>
                </c:pt>
                <c:pt idx="2">
                  <c:v>-47788.883512874338</c:v>
                </c:pt>
                <c:pt idx="3">
                  <c:v>23421.424775201354</c:v>
                </c:pt>
                <c:pt idx="4">
                  <c:v>-64358.834128714734</c:v>
                </c:pt>
                <c:pt idx="5">
                  <c:v>-19768.027903701059</c:v>
                </c:pt>
                <c:pt idx="6">
                  <c:v>-75690.570949575354</c:v>
                </c:pt>
                <c:pt idx="7">
                  <c:v>88648.066033185809</c:v>
                </c:pt>
                <c:pt idx="8">
                  <c:v>-17575.168629339147</c:v>
                </c:pt>
                <c:pt idx="9">
                  <c:v>-7620.3101116491271</c:v>
                </c:pt>
                <c:pt idx="10">
                  <c:v>-50279.473961791315</c:v>
                </c:pt>
                <c:pt idx="11">
                  <c:v>55297.545311337308</c:v>
                </c:pt>
                <c:pt idx="12">
                  <c:v>-55319.279344556635</c:v>
                </c:pt>
                <c:pt idx="13">
                  <c:v>-11452.982415025672</c:v>
                </c:pt>
                <c:pt idx="14">
                  <c:v>-74423.278880231184</c:v>
                </c:pt>
                <c:pt idx="15">
                  <c:v>-1745.6786026203081</c:v>
                </c:pt>
                <c:pt idx="16">
                  <c:v>-13979.811598724493</c:v>
                </c:pt>
                <c:pt idx="17">
                  <c:v>-52695.922324382191</c:v>
                </c:pt>
                <c:pt idx="18">
                  <c:v>-5723.6663998726326</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総合評価!$C$37:$U$37</c:f>
              <c:numCache>
                <c:formatCode>#,##0;"△ "#,##0</c:formatCode>
                <c:ptCount val="19"/>
                <c:pt idx="1">
                  <c:v>-15497.027196054281</c:v>
                </c:pt>
                <c:pt idx="2">
                  <c:v>16146.999705708404</c:v>
                </c:pt>
                <c:pt idx="3">
                  <c:v>-47507.987893865917</c:v>
                </c:pt>
                <c:pt idx="4">
                  <c:v>-17119.079177033418</c:v>
                </c:pt>
                <c:pt idx="5">
                  <c:v>-22941.255539338505</c:v>
                </c:pt>
                <c:pt idx="6">
                  <c:v>40946.228950181314</c:v>
                </c:pt>
                <c:pt idx="7">
                  <c:v>-40119.811366153983</c:v>
                </c:pt>
                <c:pt idx="8">
                  <c:v>10132.558618826934</c:v>
                </c:pt>
                <c:pt idx="9">
                  <c:v>-11621.73146649505</c:v>
                </c:pt>
                <c:pt idx="10">
                  <c:v>49710.866990141716</c:v>
                </c:pt>
                <c:pt idx="11">
                  <c:v>-77603.507462557143</c:v>
                </c:pt>
                <c:pt idx="12">
                  <c:v>11979.460912052433</c:v>
                </c:pt>
                <c:pt idx="13">
                  <c:v>-9148.7465477556689</c:v>
                </c:pt>
                <c:pt idx="14">
                  <c:v>16922.60591875462</c:v>
                </c:pt>
                <c:pt idx="15">
                  <c:v>25196.523343074579</c:v>
                </c:pt>
                <c:pt idx="16">
                  <c:v>-21624.103662395224</c:v>
                </c:pt>
                <c:pt idx="17">
                  <c:v>24999.457795009392</c:v>
                </c:pt>
                <c:pt idx="18">
                  <c:v>11592.137237026702</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総合評価!$C$36:$U$36</c:f>
              <c:numCache>
                <c:formatCode>#,##0;"△ "#,##0</c:formatCode>
                <c:ptCount val="19"/>
                <c:pt idx="1">
                  <c:v>68479.978510791116</c:v>
                </c:pt>
                <c:pt idx="2">
                  <c:v>-30983.617582822331</c:v>
                </c:pt>
                <c:pt idx="3">
                  <c:v>53953.981746897305</c:v>
                </c:pt>
                <c:pt idx="4">
                  <c:v>-20410.917273621286</c:v>
                </c:pt>
                <c:pt idx="5">
                  <c:v>2671.4126834853487</c:v>
                </c:pt>
                <c:pt idx="6">
                  <c:v>-72063.541474282654</c:v>
                </c:pt>
                <c:pt idx="7">
                  <c:v>98610.273972250667</c:v>
                </c:pt>
                <c:pt idx="8">
                  <c:v>30960.286646363973</c:v>
                </c:pt>
                <c:pt idx="9">
                  <c:v>23928.733687855751</c:v>
                </c:pt>
                <c:pt idx="10">
                  <c:v>-16771.342773984892</c:v>
                </c:pt>
                <c:pt idx="11">
                  <c:v>94228.646866525742</c:v>
                </c:pt>
                <c:pt idx="12">
                  <c:v>-23804.793575448635</c:v>
                </c:pt>
                <c:pt idx="13">
                  <c:v>49045.029866701734</c:v>
                </c:pt>
                <c:pt idx="14">
                  <c:v>1192.9230034029024</c:v>
                </c:pt>
                <c:pt idx="15">
                  <c:v>24516.290846711508</c:v>
                </c:pt>
                <c:pt idx="16">
                  <c:v>21152.197723008041</c:v>
                </c:pt>
                <c:pt idx="17">
                  <c:v>44725.843745182457</c:v>
                </c:pt>
                <c:pt idx="18">
                  <c:v>16291.993002245054</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総合評価!$C$48:$U$48</c:f>
              <c:numCache>
                <c:formatCode>#,##0;"△ "#,##0</c:formatCode>
                <c:ptCount val="19"/>
                <c:pt idx="0">
                  <c:v>224396.66198542947</c:v>
                </c:pt>
                <c:pt idx="1">
                  <c:v>211369.90950226251</c:v>
                </c:pt>
                <c:pt idx="2">
                  <c:v>244619.69863568561</c:v>
                </c:pt>
                <c:pt idx="3">
                  <c:v>193926.6665637863</c:v>
                </c:pt>
                <c:pt idx="4">
                  <c:v>202804.53931107355</c:v>
                </c:pt>
                <c:pt idx="5">
                  <c:v>216396.97473553149</c:v>
                </c:pt>
                <c:pt idx="6">
                  <c:v>285817.94829160115</c:v>
                </c:pt>
                <c:pt idx="7">
                  <c:v>191335.98833071918</c:v>
                </c:pt>
                <c:pt idx="8">
                  <c:v>231838.38289248871</c:v>
                </c:pt>
                <c:pt idx="9">
                  <c:v>208950.64928251438</c:v>
                </c:pt>
                <c:pt idx="10">
                  <c:v>259603.63816678704</c:v>
                </c:pt>
                <c:pt idx="11">
                  <c:v>207166.69580950239</c:v>
                </c:pt>
                <c:pt idx="12">
                  <c:v>206233.36761666383</c:v>
                </c:pt>
                <c:pt idx="13">
                  <c:v>214464.3769896006</c:v>
                </c:pt>
                <c:pt idx="14">
                  <c:v>312210.05679297459</c:v>
                </c:pt>
                <c:pt idx="15">
                  <c:v>279466.82070161914</c:v>
                </c:pt>
                <c:pt idx="16">
                  <c:v>283258.04076786072</c:v>
                </c:pt>
                <c:pt idx="17">
                  <c:v>303141.09235952829</c:v>
                </c:pt>
                <c:pt idx="18">
                  <c:v>296689.96888274222</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総合評価!$C$49:$U$49</c:f>
              <c:numCache>
                <c:formatCode>#,##0.0;"△ "#,##0.0</c:formatCode>
                <c:ptCount val="19"/>
                <c:pt idx="0">
                  <c:v>44.041568704451223</c:v>
                </c:pt>
                <c:pt idx="1">
                  <c:v>40.708684103019685</c:v>
                </c:pt>
                <c:pt idx="2">
                  <c:v>42.962968723702076</c:v>
                </c:pt>
                <c:pt idx="3">
                  <c:v>45.448502564833134</c:v>
                </c:pt>
                <c:pt idx="4">
                  <c:v>41.646720108658968</c:v>
                </c:pt>
                <c:pt idx="5">
                  <c:v>39.743715680176429</c:v>
                </c:pt>
                <c:pt idx="6">
                  <c:v>38.402989534890089</c:v>
                </c:pt>
                <c:pt idx="7">
                  <c:v>40.55745759082366</c:v>
                </c:pt>
                <c:pt idx="8">
                  <c:v>46.479397778206611</c:v>
                </c:pt>
                <c:pt idx="9">
                  <c:v>39.15104852903039</c:v>
                </c:pt>
                <c:pt idx="10">
                  <c:v>30.753688842174547</c:v>
                </c:pt>
                <c:pt idx="11">
                  <c:v>34.216285588370596</c:v>
                </c:pt>
                <c:pt idx="12">
                  <c:v>36.337204061230658</c:v>
                </c:pt>
                <c:pt idx="13">
                  <c:v>38.634528894877718</c:v>
                </c:pt>
                <c:pt idx="14">
                  <c:v>38.977293464958343</c:v>
                </c:pt>
                <c:pt idx="15">
                  <c:v>36.068354711730976</c:v>
                </c:pt>
                <c:pt idx="16">
                  <c:v>33.544048762062154</c:v>
                </c:pt>
                <c:pt idx="17">
                  <c:v>33.756892242909508</c:v>
                </c:pt>
                <c:pt idx="18">
                  <c:v>36.456933749041681</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総合評価２!$C$11:$U$11</c:f>
              <c:numCache>
                <c:formatCode>#,##0;"△ "#,##0</c:formatCode>
                <c:ptCount val="19"/>
                <c:pt idx="0">
                  <c:v>14070.128148863034</c:v>
                </c:pt>
                <c:pt idx="1">
                  <c:v>12633.295625942701</c:v>
                </c:pt>
                <c:pt idx="2">
                  <c:v>8200.0331160771311</c:v>
                </c:pt>
                <c:pt idx="3">
                  <c:v>-1050.8901642554556</c:v>
                </c:pt>
                <c:pt idx="4">
                  <c:v>5845.6290274688508</c:v>
                </c:pt>
                <c:pt idx="5">
                  <c:v>1584.2078071520082</c:v>
                </c:pt>
                <c:pt idx="6">
                  <c:v>166.11911319139099</c:v>
                </c:pt>
                <c:pt idx="7">
                  <c:v>6986.3330154404603</c:v>
                </c:pt>
                <c:pt idx="8">
                  <c:v>3679.3643688011598</c:v>
                </c:pt>
                <c:pt idx="9">
                  <c:v>11790.923927390375</c:v>
                </c:pt>
                <c:pt idx="10">
                  <c:v>17714.767715319871</c:v>
                </c:pt>
                <c:pt idx="11">
                  <c:v>15526.147858096676</c:v>
                </c:pt>
                <c:pt idx="12">
                  <c:v>12821.694664080098</c:v>
                </c:pt>
                <c:pt idx="13">
                  <c:v>20287.037430354289</c:v>
                </c:pt>
                <c:pt idx="14">
                  <c:v>34502.788514524043</c:v>
                </c:pt>
                <c:pt idx="15">
                  <c:v>16919.494862570296</c:v>
                </c:pt>
                <c:pt idx="16">
                  <c:v>28465.156045913322</c:v>
                </c:pt>
                <c:pt idx="17">
                  <c:v>27089.759092260432</c:v>
                </c:pt>
                <c:pt idx="18">
                  <c:v>22698.368270275609</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総合評価２!$C$10:$U$10</c:f>
              <c:numCache>
                <c:formatCode>#,##0;"△ "#,##0</c:formatCode>
                <c:ptCount val="19"/>
                <c:pt idx="0">
                  <c:v>66326.15158430615</c:v>
                </c:pt>
                <c:pt idx="1">
                  <c:v>69458.286199095033</c:v>
                </c:pt>
                <c:pt idx="2">
                  <c:v>75951.702272229886</c:v>
                </c:pt>
                <c:pt idx="3">
                  <c:v>61145.99009882535</c:v>
                </c:pt>
                <c:pt idx="4">
                  <c:v>65074.435578057411</c:v>
                </c:pt>
                <c:pt idx="5">
                  <c:v>75052.099689107825</c:v>
                </c:pt>
                <c:pt idx="6">
                  <c:v>94179.425218420787</c:v>
                </c:pt>
                <c:pt idx="7">
                  <c:v>61074.079171097386</c:v>
                </c:pt>
                <c:pt idx="8">
                  <c:v>69570.225216939696</c:v>
                </c:pt>
                <c:pt idx="9">
                  <c:v>68655.913553595616</c:v>
                </c:pt>
                <c:pt idx="10">
                  <c:v>87980.382631824541</c:v>
                </c:pt>
                <c:pt idx="11">
                  <c:v>64824.300071821504</c:v>
                </c:pt>
                <c:pt idx="12">
                  <c:v>66835.640029862348</c:v>
                </c:pt>
                <c:pt idx="13">
                  <c:v>63936.828179145297</c:v>
                </c:pt>
                <c:pt idx="14">
                  <c:v>93995.144840804976</c:v>
                </c:pt>
                <c:pt idx="15">
                  <c:v>96022.149261431317</c:v>
                </c:pt>
                <c:pt idx="16">
                  <c:v>92525.48802691474</c:v>
                </c:pt>
                <c:pt idx="17">
                  <c:v>102195.91264493114</c:v>
                </c:pt>
                <c:pt idx="18">
                  <c:v>96429.913810135302</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総合評価２!$C$9:$U$9</c:f>
              <c:numCache>
                <c:formatCode>#,##0;"△ "#,##0</c:formatCode>
                <c:ptCount val="19"/>
                <c:pt idx="0">
                  <c:v>45172.572193452106</c:v>
                </c:pt>
                <c:pt idx="1">
                  <c:v>43196.879713423827</c:v>
                </c:pt>
                <c:pt idx="2">
                  <c:v>55121.799473722247</c:v>
                </c:pt>
                <c:pt idx="3">
                  <c:v>45656.062841255429</c:v>
                </c:pt>
                <c:pt idx="4">
                  <c:v>47345.855129882679</c:v>
                </c:pt>
                <c:pt idx="5">
                  <c:v>53616.261115666479</c:v>
                </c:pt>
                <c:pt idx="6">
                  <c:v>81626.332594659005</c:v>
                </c:pt>
                <c:pt idx="7">
                  <c:v>45621.112614406549</c:v>
                </c:pt>
                <c:pt idx="8">
                  <c:v>50776.548558104711</c:v>
                </c:pt>
                <c:pt idx="9">
                  <c:v>46627.107363742136</c:v>
                </c:pt>
                <c:pt idx="10">
                  <c:v>74010.697159433854</c:v>
                </c:pt>
                <c:pt idx="11">
                  <c:v>55894.068055254873</c:v>
                </c:pt>
                <c:pt idx="12">
                  <c:v>51533.602816137929</c:v>
                </c:pt>
                <c:pt idx="13">
                  <c:v>47211.248006401001</c:v>
                </c:pt>
                <c:pt idx="14">
                  <c:v>61708.017941503545</c:v>
                </c:pt>
                <c:pt idx="15">
                  <c:v>65643.294687462738</c:v>
                </c:pt>
                <c:pt idx="16">
                  <c:v>67076.331189392469</c:v>
                </c:pt>
                <c:pt idx="17">
                  <c:v>71406.265731840263</c:v>
                </c:pt>
                <c:pt idx="18">
                  <c:v>69282.234663637224</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総合評価２!$C$8:$U$8</c:f>
              <c:numCache>
                <c:formatCode>#,##0;"△ "#,##0</c:formatCode>
                <c:ptCount val="19"/>
                <c:pt idx="0">
                  <c:v>98827.8100588081</c:v>
                </c:pt>
                <c:pt idx="1">
                  <c:v>86081.259426847653</c:v>
                </c:pt>
                <c:pt idx="2">
                  <c:v>105346.16377365688</c:v>
                </c:pt>
                <c:pt idx="3">
                  <c:v>88175.503787961206</c:v>
                </c:pt>
                <c:pt idx="4">
                  <c:v>84538.619575665682</c:v>
                </c:pt>
                <c:pt idx="5">
                  <c:v>86144.406123606008</c:v>
                </c:pt>
                <c:pt idx="6">
                  <c:v>109846.0713653298</c:v>
                </c:pt>
                <c:pt idx="7">
                  <c:v>77654.463529774788</c:v>
                </c:pt>
                <c:pt idx="8">
                  <c:v>107812.24474864321</c:v>
                </c:pt>
                <c:pt idx="9">
                  <c:v>81876.704437786335</c:v>
                </c:pt>
                <c:pt idx="10">
                  <c:v>79897.790660208659</c:v>
                </c:pt>
                <c:pt idx="11">
                  <c:v>70922.179824329432</c:v>
                </c:pt>
                <c:pt idx="12">
                  <c:v>75042.43010658359</c:v>
                </c:pt>
                <c:pt idx="13">
                  <c:v>83029.26337369984</c:v>
                </c:pt>
                <c:pt idx="14">
                  <c:v>122004.10549614202</c:v>
                </c:pt>
                <c:pt idx="15">
                  <c:v>100881.88189015558</c:v>
                </c:pt>
                <c:pt idx="16">
                  <c:v>95191.065505640217</c:v>
                </c:pt>
                <c:pt idx="17">
                  <c:v>102449.15479139828</c:v>
                </c:pt>
                <c:pt idx="18">
                  <c:v>108279.45213869408</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総合評価２!$C$7:$U$7</c:f>
              <c:numCache>
                <c:formatCode>#,##0;"△ "#,##0</c:formatCode>
                <c:ptCount val="19"/>
                <c:pt idx="0">
                  <c:v>39116.471517598504</c:v>
                </c:pt>
                <c:pt idx="1">
                  <c:v>21534.219457013573</c:v>
                </c:pt>
                <c:pt idx="2">
                  <c:v>29515.826034832848</c:v>
                </c:pt>
                <c:pt idx="3">
                  <c:v>25214.327334187616</c:v>
                </c:pt>
                <c:pt idx="4">
                  <c:v>27630.848008748017</c:v>
                </c:pt>
                <c:pt idx="5">
                  <c:v>24628.364525017852</c:v>
                </c:pt>
                <c:pt idx="6">
                  <c:v>34022.851033923071</c:v>
                </c:pt>
                <c:pt idx="7">
                  <c:v>18795.901490577373</c:v>
                </c:pt>
                <c:pt idx="8">
                  <c:v>27054.295217250641</c:v>
                </c:pt>
                <c:pt idx="9">
                  <c:v>18381.487366293888</c:v>
                </c:pt>
                <c:pt idx="10">
                  <c:v>22769.709491353879</c:v>
                </c:pt>
                <c:pt idx="11">
                  <c:v>25873.37313741121</c:v>
                </c:pt>
                <c:pt idx="12">
                  <c:v>31385.497313913034</c:v>
                </c:pt>
                <c:pt idx="13">
                  <c:v>20119.000409361441</c:v>
                </c:pt>
                <c:pt idx="14">
                  <c:v>32626.562448546607</c:v>
                </c:pt>
                <c:pt idx="15">
                  <c:v>28014.345676053144</c:v>
                </c:pt>
                <c:pt idx="16">
                  <c:v>21642.010093014051</c:v>
                </c:pt>
                <c:pt idx="17">
                  <c:v>33165.685462293128</c:v>
                </c:pt>
                <c:pt idx="18">
                  <c:v>37155.27669663143</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総合評価２!$C$6:$U$6</c:f>
              <c:numCache>
                <c:formatCode>#,##0;"△ "#,##0</c:formatCode>
                <c:ptCount val="19"/>
                <c:pt idx="0">
                  <c:v>213053.71368384099</c:v>
                </c:pt>
                <c:pt idx="1">
                  <c:v>198979.82654600302</c:v>
                </c:pt>
                <c:pt idx="2">
                  <c:v>196141.43366606167</c:v>
                </c:pt>
                <c:pt idx="3">
                  <c:v>163176.11309722561</c:v>
                </c:pt>
                <c:pt idx="4">
                  <c:v>214281.62685676879</c:v>
                </c:pt>
                <c:pt idx="5">
                  <c:v>225002.93231636853</c:v>
                </c:pt>
                <c:pt idx="6">
                  <c:v>251222.14623527505</c:v>
                </c:pt>
                <c:pt idx="7">
                  <c:v>170580.40478986868</c:v>
                </c:pt>
                <c:pt idx="8">
                  <c:v>222748.41786796128</c:v>
                </c:pt>
                <c:pt idx="9">
                  <c:v>171815.35445563128</c:v>
                </c:pt>
                <c:pt idx="10">
                  <c:v>183945.34757640489</c:v>
                </c:pt>
                <c:pt idx="11">
                  <c:v>168890.31018476142</c:v>
                </c:pt>
                <c:pt idx="12">
                  <c:v>183333.79077781388</c:v>
                </c:pt>
                <c:pt idx="13">
                  <c:v>199133.4827092184</c:v>
                </c:pt>
                <c:pt idx="14">
                  <c:v>265756.65654431866</c:v>
                </c:pt>
                <c:pt idx="15">
                  <c:v>189761.48527680495</c:v>
                </c:pt>
                <c:pt idx="16">
                  <c:v>204927.95418563229</c:v>
                </c:pt>
                <c:pt idx="17">
                  <c:v>216355.99871172331</c:v>
                </c:pt>
                <c:pt idx="18">
                  <c:v>215107.95287958113</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総合評価２!$C$24:$U$24</c:f>
              <c:numCache>
                <c:formatCode>#,##0;"△ "#,##0</c:formatCode>
                <c:ptCount val="19"/>
                <c:pt idx="0">
                  <c:v>122901.51847625722</c:v>
                </c:pt>
                <c:pt idx="1">
                  <c:v>108917.98642533936</c:v>
                </c:pt>
                <c:pt idx="2">
                  <c:v>167004.72729375542</c:v>
                </c:pt>
                <c:pt idx="3">
                  <c:v>142153.4028640553</c:v>
                </c:pt>
                <c:pt idx="4">
                  <c:v>148667.94159242188</c:v>
                </c:pt>
                <c:pt idx="5">
                  <c:v>213076.28680672991</c:v>
                </c:pt>
                <c:pt idx="6">
                  <c:v>280468.39666304528</c:v>
                </c:pt>
                <c:pt idx="7">
                  <c:v>171991.98549504831</c:v>
                </c:pt>
                <c:pt idx="8">
                  <c:v>165385.46117811723</c:v>
                </c:pt>
                <c:pt idx="9">
                  <c:v>155774.50960358296</c:v>
                </c:pt>
                <c:pt idx="10">
                  <c:v>155478.87062923046</c:v>
                </c:pt>
                <c:pt idx="11">
                  <c:v>132539.78461089314</c:v>
                </c:pt>
                <c:pt idx="12">
                  <c:v>186941.92752193441</c:v>
                </c:pt>
                <c:pt idx="13">
                  <c:v>160298.92454132548</c:v>
                </c:pt>
                <c:pt idx="14">
                  <c:v>219861.97061626028</c:v>
                </c:pt>
                <c:pt idx="15">
                  <c:v>239462.38467720561</c:v>
                </c:pt>
                <c:pt idx="16">
                  <c:v>284257.09716999799</c:v>
                </c:pt>
                <c:pt idx="17">
                  <c:v>291412.31146566244</c:v>
                </c:pt>
                <c:pt idx="18">
                  <c:v>283956.56090091873</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総合評価２!$C$23:$U$23</c:f>
              <c:numCache>
                <c:formatCode>#,##0;"△ "#,##0</c:formatCode>
                <c:ptCount val="19"/>
                <c:pt idx="0">
                  <c:v>26590.713596067799</c:v>
                </c:pt>
                <c:pt idx="1">
                  <c:v>39616.233031674208</c:v>
                </c:pt>
                <c:pt idx="2">
                  <c:v>30362.275402433534</c:v>
                </c:pt>
                <c:pt idx="3">
                  <c:v>19967.308854106235</c:v>
                </c:pt>
                <c:pt idx="4">
                  <c:v>18021.31845958166</c:v>
                </c:pt>
                <c:pt idx="5">
                  <c:v>19805.514193174007</c:v>
                </c:pt>
                <c:pt idx="6">
                  <c:v>24274.843458423707</c:v>
                </c:pt>
                <c:pt idx="7">
                  <c:v>18702.842942785013</c:v>
                </c:pt>
                <c:pt idx="8">
                  <c:v>20091.339066166263</c:v>
                </c:pt>
                <c:pt idx="9">
                  <c:v>16691.702685137348</c:v>
                </c:pt>
                <c:pt idx="10">
                  <c:v>22046.126815028907</c:v>
                </c:pt>
                <c:pt idx="11">
                  <c:v>20868.531040628241</c:v>
                </c:pt>
                <c:pt idx="12">
                  <c:v>30795.086696125953</c:v>
                </c:pt>
                <c:pt idx="13">
                  <c:v>26224.350212593137</c:v>
                </c:pt>
                <c:pt idx="14">
                  <c:v>27420.194699835196</c:v>
                </c:pt>
                <c:pt idx="15">
                  <c:v>19123.735568503595</c:v>
                </c:pt>
                <c:pt idx="16">
                  <c:v>23593.627152186818</c:v>
                </c:pt>
                <c:pt idx="17">
                  <c:v>18610.717768308394</c:v>
                </c:pt>
                <c:pt idx="18">
                  <c:v>18528.956534624125</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237673.22039849032</c:v>
                </c:pt>
                <c:pt idx="1">
                  <c:v>191442.59049773758</c:v>
                </c:pt>
                <c:pt idx="2">
                  <c:v>240921.84216501622</c:v>
                </c:pt>
                <c:pt idx="3">
                  <c:v>174653.23231868781</c:v>
                </c:pt>
                <c:pt idx="4">
                  <c:v>186586.78283720536</c:v>
                </c:pt>
                <c:pt idx="5">
                  <c:v>164617.66786837738</c:v>
                </c:pt>
                <c:pt idx="6">
                  <c:v>183363.71826150673</c:v>
                </c:pt>
                <c:pt idx="7">
                  <c:v>169436.43442235049</c:v>
                </c:pt>
                <c:pt idx="8">
                  <c:v>160566.92146556237</c:v>
                </c:pt>
                <c:pt idx="9">
                  <c:v>158669.49997830376</c:v>
                </c:pt>
                <c:pt idx="10">
                  <c:v>181462.40985522704</c:v>
                </c:pt>
                <c:pt idx="11">
                  <c:v>125686.5399580396</c:v>
                </c:pt>
                <c:pt idx="12">
                  <c:v>131148.8293277628</c:v>
                </c:pt>
                <c:pt idx="13">
                  <c:v>129934.74845257387</c:v>
                </c:pt>
                <c:pt idx="14">
                  <c:v>133480.03819511476</c:v>
                </c:pt>
                <c:pt idx="15">
                  <c:v>144975.18138402392</c:v>
                </c:pt>
                <c:pt idx="16">
                  <c:v>143862.29467642985</c:v>
                </c:pt>
                <c:pt idx="17">
                  <c:v>179776.34446536517</c:v>
                </c:pt>
                <c:pt idx="18">
                  <c:v>171710.49501136027</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総合評価２!$C$21:$U$21</c:f>
              <c:numCache>
                <c:formatCode>#,##0;"△ "#,##0</c:formatCode>
                <c:ptCount val="19"/>
                <c:pt idx="0">
                  <c:v>146079.17142104809</c:v>
                </c:pt>
                <c:pt idx="1">
                  <c:v>110986.33107088989</c:v>
                </c:pt>
                <c:pt idx="2">
                  <c:v>141566.27661886628</c:v>
                </c:pt>
                <c:pt idx="3">
                  <c:v>99071.048826027123</c:v>
                </c:pt>
                <c:pt idx="4">
                  <c:v>102357.14439107447</c:v>
                </c:pt>
                <c:pt idx="5">
                  <c:v>115927.95230202029</c:v>
                </c:pt>
                <c:pt idx="6">
                  <c:v>142219.05668943061</c:v>
                </c:pt>
                <c:pt idx="7">
                  <c:v>91575.83065837856</c:v>
                </c:pt>
                <c:pt idx="8">
                  <c:v>124571.09850813267</c:v>
                </c:pt>
                <c:pt idx="9">
                  <c:v>98650.248298616119</c:v>
                </c:pt>
                <c:pt idx="10">
                  <c:v>114136.20618275739</c:v>
                </c:pt>
                <c:pt idx="11">
                  <c:v>96859.686018411419</c:v>
                </c:pt>
                <c:pt idx="12">
                  <c:v>103428.62383961176</c:v>
                </c:pt>
                <c:pt idx="13">
                  <c:v>114179.25067401335</c:v>
                </c:pt>
                <c:pt idx="14">
                  <c:v>171174.57808904996</c:v>
                </c:pt>
                <c:pt idx="15">
                  <c:v>135136.90385549993</c:v>
                </c:pt>
                <c:pt idx="16">
                  <c:v>133725.15792598456</c:v>
                </c:pt>
                <c:pt idx="17">
                  <c:v>148080.50213061145</c:v>
                </c:pt>
                <c:pt idx="18">
                  <c:v>141983.89420132368</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総合評価２!$C$20:$U$20</c:f>
              <c:numCache>
                <c:formatCode>#,##0;"△ "#,##0</c:formatCode>
                <c:ptCount val="19"/>
                <c:pt idx="0">
                  <c:v>43680.768893180008</c:v>
                </c:pt>
                <c:pt idx="1">
                  <c:v>33923.076923076922</c:v>
                </c:pt>
                <c:pt idx="2">
                  <c:v>55095.395447485193</c:v>
                </c:pt>
                <c:pt idx="3">
                  <c:v>26370.823496429333</c:v>
                </c:pt>
                <c:pt idx="4">
                  <c:v>57335.741263369979</c:v>
                </c:pt>
                <c:pt idx="5">
                  <c:v>48754.343294154634</c:v>
                </c:pt>
                <c:pt idx="6">
                  <c:v>60522.59972434245</c:v>
                </c:pt>
                <c:pt idx="7">
                  <c:v>41253.875279109569</c:v>
                </c:pt>
                <c:pt idx="8">
                  <c:v>37944.591704967104</c:v>
                </c:pt>
                <c:pt idx="9">
                  <c:v>45566.336693041681</c:v>
                </c:pt>
                <c:pt idx="10">
                  <c:v>32987.394366750385</c:v>
                </c:pt>
                <c:pt idx="11">
                  <c:v>34478.169380593587</c:v>
                </c:pt>
                <c:pt idx="12">
                  <c:v>50009.570548254138</c:v>
                </c:pt>
                <c:pt idx="13">
                  <c:v>50813.654590173537</c:v>
                </c:pt>
                <c:pt idx="14">
                  <c:v>54192.353509436136</c:v>
                </c:pt>
                <c:pt idx="15">
                  <c:v>64104.044121994441</c:v>
                </c:pt>
                <c:pt idx="16">
                  <c:v>48609.073223827436</c:v>
                </c:pt>
                <c:pt idx="17">
                  <c:v>69009.954613021502</c:v>
                </c:pt>
                <c:pt idx="18">
                  <c:v>66859.622839079311</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総合評価２!$C$19:$U$19</c:f>
              <c:numCache>
                <c:formatCode>#,##0;"△ "#,##0</c:formatCode>
                <c:ptCount val="19"/>
                <c:pt idx="0">
                  <c:v>212701.92223295043</c:v>
                </c:pt>
                <c:pt idx="1">
                  <c:v>172708.99321266968</c:v>
                </c:pt>
                <c:pt idx="2">
                  <c:v>180764.69111082287</c:v>
                </c:pt>
                <c:pt idx="3">
                  <c:v>177509.55046551937</c:v>
                </c:pt>
                <c:pt idx="4">
                  <c:v>194645.19981920024</c:v>
                </c:pt>
                <c:pt idx="5">
                  <c:v>207110.95099632713</c:v>
                </c:pt>
                <c:pt idx="6">
                  <c:v>246288.16770348139</c:v>
                </c:pt>
                <c:pt idx="7">
                  <c:v>160665.83814417623</c:v>
                </c:pt>
                <c:pt idx="8">
                  <c:v>165908.14079267113</c:v>
                </c:pt>
                <c:pt idx="9">
                  <c:v>155250.67008297535</c:v>
                </c:pt>
                <c:pt idx="10">
                  <c:v>198726.97139235263</c:v>
                </c:pt>
                <c:pt idx="11">
                  <c:v>133728.99060467407</c:v>
                </c:pt>
                <c:pt idx="12">
                  <c:v>157330.72608190624</c:v>
                </c:pt>
                <c:pt idx="13">
                  <c:v>154509.40116165704</c:v>
                </c:pt>
                <c:pt idx="14">
                  <c:v>204161.80629429012</c:v>
                </c:pt>
                <c:pt idx="15">
                  <c:v>181211.35106227073</c:v>
                </c:pt>
                <c:pt idx="16">
                  <c:v>193860.95398773006</c:v>
                </c:pt>
                <c:pt idx="17">
                  <c:v>206271.86393816271</c:v>
                </c:pt>
                <c:pt idx="18">
                  <c:v>198383.99268991404</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総合評価２!$C$18:$U$18</c:f>
              <c:numCache>
                <c:formatCode>#,##0;"△ "#,##0</c:formatCode>
                <c:ptCount val="19"/>
                <c:pt idx="0">
                  <c:v>44965.505134731902</c:v>
                </c:pt>
                <c:pt idx="1">
                  <c:v>25335.312971342384</c:v>
                </c:pt>
                <c:pt idx="2">
                  <c:v>59441.483558610824</c:v>
                </c:pt>
                <c:pt idx="3">
                  <c:v>46935.863323197016</c:v>
                </c:pt>
                <c:pt idx="4">
                  <c:v>34696.770187812399</c:v>
                </c:pt>
                <c:pt idx="5">
                  <c:v>38495.83377616066</c:v>
                </c:pt>
                <c:pt idx="6">
                  <c:v>48672.877991005786</c:v>
                </c:pt>
                <c:pt idx="7">
                  <c:v>40495.052144724352</c:v>
                </c:pt>
                <c:pt idx="8">
                  <c:v>55867.424129803716</c:v>
                </c:pt>
                <c:pt idx="9">
                  <c:v>40716.627334719902</c:v>
                </c:pt>
                <c:pt idx="10">
                  <c:v>44509.089061989318</c:v>
                </c:pt>
                <c:pt idx="11">
                  <c:v>41820.01561064861</c:v>
                </c:pt>
                <c:pt idx="12">
                  <c:v>33752.349336853782</c:v>
                </c:pt>
                <c:pt idx="13">
                  <c:v>36866.133199523079</c:v>
                </c:pt>
                <c:pt idx="14">
                  <c:v>49686.872269260755</c:v>
                </c:pt>
                <c:pt idx="15">
                  <c:v>52916.485304682072</c:v>
                </c:pt>
                <c:pt idx="16">
                  <c:v>55028.615673857108</c:v>
                </c:pt>
                <c:pt idx="17">
                  <c:v>49974.132593400056</c:v>
                </c:pt>
                <c:pt idx="18">
                  <c:v>59883.053343870393</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総合評価２!$C$17:$U$17</c:f>
              <c:numCache>
                <c:formatCode>#,##0;"△ "#,##0</c:formatCode>
                <c:ptCount val="19"/>
                <c:pt idx="0">
                  <c:v>147896.8664969714</c:v>
                </c:pt>
                <c:pt idx="1">
                  <c:v>133981.42911010559</c:v>
                </c:pt>
                <c:pt idx="2">
                  <c:v>148149.08624499876</c:v>
                </c:pt>
                <c:pt idx="3">
                  <c:v>108889.22147997613</c:v>
                </c:pt>
                <c:pt idx="4">
                  <c:v>104670.113327856</c:v>
                </c:pt>
                <c:pt idx="5">
                  <c:v>112071.6742991397</c:v>
                </c:pt>
                <c:pt idx="6">
                  <c:v>158003.64260140643</c:v>
                </c:pt>
                <c:pt idx="7">
                  <c:v>127374.52063109033</c:v>
                </c:pt>
                <c:pt idx="8">
                  <c:v>125345.16780067827</c:v>
                </c:pt>
                <c:pt idx="9">
                  <c:v>110499.02101496892</c:v>
                </c:pt>
                <c:pt idx="10">
                  <c:v>132751.3226925616</c:v>
                </c:pt>
                <c:pt idx="11">
                  <c:v>111899.68737783603</c:v>
                </c:pt>
                <c:pt idx="12">
                  <c:v>128834.33472511556</c:v>
                </c:pt>
                <c:pt idx="13">
                  <c:v>117801.47079168417</c:v>
                </c:pt>
                <c:pt idx="14">
                  <c:v>147557.08671680826</c:v>
                </c:pt>
                <c:pt idx="15">
                  <c:v>137009.07501286315</c:v>
                </c:pt>
                <c:pt idx="16">
                  <c:v>157337.04838709685</c:v>
                </c:pt>
                <c:pt idx="17">
                  <c:v>140519.62352591412</c:v>
                </c:pt>
                <c:pt idx="18">
                  <c:v>156041.06509927887</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総合評価２!$C$16:$U$16</c:f>
              <c:numCache>
                <c:formatCode>#,##0;"△ "#,##0</c:formatCode>
                <c:ptCount val="19"/>
                <c:pt idx="0">
                  <c:v>83999.648907223687</c:v>
                </c:pt>
                <c:pt idx="1">
                  <c:v>85014.328808446444</c:v>
                </c:pt>
                <c:pt idx="2">
                  <c:v>136404.46511815389</c:v>
                </c:pt>
                <c:pt idx="3">
                  <c:v>78901.552349765334</c:v>
                </c:pt>
                <c:pt idx="4">
                  <c:v>64285.36268204471</c:v>
                </c:pt>
                <c:pt idx="5">
                  <c:v>106994.61880451931</c:v>
                </c:pt>
                <c:pt idx="6">
                  <c:v>119458.85010413289</c:v>
                </c:pt>
                <c:pt idx="7">
                  <c:v>83091.756217888309</c:v>
                </c:pt>
                <c:pt idx="8">
                  <c:v>85549.495789858323</c:v>
                </c:pt>
                <c:pt idx="9">
                  <c:v>77753.305439934193</c:v>
                </c:pt>
                <c:pt idx="10">
                  <c:v>64148.835968589512</c:v>
                </c:pt>
                <c:pt idx="11">
                  <c:v>54027.678654219941</c:v>
                </c:pt>
                <c:pt idx="12">
                  <c:v>82387.486693305109</c:v>
                </c:pt>
                <c:pt idx="13">
                  <c:v>70646.614137468074</c:v>
                </c:pt>
                <c:pt idx="14">
                  <c:v>96338.662810464913</c:v>
                </c:pt>
                <c:pt idx="15">
                  <c:v>103457.24998342266</c:v>
                </c:pt>
                <c:pt idx="16">
                  <c:v>130602.4858499901</c:v>
                </c:pt>
                <c:pt idx="17">
                  <c:v>172104.30115944901</c:v>
                </c:pt>
                <c:pt idx="18">
                  <c:v>135012.17277486913</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237673.22039849032</c:v>
                </c:pt>
                <c:pt idx="1">
                  <c:v>191442.59049773758</c:v>
                </c:pt>
                <c:pt idx="2">
                  <c:v>240921.84216501622</c:v>
                </c:pt>
                <c:pt idx="3">
                  <c:v>174653.23231868781</c:v>
                </c:pt>
                <c:pt idx="4">
                  <c:v>186586.78283720536</c:v>
                </c:pt>
                <c:pt idx="5">
                  <c:v>164617.66786837738</c:v>
                </c:pt>
                <c:pt idx="6">
                  <c:v>183363.71826150673</c:v>
                </c:pt>
                <c:pt idx="7">
                  <c:v>169436.43442235049</c:v>
                </c:pt>
                <c:pt idx="8">
                  <c:v>160566.92146556237</c:v>
                </c:pt>
                <c:pt idx="9">
                  <c:v>158669.49997830376</c:v>
                </c:pt>
                <c:pt idx="10">
                  <c:v>181462.40985522704</c:v>
                </c:pt>
                <c:pt idx="11">
                  <c:v>125686.5399580396</c:v>
                </c:pt>
                <c:pt idx="12">
                  <c:v>131148.8293277628</c:v>
                </c:pt>
                <c:pt idx="13">
                  <c:v>129934.74845257387</c:v>
                </c:pt>
                <c:pt idx="14">
                  <c:v>133480.03819511476</c:v>
                </c:pt>
                <c:pt idx="15">
                  <c:v>144975.18138402392</c:v>
                </c:pt>
                <c:pt idx="16">
                  <c:v>143862.29467642985</c:v>
                </c:pt>
                <c:pt idx="17">
                  <c:v>179776.34446536517</c:v>
                </c:pt>
                <c:pt idx="18">
                  <c:v>171710.49501136027</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総合評価２!$C$30:$U$30</c:f>
              <c:numCache>
                <c:formatCode>#,##0.0;"△ "#,##0.0</c:formatCode>
                <c:ptCount val="19"/>
                <c:pt idx="0">
                  <c:v>44.571135015358244</c:v>
                </c:pt>
                <c:pt idx="1">
                  <c:v>42.451937438242311</c:v>
                </c:pt>
                <c:pt idx="2">
                  <c:v>41.548627103623204</c:v>
                </c:pt>
                <c:pt idx="3">
                  <c:v>40.07232735919866</c:v>
                </c:pt>
                <c:pt idx="4">
                  <c:v>40.951095759937829</c:v>
                </c:pt>
                <c:pt idx="5">
                  <c:v>32.062500186131317</c:v>
                </c:pt>
                <c:pt idx="6">
                  <c:v>28.969877090154107</c:v>
                </c:pt>
                <c:pt idx="7">
                  <c:v>37.413011045479436</c:v>
                </c:pt>
                <c:pt idx="8">
                  <c:v>34.118543353817735</c:v>
                </c:pt>
                <c:pt idx="9">
                  <c:v>36.918260375345746</c:v>
                </c:pt>
                <c:pt idx="10">
                  <c:v>38.354122407808603</c:v>
                </c:pt>
                <c:pt idx="11">
                  <c:v>33.431313108703748</c:v>
                </c:pt>
                <c:pt idx="12">
                  <c:v>28.995055162806842</c:v>
                </c:pt>
                <c:pt idx="13">
                  <c:v>30.172666495336486</c:v>
                </c:pt>
                <c:pt idx="14">
                  <c:v>24.183936031244162</c:v>
                </c:pt>
                <c:pt idx="15">
                  <c:v>26.912133715655745</c:v>
                </c:pt>
                <c:pt idx="16">
                  <c:v>24.573439232789003</c:v>
                </c:pt>
                <c:pt idx="17">
                  <c:v>28.183416859084577</c:v>
                </c:pt>
                <c:pt idx="18">
                  <c:v>27.866941644591581</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22</xdr:col>
      <xdr:colOff>22860</xdr:colOff>
      <xdr:row>20</xdr:row>
      <xdr:rowOff>22860</xdr:rowOff>
    </xdr:from>
    <xdr:to>
      <xdr:col>29</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15240</xdr:colOff>
      <xdr:row>2</xdr:row>
      <xdr:rowOff>22860</xdr:rowOff>
    </xdr:from>
    <xdr:to>
      <xdr:col>37</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22860</xdr:colOff>
      <xdr:row>20</xdr:row>
      <xdr:rowOff>22860</xdr:rowOff>
    </xdr:from>
    <xdr:to>
      <xdr:col>37</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15240</xdr:colOff>
      <xdr:row>2</xdr:row>
      <xdr:rowOff>22860</xdr:rowOff>
    </xdr:from>
    <xdr:to>
      <xdr:col>29</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22860</xdr:colOff>
      <xdr:row>38</xdr:row>
      <xdr:rowOff>22860</xdr:rowOff>
    </xdr:from>
    <xdr:to>
      <xdr:col>29</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15240</xdr:colOff>
      <xdr:row>38</xdr:row>
      <xdr:rowOff>22860</xdr:rowOff>
    </xdr:from>
    <xdr:to>
      <xdr:col>37</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8</xdr:col>
      <xdr:colOff>609600</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68580</xdr:colOff>
      <xdr:row>22</xdr:row>
      <xdr:rowOff>60960</xdr:rowOff>
    </xdr:from>
    <xdr:to>
      <xdr:col>20</xdr:col>
      <xdr:colOff>548640</xdr:colOff>
      <xdr:row>42</xdr:row>
      <xdr:rowOff>60960</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43</xdr:row>
      <xdr:rowOff>53340</xdr:rowOff>
    </xdr:from>
    <xdr:to>
      <xdr:col>8</xdr:col>
      <xdr:colOff>609600</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43</xdr:row>
      <xdr:rowOff>60960</xdr:rowOff>
    </xdr:from>
    <xdr:to>
      <xdr:col>20</xdr:col>
      <xdr:colOff>495300</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8</xdr:col>
      <xdr:colOff>632460</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83820</xdr:colOff>
      <xdr:row>64</xdr:row>
      <xdr:rowOff>60960</xdr:rowOff>
    </xdr:from>
    <xdr:to>
      <xdr:col>20</xdr:col>
      <xdr:colOff>487680</xdr:colOff>
      <xdr:row>84</xdr:row>
      <xdr:rowOff>60960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28</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7"/>
  <sheetViews>
    <sheetView zoomScale="98" zoomScaleNormal="98" workbookViewId="0"/>
  </sheetViews>
  <sheetFormatPr defaultColWidth="9" defaultRowHeight="12" x14ac:dyDescent="0.2"/>
  <cols>
    <col min="1" max="1" width="24.6640625" style="76" customWidth="1"/>
    <col min="2" max="2" width="6.88671875" style="77" customWidth="1"/>
    <col min="3" max="21" width="9" style="76"/>
    <col min="22" max="22" width="1.21875" style="31" customWidth="1"/>
    <col min="23" max="38" width="10" style="31" customWidth="1"/>
    <col min="39" max="16384" width="9" style="31"/>
  </cols>
  <sheetData>
    <row r="1" spans="1:38" ht="14.4" x14ac:dyDescent="0.2">
      <c r="A1" s="75" t="s">
        <v>308</v>
      </c>
    </row>
    <row r="2" spans="1:38" ht="14.4" x14ac:dyDescent="0.2">
      <c r="A2" s="153" t="str">
        <f>BS!A2</f>
        <v>２１　窯業・土石製品製造業</v>
      </c>
    </row>
    <row r="3" spans="1:38"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580</v>
      </c>
      <c r="W3" s="268"/>
      <c r="X3" s="269"/>
      <c r="Y3" s="269"/>
      <c r="Z3" s="269"/>
      <c r="AA3" s="269"/>
      <c r="AB3" s="269"/>
      <c r="AC3" s="269"/>
      <c r="AD3" s="270"/>
      <c r="AE3" s="268"/>
      <c r="AF3" s="269"/>
      <c r="AG3" s="269"/>
      <c r="AH3" s="269"/>
      <c r="AI3" s="269"/>
      <c r="AJ3" s="269"/>
      <c r="AK3" s="269"/>
      <c r="AL3" s="270"/>
    </row>
    <row r="4" spans="1:38" x14ac:dyDescent="0.2">
      <c r="A4" s="191" t="s">
        <v>322</v>
      </c>
      <c r="B4" s="189"/>
      <c r="C4" s="190"/>
      <c r="D4" s="190"/>
      <c r="E4" s="190"/>
      <c r="F4" s="190"/>
      <c r="G4" s="190"/>
      <c r="H4" s="190"/>
      <c r="I4" s="190"/>
      <c r="J4" s="190"/>
      <c r="K4" s="190"/>
      <c r="L4" s="190"/>
      <c r="M4" s="190"/>
      <c r="N4" s="190"/>
      <c r="O4" s="190"/>
      <c r="P4" s="190"/>
      <c r="Q4" s="190"/>
      <c r="R4" s="190"/>
      <c r="S4" s="190"/>
      <c r="T4" s="190"/>
      <c r="U4" s="192"/>
      <c r="W4" s="271"/>
      <c r="X4" s="272"/>
      <c r="Y4" s="272"/>
      <c r="Z4" s="272"/>
      <c r="AA4" s="272"/>
      <c r="AB4" s="272"/>
      <c r="AC4" s="272"/>
      <c r="AD4" s="273"/>
      <c r="AE4" s="271"/>
      <c r="AF4" s="272"/>
      <c r="AG4" s="272"/>
      <c r="AH4" s="272"/>
      <c r="AI4" s="272"/>
      <c r="AJ4" s="272"/>
      <c r="AK4" s="272"/>
      <c r="AL4" s="273"/>
    </row>
    <row r="5" spans="1:38" x14ac:dyDescent="0.2">
      <c r="A5" s="80" t="s">
        <v>310</v>
      </c>
      <c r="B5" s="81" t="s">
        <v>254</v>
      </c>
      <c r="C5" s="82">
        <f>+PL!K6</f>
        <v>476566.84718686901</v>
      </c>
      <c r="D5" s="82">
        <f>+PL!L6</f>
        <v>431883.95550527907</v>
      </c>
      <c r="E5" s="82">
        <f>+PL!M6</f>
        <v>470276.95833658014</v>
      </c>
      <c r="F5" s="82">
        <f>+PL!N6</f>
        <v>382317.10699519957</v>
      </c>
      <c r="G5" s="82">
        <f>+PL!O6</f>
        <v>444717.01417659037</v>
      </c>
      <c r="H5" s="82">
        <f>+PL!P6</f>
        <v>466028.2715769179</v>
      </c>
      <c r="I5" s="82">
        <f>+PL!Q6</f>
        <v>571062.94556079933</v>
      </c>
      <c r="J5" s="82">
        <f>+PL!R6</f>
        <v>380712.29461116524</v>
      </c>
      <c r="K5" s="82">
        <f>+PL!S6</f>
        <v>481641.09597770061</v>
      </c>
      <c r="L5" s="82">
        <f>+PL!T6</f>
        <v>399147.49110443954</v>
      </c>
      <c r="M5" s="82">
        <f>+PL!U6</f>
        <v>466318.69523454586</v>
      </c>
      <c r="N5" s="82">
        <f>+PL!V6</f>
        <v>401930.379131675</v>
      </c>
      <c r="O5" s="82">
        <f>+PL!W6</f>
        <v>420952.65570839075</v>
      </c>
      <c r="P5" s="82">
        <f>+PL!X6</f>
        <v>433716.8601081805</v>
      </c>
      <c r="Q5" s="82">
        <f>+PL!Y6</f>
        <v>610593.27578583988</v>
      </c>
      <c r="R5" s="82">
        <f>+PL!Z6</f>
        <v>497242.65165447723</v>
      </c>
      <c r="S5" s="82">
        <f>+PL!AA6</f>
        <v>509828.00504650705</v>
      </c>
      <c r="T5" s="82">
        <f>+PL!AB6</f>
        <v>552662.77653354476</v>
      </c>
      <c r="U5" s="82">
        <f>+PL!AC6</f>
        <v>548953.19845895481</v>
      </c>
      <c r="W5" s="271"/>
      <c r="X5" s="272"/>
      <c r="Y5" s="272"/>
      <c r="Z5" s="272"/>
      <c r="AA5" s="272"/>
      <c r="AB5" s="272"/>
      <c r="AC5" s="272"/>
      <c r="AD5" s="273"/>
      <c r="AE5" s="271"/>
      <c r="AF5" s="272"/>
      <c r="AG5" s="272"/>
      <c r="AH5" s="272"/>
      <c r="AI5" s="272"/>
      <c r="AJ5" s="272"/>
      <c r="AK5" s="272"/>
      <c r="AL5" s="273"/>
    </row>
    <row r="6" spans="1:38" x14ac:dyDescent="0.2">
      <c r="A6" s="83" t="s">
        <v>345</v>
      </c>
      <c r="B6" s="84" t="s">
        <v>254</v>
      </c>
      <c r="C6" s="85">
        <f>PL!K9+PL!K10+PL!K12</f>
        <v>252170.18520143948</v>
      </c>
      <c r="D6" s="85">
        <f>PL!L9+PL!L10+PL!L12</f>
        <v>220514.04600301659</v>
      </c>
      <c r="E6" s="85">
        <f>PL!M9+PL!M10+PL!M12</f>
        <v>225657.25970089453</v>
      </c>
      <c r="F6" s="85">
        <f>PL!N9+PL!N10+PL!N12</f>
        <v>188390.44043141321</v>
      </c>
      <c r="G6" s="85">
        <f>PL!O9+PL!O10+PL!O12</f>
        <v>241912.47486551682</v>
      </c>
      <c r="H6" s="85">
        <f>PL!P9+PL!P10+PL!P12</f>
        <v>249631.29684138639</v>
      </c>
      <c r="I6" s="85">
        <f>PL!Q9+PL!Q10+PL!Q12</f>
        <v>285244.99726919812</v>
      </c>
      <c r="J6" s="85">
        <f>PL!R9+PL!R10+PL!R12</f>
        <v>189376.30628044606</v>
      </c>
      <c r="K6" s="85">
        <f>PL!S9+PL!S10+PL!S12</f>
        <v>249802.71308521193</v>
      </c>
      <c r="L6" s="85">
        <f>PL!T9+PL!T10+PL!T12</f>
        <v>190196.84182192516</v>
      </c>
      <c r="M6" s="85">
        <f>PL!U9+PL!U10+PL!U12</f>
        <v>206715.05706775878</v>
      </c>
      <c r="N6" s="85">
        <f>PL!V9+PL!V10+PL!V12</f>
        <v>194763.68332217261</v>
      </c>
      <c r="O6" s="85">
        <f>PL!W9+PL!W10+PL!W12</f>
        <v>214719.28809172692</v>
      </c>
      <c r="P6" s="85">
        <f>PL!X9+PL!X10+PL!X12</f>
        <v>219252.48311857984</v>
      </c>
      <c r="Q6" s="85">
        <f>PL!Y9+PL!Y10+PL!Y12</f>
        <v>298383.21899286524</v>
      </c>
      <c r="R6" s="85">
        <f>PL!Z9+PL!Z10+PL!Z12</f>
        <v>217775.83095285809</v>
      </c>
      <c r="S6" s="85">
        <f>PL!AA9+PL!AA10+PL!AA12</f>
        <v>226569.96427864634</v>
      </c>
      <c r="T6" s="85">
        <f>PL!AB9+PL!AB10+PL!AB12</f>
        <v>249521.68417401644</v>
      </c>
      <c r="U6" s="85">
        <f>PL!AC9+PL!AC10+PL!AC12</f>
        <v>252263.22957621256</v>
      </c>
      <c r="W6" s="271"/>
      <c r="X6" s="272"/>
      <c r="Y6" s="272"/>
      <c r="Z6" s="272"/>
      <c r="AA6" s="272"/>
      <c r="AB6" s="272"/>
      <c r="AC6" s="272"/>
      <c r="AD6" s="273"/>
      <c r="AE6" s="271"/>
      <c r="AF6" s="272"/>
      <c r="AG6" s="272"/>
      <c r="AH6" s="272"/>
      <c r="AI6" s="272"/>
      <c r="AJ6" s="272"/>
      <c r="AK6" s="272"/>
      <c r="AL6" s="273"/>
    </row>
    <row r="7" spans="1:38" x14ac:dyDescent="0.2">
      <c r="A7" s="83" t="s">
        <v>346</v>
      </c>
      <c r="B7" s="84" t="s">
        <v>254</v>
      </c>
      <c r="C7" s="85">
        <f>+PL!K11+PL!K17</f>
        <v>98827.8100588081</v>
      </c>
      <c r="D7" s="85">
        <f>+PL!L11+PL!L17</f>
        <v>86045.908748114627</v>
      </c>
      <c r="E7" s="85">
        <f>+PL!M11+PL!M17</f>
        <v>105095.88461686388</v>
      </c>
      <c r="F7" s="85">
        <f>+PL!N11+PL!N17</f>
        <v>88136.766027137812</v>
      </c>
      <c r="G7" s="85">
        <f>+PL!O11+PL!O17</f>
        <v>84461.43885453805</v>
      </c>
      <c r="H7" s="85">
        <f>+PL!P11+PL!P17</f>
        <v>86004.198379392852</v>
      </c>
      <c r="I7" s="85">
        <f>+PL!Q11+PL!Q17</f>
        <v>109762.63677126115</v>
      </c>
      <c r="J7" s="85">
        <f>+PL!R11+PL!R17</f>
        <v>77601.012323214731</v>
      </c>
      <c r="K7" s="85">
        <f>+PL!S11+PL!S17</f>
        <v>107757.08418716153</v>
      </c>
      <c r="L7" s="85">
        <f>+PL!T11+PL!T17</f>
        <v>81806.370102321293</v>
      </c>
      <c r="M7" s="85">
        <f>+PL!U11+PL!U17</f>
        <v>79837.69510477838</v>
      </c>
      <c r="N7" s="85">
        <f>+PL!V11+PL!V17</f>
        <v>70884.748282170316</v>
      </c>
      <c r="O7" s="85">
        <f>+PL!W11+PL!W17</f>
        <v>74939.439633215123</v>
      </c>
      <c r="P7" s="85">
        <f>+PL!X11+PL!X17</f>
        <v>82857.301697266725</v>
      </c>
      <c r="Q7" s="85">
        <f>+PL!Y11+PL!Y17</f>
        <v>121691.03006331081</v>
      </c>
      <c r="R7" s="85">
        <f>+PL!Z11+PL!Z17</f>
        <v>100799.08419225721</v>
      </c>
      <c r="S7" s="85">
        <f>+PL!AA11+PL!AA17</f>
        <v>95016.21531763309</v>
      </c>
      <c r="T7" s="85">
        <f>+PL!AB11+PL!AB17</f>
        <v>102331.01189178476</v>
      </c>
      <c r="U7" s="85">
        <f>+PL!AC11+PL!AC17</f>
        <v>108164.06539563372</v>
      </c>
      <c r="W7" s="271"/>
      <c r="X7" s="272"/>
      <c r="Y7" s="272"/>
      <c r="Z7" s="272"/>
      <c r="AA7" s="272"/>
      <c r="AB7" s="272"/>
      <c r="AC7" s="272"/>
      <c r="AD7" s="273"/>
      <c r="AE7" s="271"/>
      <c r="AF7" s="272"/>
      <c r="AG7" s="272"/>
      <c r="AH7" s="272"/>
      <c r="AI7" s="272"/>
      <c r="AJ7" s="272"/>
      <c r="AK7" s="272"/>
      <c r="AL7" s="273"/>
    </row>
    <row r="8" spans="1:38" x14ac:dyDescent="0.2">
      <c r="A8" s="83" t="s">
        <v>347</v>
      </c>
      <c r="B8" s="84" t="s">
        <v>254</v>
      </c>
      <c r="C8" s="85">
        <f>+PL!K13+PL!K14</f>
        <v>54847.567804792401</v>
      </c>
      <c r="D8" s="85">
        <f>+PL!L13+PL!L14</f>
        <v>58791.855203619911</v>
      </c>
      <c r="E8" s="85">
        <f>+PL!M13+PL!M14</f>
        <v>69121.627099094723</v>
      </c>
      <c r="F8" s="85">
        <f>+PL!N13+PL!N14</f>
        <v>62896.222487337633</v>
      </c>
      <c r="G8" s="85">
        <f>+PL!O13+PL!O14</f>
        <v>66054.671608089659</v>
      </c>
      <c r="H8" s="85">
        <f>+PL!P13+PL!P14</f>
        <v>75452.846948517952</v>
      </c>
      <c r="I8" s="85">
        <f>+PL!Q13+PL!Q14</f>
        <v>116186.8783061342</v>
      </c>
      <c r="J8" s="85">
        <f>+PL!R13+PL!R14</f>
        <v>65704.769235610773</v>
      </c>
      <c r="K8" s="85">
        <f>+PL!S13+PL!S14</f>
        <v>70099.72485216432</v>
      </c>
      <c r="L8" s="85">
        <f>+PL!T13+PL!T14</f>
        <v>67675.778245622743</v>
      </c>
      <c r="M8" s="85">
        <f>+PL!U13+PL!U14</f>
        <v>114139.83107209363</v>
      </c>
      <c r="N8" s="85">
        <f>+PL!V13+PL!V14</f>
        <v>86535.170244490844</v>
      </c>
      <c r="O8" s="85">
        <f>+PL!W13+PL!W14</f>
        <v>73667.3139261529</v>
      </c>
      <c r="P8" s="85">
        <f>+PL!X13+PL!X14</f>
        <v>64066.313040365712</v>
      </c>
      <c r="Q8" s="85">
        <f>+PL!Y13+PL!Y14</f>
        <v>82258.000358836667</v>
      </c>
      <c r="R8" s="85">
        <f>+PL!Z13+PL!Z14</f>
        <v>100630.7237202351</v>
      </c>
      <c r="S8" s="85">
        <f>+PL!AA13+PL!AA14</f>
        <v>100412.88482089853</v>
      </c>
      <c r="T8" s="85">
        <f>+PL!AB13+PL!AB14</f>
        <v>104548.76097512637</v>
      </c>
      <c r="U8" s="85">
        <f>+PL!AC13+PL!AC14</f>
        <v>106500.27304158839</v>
      </c>
      <c r="W8" s="271"/>
      <c r="X8" s="272"/>
      <c r="Y8" s="272"/>
      <c r="Z8" s="272"/>
      <c r="AA8" s="272"/>
      <c r="AB8" s="272"/>
      <c r="AC8" s="272"/>
      <c r="AD8" s="273"/>
      <c r="AE8" s="271"/>
      <c r="AF8" s="272"/>
      <c r="AG8" s="272"/>
      <c r="AH8" s="272"/>
      <c r="AI8" s="272"/>
      <c r="AJ8" s="272"/>
      <c r="AK8" s="272"/>
      <c r="AL8" s="273"/>
    </row>
    <row r="9" spans="1:38" x14ac:dyDescent="0.2">
      <c r="A9" s="83" t="s">
        <v>348</v>
      </c>
      <c r="B9" s="84" t="s">
        <v>254</v>
      </c>
      <c r="C9" s="85">
        <f>+PL!K16-PL!K17</f>
        <v>56651.155972965797</v>
      </c>
      <c r="D9" s="85">
        <f>+PL!L16-PL!L17</f>
        <v>53898.755656108588</v>
      </c>
      <c r="E9" s="85">
        <f>+PL!M16-PL!M17</f>
        <v>62202.153803650064</v>
      </c>
      <c r="F9" s="85">
        <f>+PL!N16-PL!N17</f>
        <v>43944.568213566621</v>
      </c>
      <c r="G9" s="85">
        <f>+PL!O16-PL!O17</f>
        <v>46442.799820978114</v>
      </c>
      <c r="H9" s="85">
        <f>+PL!P16-PL!P17</f>
        <v>53355.721600469464</v>
      </c>
      <c r="I9" s="85">
        <f>+PL!Q16-PL!Q17</f>
        <v>59702.314101014228</v>
      </c>
      <c r="J9" s="85">
        <f>+PL!R16-PL!R17</f>
        <v>41043.87375645322</v>
      </c>
      <c r="K9" s="85">
        <f>+PL!S16-PL!S17</f>
        <v>50302.209484361745</v>
      </c>
      <c r="L9" s="85">
        <f>+PL!T16-PL!T17</f>
        <v>47677.577007180065</v>
      </c>
      <c r="M9" s="85">
        <f>+PL!U16-PL!U17</f>
        <v>47911.344274595016</v>
      </c>
      <c r="N9" s="85">
        <f>+PL!V16-PL!V17</f>
        <v>34220.62942474462</v>
      </c>
      <c r="O9" s="85">
        <f>+PL!W16-PL!W17</f>
        <v>44804.919393215823</v>
      </c>
      <c r="P9" s="85">
        <f>+PL!X16-PL!X17</f>
        <v>47253.724821613723</v>
      </c>
      <c r="Q9" s="85">
        <f>+PL!Y16-PL!Y17</f>
        <v>73758.237856303022</v>
      </c>
      <c r="R9" s="85">
        <f>+PL!Z16-PL!Z17</f>
        <v>61117.517926557317</v>
      </c>
      <c r="S9" s="85">
        <f>+PL!AA16-PL!AA17</f>
        <v>59363.784583415792</v>
      </c>
      <c r="T9" s="85">
        <f>+PL!AB16-PL!AB17</f>
        <v>69171.560301258534</v>
      </c>
      <c r="U9" s="85">
        <f>+PL!AC16-PL!AC17</f>
        <v>59327.262175244505</v>
      </c>
      <c r="W9" s="271"/>
      <c r="X9" s="272"/>
      <c r="Y9" s="272"/>
      <c r="Z9" s="272"/>
      <c r="AA9" s="272"/>
      <c r="AB9" s="272"/>
      <c r="AC9" s="272"/>
      <c r="AD9" s="273"/>
      <c r="AE9" s="271"/>
      <c r="AF9" s="272"/>
      <c r="AG9" s="272"/>
      <c r="AH9" s="272"/>
      <c r="AI9" s="272"/>
      <c r="AJ9" s="272"/>
      <c r="AK9" s="272"/>
      <c r="AL9" s="273"/>
    </row>
    <row r="10" spans="1:38" x14ac:dyDescent="0.2">
      <c r="A10" s="83" t="s">
        <v>69</v>
      </c>
      <c r="B10" s="84" t="s">
        <v>254</v>
      </c>
      <c r="C10" s="85">
        <f>+PL!K42</f>
        <v>14070.128148863034</v>
      </c>
      <c r="D10" s="85">
        <f>+PL!L42</f>
        <v>12633.295625942701</v>
      </c>
      <c r="E10" s="85">
        <f>+PL!M42</f>
        <v>8200.0331160771311</v>
      </c>
      <c r="F10" s="85">
        <f>+PL!N42</f>
        <v>-1050.8901642554556</v>
      </c>
      <c r="G10" s="85">
        <f>+PL!O42</f>
        <v>5845.6290274688508</v>
      </c>
      <c r="H10" s="85">
        <f>+PL!P42</f>
        <v>1584.2078071520082</v>
      </c>
      <c r="I10" s="85">
        <f>+PL!Q42</f>
        <v>166.11911319139099</v>
      </c>
      <c r="J10" s="85">
        <f>+PL!R42</f>
        <v>6986.3330154404603</v>
      </c>
      <c r="K10" s="85">
        <f>+PL!S42</f>
        <v>3679.3643688011598</v>
      </c>
      <c r="L10" s="85">
        <f>+PL!T42</f>
        <v>11790.923927390375</v>
      </c>
      <c r="M10" s="85">
        <f>+PL!U42</f>
        <v>17714.767715319871</v>
      </c>
      <c r="N10" s="85">
        <f>+PL!V42</f>
        <v>15526.147858096676</v>
      </c>
      <c r="O10" s="85">
        <f>+PL!W42</f>
        <v>12821.694664080098</v>
      </c>
      <c r="P10" s="85">
        <f>+PL!X42</f>
        <v>20287.037430354289</v>
      </c>
      <c r="Q10" s="85">
        <f>+PL!Y42</f>
        <v>34502.788514524043</v>
      </c>
      <c r="R10" s="85">
        <f>+PL!Z42</f>
        <v>16919.494862570296</v>
      </c>
      <c r="S10" s="85">
        <f>+PL!AA42</f>
        <v>28465.156045913322</v>
      </c>
      <c r="T10" s="85">
        <f>+PL!AB42</f>
        <v>27089.759092260432</v>
      </c>
      <c r="U10" s="85">
        <f>+PL!AC42</f>
        <v>22698.368270275609</v>
      </c>
      <c r="W10" s="271"/>
      <c r="X10" s="272"/>
      <c r="Y10" s="272"/>
      <c r="Z10" s="272"/>
      <c r="AA10" s="272"/>
      <c r="AB10" s="272"/>
      <c r="AC10" s="272"/>
      <c r="AD10" s="273"/>
      <c r="AE10" s="271"/>
      <c r="AF10" s="272"/>
      <c r="AG10" s="272"/>
      <c r="AH10" s="272"/>
      <c r="AI10" s="272"/>
      <c r="AJ10" s="272"/>
      <c r="AK10" s="272"/>
      <c r="AL10" s="273"/>
    </row>
    <row r="11" spans="1:38" x14ac:dyDescent="0.2">
      <c r="A11" s="86" t="s">
        <v>311</v>
      </c>
      <c r="B11" s="84" t="s">
        <v>254</v>
      </c>
      <c r="C11" s="87">
        <f>+PL!K34</f>
        <v>13674.265777231602</v>
      </c>
      <c r="D11" s="87">
        <f>+PL!L34</f>
        <v>16694.570135746606</v>
      </c>
      <c r="E11" s="87">
        <f>+PL!M34</f>
        <v>9079.0707428644273</v>
      </c>
      <c r="F11" s="87">
        <f>+PL!N34</f>
        <v>3082.2768024796655</v>
      </c>
      <c r="G11" s="87">
        <f>+PL!O34</f>
        <v>6865.6097148884965</v>
      </c>
      <c r="H11" s="87">
        <f>+PL!P34</f>
        <v>1369.1385894512221</v>
      </c>
      <c r="I11" s="87">
        <f>+PL!Q34</f>
        <v>2702.8496897490108</v>
      </c>
      <c r="J11" s="87">
        <f>+PL!R34</f>
        <v>6234.1960336807178</v>
      </c>
      <c r="K11" s="87">
        <f>+PL!S34</f>
        <v>6262.6598008963583</v>
      </c>
      <c r="L11" s="87">
        <f>+PL!T34</f>
        <v>13732.672359275977</v>
      </c>
      <c r="M11" s="87">
        <f>+PL!U34</f>
        <v>19225.646491871281</v>
      </c>
      <c r="N11" s="87">
        <f>+PL!V34</f>
        <v>16776.347528637059</v>
      </c>
      <c r="O11" s="87">
        <f>+PL!W34</f>
        <v>15000.913303005145</v>
      </c>
      <c r="P11" s="87">
        <f>+PL!X34</f>
        <v>21976.353230743764</v>
      </c>
      <c r="Q11" s="87">
        <f>+PL!Y34</f>
        <v>34865.859400268091</v>
      </c>
      <c r="R11" s="87">
        <f>+PL!Z34</f>
        <v>26373.395206001584</v>
      </c>
      <c r="S11" s="87">
        <f>+PL!AA34</f>
        <v>32709.981100336434</v>
      </c>
      <c r="T11" s="87">
        <f>+PL!AB34</f>
        <v>31117.694282033495</v>
      </c>
      <c r="U11" s="87">
        <f>+PL!AC34</f>
        <v>28642.931542032995</v>
      </c>
      <c r="W11" s="271"/>
      <c r="X11" s="272"/>
      <c r="Y11" s="272"/>
      <c r="Z11" s="272"/>
      <c r="AA11" s="272"/>
      <c r="AB11" s="272"/>
      <c r="AC11" s="272"/>
      <c r="AD11" s="273"/>
      <c r="AE11" s="271"/>
      <c r="AF11" s="272"/>
      <c r="AG11" s="272"/>
      <c r="AH11" s="272"/>
      <c r="AI11" s="272"/>
      <c r="AJ11" s="272"/>
      <c r="AK11" s="272"/>
      <c r="AL11" s="273"/>
    </row>
    <row r="12" spans="1:38" x14ac:dyDescent="0.2">
      <c r="A12" s="88" t="s">
        <v>312</v>
      </c>
      <c r="B12" s="89" t="s">
        <v>254</v>
      </c>
      <c r="C12" s="90">
        <f>+PL!K38</f>
        <v>8068.5359431229699</v>
      </c>
      <c r="D12" s="90">
        <f>+PL!L38</f>
        <v>3795.9087481146307</v>
      </c>
      <c r="E12" s="90">
        <f>+PL!M38</f>
        <v>1941.7759394961477</v>
      </c>
      <c r="F12" s="90">
        <f>+PL!N38</f>
        <v>-840.99770914266651</v>
      </c>
      <c r="G12" s="90">
        <f>+PL!O38</f>
        <v>2483.6581056210766</v>
      </c>
      <c r="H12" s="90">
        <f>+PL!P38</f>
        <v>-777.02789697397793</v>
      </c>
      <c r="I12" s="90">
        <f>+PL!Q38</f>
        <v>-1550.9490888707821</v>
      </c>
      <c r="J12" s="90">
        <f>+PL!R38</f>
        <v>1148.6573494731438</v>
      </c>
      <c r="K12" s="90">
        <f>+PL!S38</f>
        <v>-4829.2269687239641</v>
      </c>
      <c r="L12" s="90">
        <f>+PL!T38</f>
        <v>8879.5262784086972</v>
      </c>
      <c r="M12" s="90">
        <f>+PL!U38</f>
        <v>10769.538842515687</v>
      </c>
      <c r="N12" s="90">
        <f>+PL!V38</f>
        <v>9945.3613190129781</v>
      </c>
      <c r="O12" s="90">
        <f>+PL!W38</f>
        <v>8727.024691697301</v>
      </c>
      <c r="P12" s="90">
        <f>+PL!X38</f>
        <v>14663.948992896116</v>
      </c>
      <c r="Q12" s="90">
        <f>+PL!Y38</f>
        <v>26813.732660714802</v>
      </c>
      <c r="R12" s="90">
        <f>+PL!Z38</f>
        <v>15306.307977942914</v>
      </c>
      <c r="S12" s="90">
        <f>+PL!AA38</f>
        <v>21779.970017811203</v>
      </c>
      <c r="T12" s="90">
        <f>+PL!AB38</f>
        <v>18426.199484689329</v>
      </c>
      <c r="U12" s="90">
        <f>+PL!AC38</f>
        <v>18104.31176528697</v>
      </c>
      <c r="W12" s="271"/>
      <c r="X12" s="272"/>
      <c r="Y12" s="272"/>
      <c r="Z12" s="272"/>
      <c r="AA12" s="272"/>
      <c r="AB12" s="272"/>
      <c r="AC12" s="272"/>
      <c r="AD12" s="273"/>
      <c r="AE12" s="271"/>
      <c r="AF12" s="272"/>
      <c r="AG12" s="272"/>
      <c r="AH12" s="272"/>
      <c r="AI12" s="272"/>
      <c r="AJ12" s="272"/>
      <c r="AK12" s="272"/>
      <c r="AL12" s="273"/>
    </row>
    <row r="13" spans="1:38" x14ac:dyDescent="0.2">
      <c r="A13" s="78" t="s">
        <v>317</v>
      </c>
      <c r="B13" s="79" t="s">
        <v>318</v>
      </c>
      <c r="C13" s="102">
        <f>+PL!K5</f>
        <v>21.347318528921299</v>
      </c>
      <c r="D13" s="102">
        <f>+PL!L5</f>
        <v>19.453054298642535</v>
      </c>
      <c r="E13" s="102">
        <f>+PL!M5</f>
        <v>22.748031868795213</v>
      </c>
      <c r="F13" s="102">
        <f>+PL!N5</f>
        <v>21.848411568045332</v>
      </c>
      <c r="G13" s="102">
        <f>+PL!O5</f>
        <v>20.205459362863763</v>
      </c>
      <c r="H13" s="102">
        <f>+PL!P5</f>
        <v>20.152178392700858</v>
      </c>
      <c r="I13" s="102">
        <f>+PL!Q5</f>
        <v>22.821736819167953</v>
      </c>
      <c r="J13" s="102">
        <f>+PL!R5</f>
        <v>19.853952851186037</v>
      </c>
      <c r="K13" s="102">
        <f>+PL!S5</f>
        <v>23.141805274563811</v>
      </c>
      <c r="L13" s="102">
        <f>+PL!T5</f>
        <v>19.858120360783609</v>
      </c>
      <c r="M13" s="102">
        <f>+PL!U5</f>
        <v>20.072881892659066</v>
      </c>
      <c r="N13" s="102">
        <f>+PL!V5</f>
        <v>17.618263452592512</v>
      </c>
      <c r="O13" s="102">
        <f>+PL!W5</f>
        <v>19.500963661852872</v>
      </c>
      <c r="P13" s="102">
        <f>+PL!X5</f>
        <v>19.952157532469993</v>
      </c>
      <c r="Q13" s="102">
        <f>+PL!Y5</f>
        <v>25.465956937246414</v>
      </c>
      <c r="R13" s="102">
        <f>+PL!Z5</f>
        <v>23.765799442876588</v>
      </c>
      <c r="S13" s="102">
        <f>+PL!AA5</f>
        <v>21.333267365921234</v>
      </c>
      <c r="T13" s="102">
        <f>+PL!AB5</f>
        <v>22.438014071945297</v>
      </c>
      <c r="U13" s="102">
        <f>+PL!AC5</f>
        <v>23.274622147584708</v>
      </c>
      <c r="W13" s="271"/>
      <c r="X13" s="272"/>
      <c r="Y13" s="272"/>
      <c r="Z13" s="272"/>
      <c r="AA13" s="272"/>
      <c r="AB13" s="272"/>
      <c r="AC13" s="272"/>
      <c r="AD13" s="273"/>
      <c r="AE13" s="271"/>
      <c r="AF13" s="272"/>
      <c r="AG13" s="272"/>
      <c r="AH13" s="272"/>
      <c r="AI13" s="272"/>
      <c r="AJ13" s="272"/>
      <c r="AK13" s="272"/>
      <c r="AL13" s="273"/>
    </row>
    <row r="14" spans="1:38"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W14" s="271"/>
      <c r="X14" s="272"/>
      <c r="Y14" s="272"/>
      <c r="Z14" s="272"/>
      <c r="AA14" s="272"/>
      <c r="AB14" s="272"/>
      <c r="AC14" s="272"/>
      <c r="AD14" s="273"/>
      <c r="AE14" s="271"/>
      <c r="AF14" s="272"/>
      <c r="AG14" s="272"/>
      <c r="AH14" s="272"/>
      <c r="AI14" s="272"/>
      <c r="AJ14" s="272"/>
      <c r="AK14" s="272"/>
      <c r="AL14" s="273"/>
    </row>
    <row r="15" spans="1:38" x14ac:dyDescent="0.2">
      <c r="A15" s="80" t="s">
        <v>319</v>
      </c>
      <c r="B15" s="81" t="s">
        <v>254</v>
      </c>
      <c r="C15" s="82">
        <f>+BS!K9</f>
        <v>276862.020538927</v>
      </c>
      <c r="D15" s="82">
        <f>+BS!L9</f>
        <v>244330.97662141779</v>
      </c>
      <c r="E15" s="82">
        <f>+BS!M9</f>
        <v>343995.03492176341</v>
      </c>
      <c r="F15" s="82">
        <f>+BS!N9</f>
        <v>234726.63715293832</v>
      </c>
      <c r="G15" s="82">
        <f>+BS!O9</f>
        <v>203652.24619771284</v>
      </c>
      <c r="H15" s="82">
        <f>+BS!P9</f>
        <v>257562.12687981984</v>
      </c>
      <c r="I15" s="82">
        <f>+BS!Q9</f>
        <v>326135.370696545</v>
      </c>
      <c r="J15" s="82">
        <f>+BS!R9</f>
        <v>250961.32899370315</v>
      </c>
      <c r="K15" s="82">
        <f>+BS!S9</f>
        <v>266762.08772034023</v>
      </c>
      <c r="L15" s="82">
        <f>+BS!T9</f>
        <v>228968.9537896229</v>
      </c>
      <c r="M15" s="82">
        <f>+BS!U9</f>
        <v>241409.24772314038</v>
      </c>
      <c r="N15" s="82">
        <f>+BS!V9</f>
        <v>207747.38164270468</v>
      </c>
      <c r="O15" s="82">
        <f>+BS!W9</f>
        <v>244974.17075527442</v>
      </c>
      <c r="P15" s="82">
        <f>+BS!X9</f>
        <v>225314.21812867536</v>
      </c>
      <c r="Q15" s="82">
        <f>+BS!Y9</f>
        <v>293582.62179653399</v>
      </c>
      <c r="R15" s="82">
        <f>+BS!Z9</f>
        <v>293382.81030096789</v>
      </c>
      <c r="S15" s="82">
        <f>+BS!AA9</f>
        <v>342968.14991094405</v>
      </c>
      <c r="T15" s="82">
        <f>+BS!AB9</f>
        <v>362598.05727876321</v>
      </c>
      <c r="U15" s="82">
        <f>+BS!AC9</f>
        <v>350936.29121801839</v>
      </c>
      <c r="W15" s="271"/>
      <c r="X15" s="272"/>
      <c r="Y15" s="272"/>
      <c r="Z15" s="272"/>
      <c r="AA15" s="272"/>
      <c r="AB15" s="272"/>
      <c r="AC15" s="272"/>
      <c r="AD15" s="273"/>
      <c r="AE15" s="271"/>
      <c r="AF15" s="272"/>
      <c r="AG15" s="272"/>
      <c r="AH15" s="272"/>
      <c r="AI15" s="272"/>
      <c r="AJ15" s="272"/>
      <c r="AK15" s="272"/>
      <c r="AL15" s="273"/>
    </row>
    <row r="16" spans="1:38" x14ac:dyDescent="0.2">
      <c r="A16" s="86" t="s">
        <v>320</v>
      </c>
      <c r="B16" s="84" t="s">
        <v>254</v>
      </c>
      <c r="C16" s="87">
        <f>+BS!K15</f>
        <v>254300.096550513</v>
      </c>
      <c r="D16" s="87">
        <f>+BS!L15</f>
        <v>204618.40120663648</v>
      </c>
      <c r="E16" s="87">
        <f>+BS!M15</f>
        <v>234099.41382127907</v>
      </c>
      <c r="F16" s="87">
        <f>+BS!N15</f>
        <v>198558.91461630253</v>
      </c>
      <c r="G16" s="87">
        <f>+BS!O15</f>
        <v>249668.5440295272</v>
      </c>
      <c r="H16" s="87">
        <f>+BS!P15</f>
        <v>254202.65043246822</v>
      </c>
      <c r="I16" s="87">
        <f>+BS!Q15</f>
        <v>302376.86072510667</v>
      </c>
      <c r="J16" s="87">
        <f>+BS!R15</f>
        <v>201324.24603802565</v>
      </c>
      <c r="K16" s="87">
        <f>+BS!S15</f>
        <v>202770.36876540253</v>
      </c>
      <c r="L16" s="87">
        <f>+BS!T15</f>
        <v>198288.65072981827</v>
      </c>
      <c r="M16" s="87">
        <f>+BS!U15</f>
        <v>231396.63570095928</v>
      </c>
      <c r="N16" s="87">
        <f>+BS!V15</f>
        <v>165848.69248499369</v>
      </c>
      <c r="O16" s="87">
        <f>+BS!W15</f>
        <v>207116.71543233399</v>
      </c>
      <c r="P16" s="87">
        <f>+BS!X15</f>
        <v>204751.75005008749</v>
      </c>
      <c r="Q16" s="87">
        <f>+BS!Y15</f>
        <v>257965.77457850124</v>
      </c>
      <c r="R16" s="87">
        <f>+BS!Z15</f>
        <v>244266.81179331985</v>
      </c>
      <c r="S16" s="87">
        <f>+BS!AA15</f>
        <v>241581.54502275877</v>
      </c>
      <c r="T16" s="87">
        <f>+BS!AB15</f>
        <v>273877.75106530567</v>
      </c>
      <c r="U16" s="87">
        <f>+BS!AC15</f>
        <v>263180.58895584312</v>
      </c>
      <c r="W16" s="271"/>
      <c r="X16" s="272"/>
      <c r="Y16" s="272"/>
      <c r="Z16" s="272"/>
      <c r="AA16" s="272"/>
      <c r="AB16" s="272"/>
      <c r="AC16" s="272"/>
      <c r="AD16" s="273"/>
      <c r="AE16" s="271"/>
      <c r="AF16" s="272"/>
      <c r="AG16" s="272"/>
      <c r="AH16" s="272"/>
      <c r="AI16" s="272"/>
      <c r="AJ16" s="272"/>
      <c r="AK16" s="272"/>
      <c r="AL16" s="273"/>
    </row>
    <row r="17" spans="1:38" x14ac:dyDescent="0.2">
      <c r="A17" s="86" t="s">
        <v>321</v>
      </c>
      <c r="B17" s="84" t="s">
        <v>254</v>
      </c>
      <c r="C17" s="87">
        <f>+BS!K30</f>
        <v>383752.47959273198</v>
      </c>
      <c r="D17" s="87">
        <f>+BS!L30</f>
        <v>302428.92156862747</v>
      </c>
      <c r="E17" s="87">
        <f>+BS!M30</f>
        <v>382488.11878388253</v>
      </c>
      <c r="F17" s="87">
        <f>+BS!N30</f>
        <v>273724.28114471474</v>
      </c>
      <c r="G17" s="87">
        <f>+BS!O30</f>
        <v>288943.92722827988</v>
      </c>
      <c r="H17" s="87">
        <f>+BS!P30</f>
        <v>280545.62017039739</v>
      </c>
      <c r="I17" s="87">
        <f>+BS!Q30</f>
        <v>328202.89800290007</v>
      </c>
      <c r="J17" s="87">
        <f>+BS!R30</f>
        <v>262186.21397915535</v>
      </c>
      <c r="K17" s="87">
        <f>+BS!S30</f>
        <v>285138.01997369505</v>
      </c>
      <c r="L17" s="87">
        <f>+BS!T30</f>
        <v>257319.74827691971</v>
      </c>
      <c r="M17" s="87">
        <f>+BS!U30</f>
        <v>295598.6160379845</v>
      </c>
      <c r="N17" s="87">
        <f>+BS!V30</f>
        <v>222546.22597645104</v>
      </c>
      <c r="O17" s="87">
        <f>+BS!W30</f>
        <v>234577.45316737451</v>
      </c>
      <c r="P17" s="87">
        <f>+BS!X30</f>
        <v>244113.99912658738</v>
      </c>
      <c r="Q17" s="87">
        <f>+BS!Y30</f>
        <v>304654.61628416466</v>
      </c>
      <c r="R17" s="87">
        <f>+BS!Z30</f>
        <v>280112.08523952396</v>
      </c>
      <c r="S17" s="87">
        <f>+BS!AA30</f>
        <v>277587.45260241441</v>
      </c>
      <c r="T17" s="87">
        <f>+BS!AB30</f>
        <v>327856.84659597662</v>
      </c>
      <c r="U17" s="87">
        <f>+BS!AC30</f>
        <v>313694.38921268395</v>
      </c>
      <c r="W17" s="271"/>
      <c r="X17" s="272"/>
      <c r="Y17" s="272"/>
      <c r="Z17" s="272"/>
      <c r="AA17" s="272"/>
      <c r="AB17" s="272"/>
      <c r="AC17" s="272"/>
      <c r="AD17" s="273"/>
      <c r="AE17" s="271"/>
      <c r="AF17" s="272"/>
      <c r="AG17" s="272"/>
      <c r="AH17" s="272"/>
      <c r="AI17" s="272"/>
      <c r="AJ17" s="272"/>
      <c r="AK17" s="272"/>
      <c r="AL17" s="273"/>
    </row>
    <row r="18" spans="1:38" x14ac:dyDescent="0.2">
      <c r="A18" s="93" t="s">
        <v>344</v>
      </c>
      <c r="B18" s="84" t="s">
        <v>254</v>
      </c>
      <c r="C18" s="94">
        <f>+BS!K33+BS!K34+BS!K38+BS!K39+BS!K40</f>
        <v>237673.22039849032</v>
      </c>
      <c r="D18" s="94">
        <f>+BS!L33+BS!L34+BS!L38+BS!L39+BS!L40</f>
        <v>191442.59049773758</v>
      </c>
      <c r="E18" s="94">
        <f>+BS!M33+BS!M34+BS!M38+BS!M39+BS!M40</f>
        <v>240921.84216501622</v>
      </c>
      <c r="F18" s="94">
        <f>+BS!N33+BS!N34+BS!N38+BS!N39+BS!N40</f>
        <v>174653.23231868781</v>
      </c>
      <c r="G18" s="94">
        <f>+BS!O33+BS!O34+BS!O38+BS!O39+BS!O40</f>
        <v>186586.78283720536</v>
      </c>
      <c r="H18" s="94">
        <f>+BS!P33+BS!P34+BS!P38+BS!P39+BS!P40</f>
        <v>164617.66786837738</v>
      </c>
      <c r="I18" s="94">
        <f>+BS!Q33+BS!Q34+BS!Q38+BS!Q39+BS!Q40</f>
        <v>183363.71826150673</v>
      </c>
      <c r="J18" s="94">
        <f>+BS!R33+BS!R34+BS!R38+BS!R39+BS!R40</f>
        <v>169436.43442235049</v>
      </c>
      <c r="K18" s="94">
        <f>+BS!S33+BS!S34+BS!S38+BS!S39+BS!S40</f>
        <v>160566.92146556237</v>
      </c>
      <c r="L18" s="94">
        <f>+BS!T33+BS!T34+BS!T38+BS!T39+BS!T40</f>
        <v>158669.49997830376</v>
      </c>
      <c r="M18" s="94">
        <f>+BS!U33+BS!U34+BS!U38+BS!U39+BS!U40</f>
        <v>181462.40985522704</v>
      </c>
      <c r="N18" s="94">
        <f>+BS!V33+BS!V34+BS!V38+BS!V39+BS!V40</f>
        <v>125686.5399580396</v>
      </c>
      <c r="O18" s="94">
        <f>+BS!W33+BS!W34+BS!W38+BS!W39+BS!W40</f>
        <v>131148.8293277628</v>
      </c>
      <c r="P18" s="94">
        <f>+BS!X33+BS!X34+BS!X38+BS!X39+BS!X40</f>
        <v>129934.74845257387</v>
      </c>
      <c r="Q18" s="94">
        <f>+BS!Y33+BS!Y34+BS!Y38+BS!Y39+BS!Y40</f>
        <v>133480.03819511476</v>
      </c>
      <c r="R18" s="94">
        <f>+BS!Z33+BS!Z34+BS!Z38+BS!Z39+BS!Z40</f>
        <v>144975.18138402392</v>
      </c>
      <c r="S18" s="94">
        <f>+BS!AA33+BS!AA34+BS!AA38+BS!AA39+BS!AA40</f>
        <v>143862.29467642985</v>
      </c>
      <c r="T18" s="94">
        <f>+BS!AB33+BS!AB34+BS!AB38+BS!AB39+BS!AB40</f>
        <v>179776.34446536517</v>
      </c>
      <c r="U18" s="94">
        <f>+BS!AC33+BS!AC34+BS!AC38+BS!AC39+BS!AC40</f>
        <v>171710.49501136027</v>
      </c>
      <c r="W18" s="271"/>
      <c r="X18" s="272"/>
      <c r="Y18" s="272"/>
      <c r="Z18" s="272"/>
      <c r="AA18" s="272"/>
      <c r="AB18" s="272"/>
      <c r="AC18" s="272"/>
      <c r="AD18" s="273"/>
      <c r="AE18" s="271"/>
      <c r="AF18" s="272"/>
      <c r="AG18" s="272"/>
      <c r="AH18" s="272"/>
      <c r="AI18" s="272"/>
      <c r="AJ18" s="272"/>
      <c r="AK18" s="272"/>
      <c r="AL18" s="273"/>
    </row>
    <row r="19" spans="1:38" x14ac:dyDescent="0.2">
      <c r="A19" s="88" t="s">
        <v>314</v>
      </c>
      <c r="B19" s="89" t="s">
        <v>254</v>
      </c>
      <c r="C19" s="90">
        <f>+BS!K43</f>
        <v>149492.23207232502</v>
      </c>
      <c r="D19" s="90">
        <f>+BS!L43</f>
        <v>148534.21945701356</v>
      </c>
      <c r="E19" s="90">
        <f>+BS!M43</f>
        <v>197367.00269618895</v>
      </c>
      <c r="F19" s="90">
        <f>+BS!N43</f>
        <v>162120.71171816153</v>
      </c>
      <c r="G19" s="90">
        <f>+BS!O43</f>
        <v>166689.26005200355</v>
      </c>
      <c r="H19" s="90">
        <f>+BS!P43</f>
        <v>232881.80099990391</v>
      </c>
      <c r="I19" s="90">
        <f>+BS!Q43</f>
        <v>304743.24012146896</v>
      </c>
      <c r="J19" s="90">
        <f>+BS!R43</f>
        <v>190694.82843783332</v>
      </c>
      <c r="K19" s="90">
        <f>+BS!S43</f>
        <v>185476.80024428348</v>
      </c>
      <c r="L19" s="90">
        <f>+BS!T43</f>
        <v>172466.2122887203</v>
      </c>
      <c r="M19" s="90">
        <f>+BS!U43</f>
        <v>177524.99744425935</v>
      </c>
      <c r="N19" s="90">
        <f>+BS!V43</f>
        <v>153408.31565152138</v>
      </c>
      <c r="O19" s="90">
        <f>+BS!W43</f>
        <v>217737.01421806036</v>
      </c>
      <c r="P19" s="90">
        <f>+BS!X43</f>
        <v>186523.27475391861</v>
      </c>
      <c r="Q19" s="90">
        <f>+BS!Y43</f>
        <v>247282.16531609549</v>
      </c>
      <c r="R19" s="90">
        <f>+BS!Z43</f>
        <v>258586.1202457092</v>
      </c>
      <c r="S19" s="90">
        <f>+BS!AA43</f>
        <v>307850.7243221848</v>
      </c>
      <c r="T19" s="90">
        <f>+BS!AB43</f>
        <v>310023.02923397085</v>
      </c>
      <c r="U19" s="90">
        <f>+BS!AC43</f>
        <v>302485.51743554283</v>
      </c>
      <c r="W19" s="271"/>
      <c r="X19" s="272"/>
      <c r="Y19" s="272"/>
      <c r="Z19" s="272"/>
      <c r="AA19" s="272"/>
      <c r="AB19" s="272"/>
      <c r="AC19" s="272"/>
      <c r="AD19" s="273"/>
      <c r="AE19" s="271"/>
      <c r="AF19" s="272"/>
      <c r="AG19" s="272"/>
      <c r="AH19" s="272"/>
      <c r="AI19" s="272"/>
      <c r="AJ19" s="272"/>
      <c r="AK19" s="272"/>
      <c r="AL19" s="273"/>
    </row>
    <row r="20" spans="1:38" x14ac:dyDescent="0.2">
      <c r="A20" s="78" t="s">
        <v>313</v>
      </c>
      <c r="B20" s="79" t="s">
        <v>254</v>
      </c>
      <c r="C20" s="92">
        <f>+BS!K29</f>
        <v>533244.711665057</v>
      </c>
      <c r="D20" s="92">
        <f>+BS!L29</f>
        <v>450963.14102564106</v>
      </c>
      <c r="E20" s="92">
        <f>+BS!M29</f>
        <v>579855.12148007145</v>
      </c>
      <c r="F20" s="92">
        <f>+BS!N29</f>
        <v>435844.99286287621</v>
      </c>
      <c r="G20" s="92">
        <f>+BS!O29</f>
        <v>455633.18728028255</v>
      </c>
      <c r="H20" s="92">
        <f>+BS!P29</f>
        <v>513427.42117030232</v>
      </c>
      <c r="I20" s="92">
        <f>+BS!Q29</f>
        <v>632946.13812436897</v>
      </c>
      <c r="J20" s="92">
        <f>+BS!R29</f>
        <v>452881.04241698893</v>
      </c>
      <c r="K20" s="92">
        <f>+BS!S29</f>
        <v>470614.82021797838</v>
      </c>
      <c r="L20" s="92">
        <f>+BS!T29</f>
        <v>429785.96056564001</v>
      </c>
      <c r="M20" s="92">
        <f>+BS!U29</f>
        <v>473123.61348224385</v>
      </c>
      <c r="N20" s="92">
        <f>+BS!V29</f>
        <v>375954.54162797297</v>
      </c>
      <c r="O20" s="92">
        <f>+BS!W29</f>
        <v>452314.46738543484</v>
      </c>
      <c r="P20" s="92">
        <f>+BS!X29</f>
        <v>430637.27388050605</v>
      </c>
      <c r="Q20" s="92">
        <f>+BS!Y29</f>
        <v>551936.78160026029</v>
      </c>
      <c r="R20" s="92">
        <f>+BS!Z29</f>
        <v>538698.20548523322</v>
      </c>
      <c r="S20" s="92">
        <f>+BS!AA29</f>
        <v>585438.17702355038</v>
      </c>
      <c r="T20" s="92">
        <f>+BS!AB29</f>
        <v>637879.87582994741</v>
      </c>
      <c r="U20" s="92">
        <f>+BS!AC29</f>
        <v>616179.9066482269</v>
      </c>
      <c r="W20" s="274"/>
      <c r="X20" s="275"/>
      <c r="Y20" s="275"/>
      <c r="Z20" s="275"/>
      <c r="AA20" s="275"/>
      <c r="AB20" s="275"/>
      <c r="AC20" s="275"/>
      <c r="AD20" s="276"/>
      <c r="AE20" s="274"/>
      <c r="AF20" s="275"/>
      <c r="AG20" s="275"/>
      <c r="AH20" s="275"/>
      <c r="AI20" s="275"/>
      <c r="AJ20" s="275"/>
      <c r="AK20" s="275"/>
      <c r="AL20" s="276"/>
    </row>
    <row r="21" spans="1:38"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W21" s="268"/>
      <c r="X21" s="269"/>
      <c r="Y21" s="269"/>
      <c r="Z21" s="269"/>
      <c r="AA21" s="269"/>
      <c r="AB21" s="269"/>
      <c r="AC21" s="269"/>
      <c r="AD21" s="270"/>
      <c r="AE21" s="268"/>
      <c r="AF21" s="269"/>
      <c r="AG21" s="269"/>
      <c r="AH21" s="269"/>
      <c r="AI21" s="269"/>
      <c r="AJ21" s="269"/>
      <c r="AK21" s="269"/>
      <c r="AL21" s="270"/>
    </row>
    <row r="22" spans="1:38" x14ac:dyDescent="0.2">
      <c r="A22" s="80" t="s">
        <v>311</v>
      </c>
      <c r="B22" s="81" t="s">
        <v>254</v>
      </c>
      <c r="C22" s="96"/>
      <c r="D22" s="96">
        <f>+D11</f>
        <v>16694.570135746606</v>
      </c>
      <c r="E22" s="96">
        <f t="shared" ref="E22:K22" si="0">+E11</f>
        <v>9079.0707428644273</v>
      </c>
      <c r="F22" s="96">
        <f t="shared" si="0"/>
        <v>3082.2768024796655</v>
      </c>
      <c r="G22" s="96">
        <f t="shared" si="0"/>
        <v>6865.6097148884965</v>
      </c>
      <c r="H22" s="96">
        <f t="shared" si="0"/>
        <v>1369.1385894512221</v>
      </c>
      <c r="I22" s="96">
        <f t="shared" si="0"/>
        <v>2702.8496897490108</v>
      </c>
      <c r="J22" s="96">
        <f t="shared" si="0"/>
        <v>6234.1960336807178</v>
      </c>
      <c r="K22" s="96">
        <f t="shared" si="0"/>
        <v>6262.6598008963583</v>
      </c>
      <c r="L22" s="96">
        <f>+L11</f>
        <v>13732.672359275977</v>
      </c>
      <c r="M22" s="96">
        <f>+M11</f>
        <v>19225.646491871281</v>
      </c>
      <c r="N22" s="96">
        <f>+N11</f>
        <v>16776.347528637059</v>
      </c>
      <c r="O22" s="96">
        <f>+O11</f>
        <v>15000.913303005145</v>
      </c>
      <c r="P22" s="96">
        <f t="shared" ref="P22:Q22" si="1">+P11</f>
        <v>21976.353230743764</v>
      </c>
      <c r="Q22" s="96">
        <f t="shared" si="1"/>
        <v>34865.859400268091</v>
      </c>
      <c r="R22" s="96">
        <f t="shared" ref="R22:U22" si="2">+R11</f>
        <v>26373.395206001584</v>
      </c>
      <c r="S22" s="96">
        <f t="shared" ref="S22:T22" si="3">+S11</f>
        <v>32709.981100336434</v>
      </c>
      <c r="T22" s="96">
        <f t="shared" si="3"/>
        <v>31117.694282033495</v>
      </c>
      <c r="U22" s="96">
        <f t="shared" si="2"/>
        <v>28642.931542032995</v>
      </c>
      <c r="W22" s="271"/>
      <c r="X22" s="272"/>
      <c r="Y22" s="272"/>
      <c r="Z22" s="272"/>
      <c r="AA22" s="272"/>
      <c r="AB22" s="272"/>
      <c r="AC22" s="272"/>
      <c r="AD22" s="273"/>
      <c r="AE22" s="271"/>
      <c r="AF22" s="272"/>
      <c r="AG22" s="272"/>
      <c r="AH22" s="272"/>
      <c r="AI22" s="272"/>
      <c r="AJ22" s="272"/>
      <c r="AK22" s="272"/>
      <c r="AL22" s="273"/>
    </row>
    <row r="23" spans="1:38" x14ac:dyDescent="0.2">
      <c r="A23" s="86" t="s">
        <v>325</v>
      </c>
      <c r="B23" s="84" t="s">
        <v>254</v>
      </c>
      <c r="C23" s="97"/>
      <c r="D23" s="97">
        <f>+PL!L37-PL!L38</f>
        <v>3650.9238310708897</v>
      </c>
      <c r="E23" s="97">
        <f>+PL!M37-PL!M38</f>
        <v>7112.2064631410822</v>
      </c>
      <c r="F23" s="97">
        <f>+PL!N37-PL!N38</f>
        <v>6060.9485318437964</v>
      </c>
      <c r="G23" s="97">
        <f>+PL!O37-PL!O38</f>
        <v>4088.8055721627838</v>
      </c>
      <c r="H23" s="97">
        <f>+PL!P37-PL!P38</f>
        <v>3466.1971456612828</v>
      </c>
      <c r="I23" s="97">
        <f>+PL!Q37-PL!Q38</f>
        <v>3225.7272583083068</v>
      </c>
      <c r="J23" s="97">
        <f>+PL!R37-PL!R38</f>
        <v>3159.7414659434608</v>
      </c>
      <c r="K23" s="97">
        <f>+PL!S37-PL!S38</f>
        <v>7218.1360308108133</v>
      </c>
      <c r="L23" s="97">
        <f>+PL!T37-PL!T38</f>
        <v>3224.6438376024635</v>
      </c>
      <c r="M23" s="97">
        <f>+PL!U37-PL!U38</f>
        <v>6277.3200910168216</v>
      </c>
      <c r="N23" s="97">
        <f>+PL!V37-PL!V38</f>
        <v>5415.5625195780267</v>
      </c>
      <c r="O23" s="97">
        <f>+PL!W37-PL!W38</f>
        <v>5029.6736313972451</v>
      </c>
      <c r="P23" s="97">
        <f>+PL!X37-PL!X38</f>
        <v>6858.8693485248368</v>
      </c>
      <c r="Q23" s="97">
        <f>+PL!Y37-PL!Y38</f>
        <v>9470.3522386297664</v>
      </c>
      <c r="R23" s="97">
        <f>+PL!Z37-PL!Z38</f>
        <v>7024.8496497722263</v>
      </c>
      <c r="S23" s="97">
        <f>+PL!AA37-PL!AA38</f>
        <v>9608.7995250346321</v>
      </c>
      <c r="T23" s="97">
        <f>+PL!AB37-PL!AB38</f>
        <v>9677.1033594291912</v>
      </c>
      <c r="U23" s="97">
        <f>+PL!AC37-PL!AC38</f>
        <v>8478.8696038723683</v>
      </c>
      <c r="W23" s="271"/>
      <c r="X23" s="272"/>
      <c r="Y23" s="272"/>
      <c r="Z23" s="272"/>
      <c r="AA23" s="272"/>
      <c r="AB23" s="272"/>
      <c r="AC23" s="272"/>
      <c r="AD23" s="273"/>
      <c r="AE23" s="271"/>
      <c r="AF23" s="272"/>
      <c r="AG23" s="272"/>
      <c r="AH23" s="272"/>
      <c r="AI23" s="272"/>
      <c r="AJ23" s="272"/>
      <c r="AK23" s="272"/>
      <c r="AL23" s="273"/>
    </row>
    <row r="24" spans="1:38" x14ac:dyDescent="0.2">
      <c r="A24" s="86" t="s">
        <v>326</v>
      </c>
      <c r="B24" s="84" t="s">
        <v>254</v>
      </c>
      <c r="C24" s="97"/>
      <c r="D24" s="97">
        <f>+PL!L13+PL!L24</f>
        <v>14629.147812971341</v>
      </c>
      <c r="E24" s="97">
        <f>+PL!M13+PL!M24</f>
        <v>18307.870898231744</v>
      </c>
      <c r="F24" s="97">
        <f>+PL!N13+PL!N24</f>
        <v>12119.07442977519</v>
      </c>
      <c r="G24" s="97">
        <f>+PL!O13+PL!O24</f>
        <v>13249.204715490068</v>
      </c>
      <c r="H24" s="97">
        <f>+PL!P13+PL!P24</f>
        <v>15233.92150076004</v>
      </c>
      <c r="I24" s="97">
        <f>+PL!Q13+PL!Q24</f>
        <v>27516.360656936897</v>
      </c>
      <c r="J24" s="97">
        <f>+PL!R13+PL!R24</f>
        <v>12404.54865389521</v>
      </c>
      <c r="K24" s="97">
        <f>+PL!S13+PL!S24</f>
        <v>16129.045901962272</v>
      </c>
      <c r="L24" s="97">
        <f>+PL!T13+PL!T24</f>
        <v>12102.028147233385</v>
      </c>
      <c r="M24" s="97">
        <f>+PL!U13+PL!U24</f>
        <v>17171.488990650305</v>
      </c>
      <c r="N24" s="97">
        <f>+PL!V13+PL!V24</f>
        <v>10250.397904628273</v>
      </c>
      <c r="O24" s="97">
        <f>+PL!W13+PL!W24</f>
        <v>14051.256397216333</v>
      </c>
      <c r="P24" s="97">
        <f>+PL!X13+PL!X24</f>
        <v>13817.947797272176</v>
      </c>
      <c r="Q24" s="97">
        <f>+PL!Y13+PL!Y24</f>
        <v>21209.254351817439</v>
      </c>
      <c r="R24" s="97">
        <f>+PL!Z13+PL!Z24</f>
        <v>15444.641387801694</v>
      </c>
      <c r="S24" s="97">
        <f>+PL!AA13+PL!AA24</f>
        <v>16665.078369285573</v>
      </c>
      <c r="T24" s="97">
        <f>+PL!AB13+PL!AB24</f>
        <v>20399.716281835299</v>
      </c>
      <c r="U24" s="97">
        <f>+PL!AC13+PL!AC24</f>
        <v>16420.828509335177</v>
      </c>
      <c r="W24" s="271"/>
      <c r="X24" s="272"/>
      <c r="Y24" s="272"/>
      <c r="Z24" s="272"/>
      <c r="AA24" s="272"/>
      <c r="AB24" s="272"/>
      <c r="AC24" s="272"/>
      <c r="AD24" s="273"/>
      <c r="AE24" s="271"/>
      <c r="AF24" s="272"/>
      <c r="AG24" s="272"/>
      <c r="AH24" s="272"/>
      <c r="AI24" s="272"/>
      <c r="AJ24" s="272"/>
      <c r="AK24" s="272"/>
      <c r="AL24" s="273"/>
    </row>
    <row r="25" spans="1:38" x14ac:dyDescent="0.2">
      <c r="A25" s="86" t="s">
        <v>327</v>
      </c>
      <c r="B25" s="84" t="s">
        <v>254</v>
      </c>
      <c r="C25" s="97"/>
      <c r="D25" s="97">
        <f>-(BS!L11-BS!K11)</f>
        <v>-1509.897470186319</v>
      </c>
      <c r="E25" s="97">
        <f>-(BS!M11-BS!L11)</f>
        <v>-895.09819082627655</v>
      </c>
      <c r="F25" s="97">
        <f>-(BS!N11-BS!M11)</f>
        <v>32073.844295141025</v>
      </c>
      <c r="G25" s="97">
        <f>-(BS!O11-BS!N11)</f>
        <v>8978.6465326935868</v>
      </c>
      <c r="H25" s="97">
        <f>-(BS!P11-BS!O11)</f>
        <v>-10013.689478526867</v>
      </c>
      <c r="I25" s="97">
        <f>-(BS!Q11-BS!P11)</f>
        <v>-40182.050759379053</v>
      </c>
      <c r="J25" s="97">
        <f>-(BS!R11-BS!Q11)</f>
        <v>33521.637147513757</v>
      </c>
      <c r="K25" s="97">
        <f>-(BS!S11-BS!R11)</f>
        <v>-9224.0036174268025</v>
      </c>
      <c r="L25" s="97">
        <f>-(BS!T11-BS!S11)</f>
        <v>18981.134636846487</v>
      </c>
      <c r="M25" s="97">
        <f>-(BS!U11-BS!T11)</f>
        <v>-3322.0201300401241</v>
      </c>
      <c r="N25" s="97">
        <f>-(BS!V11-BS!U11)</f>
        <v>-59.988333267872804</v>
      </c>
      <c r="O25" s="97">
        <f>-(BS!W11-BS!V11)</f>
        <v>-2373.8605281158962</v>
      </c>
      <c r="P25" s="97">
        <f>-(BS!X11-BS!W11)</f>
        <v>-7650.0180431422486</v>
      </c>
      <c r="Q25" s="97">
        <f>-(BS!Y11-BS!X11)</f>
        <v>-19727.135303169271</v>
      </c>
      <c r="R25" s="97">
        <f>-(BS!Z11-BS!Y11)</f>
        <v>7122.4749536761228</v>
      </c>
      <c r="S25" s="97">
        <f>-(BS!AA11-BS!Z11)</f>
        <v>-1979.8103193610004</v>
      </c>
      <c r="T25" s="97">
        <f>-(BS!AB11-BS!AA11)</f>
        <v>9901.5668432600505</v>
      </c>
      <c r="U25" s="97">
        <f>-(BS!AC11-BS!AB11)</f>
        <v>-11916.01855560315</v>
      </c>
      <c r="W25" s="271"/>
      <c r="X25" s="272"/>
      <c r="Y25" s="272"/>
      <c r="Z25" s="272"/>
      <c r="AA25" s="272"/>
      <c r="AB25" s="272"/>
      <c r="AC25" s="272"/>
      <c r="AD25" s="273"/>
      <c r="AE25" s="271"/>
      <c r="AF25" s="272"/>
      <c r="AG25" s="272"/>
      <c r="AH25" s="272"/>
      <c r="AI25" s="272"/>
      <c r="AJ25" s="272"/>
      <c r="AK25" s="272"/>
      <c r="AL25" s="273"/>
    </row>
    <row r="26" spans="1:38" x14ac:dyDescent="0.2">
      <c r="A26" s="86" t="s">
        <v>328</v>
      </c>
      <c r="B26" s="84" t="s">
        <v>254</v>
      </c>
      <c r="C26" s="97"/>
      <c r="D26" s="97">
        <f>-(BS!L13-BS!K13)</f>
        <v>19630.192163389518</v>
      </c>
      <c r="E26" s="97">
        <f>-(BS!M13-BS!L13)</f>
        <v>-34106.17058726844</v>
      </c>
      <c r="F26" s="97">
        <f>-(BS!N13-BS!M13)</f>
        <v>12505.620235413808</v>
      </c>
      <c r="G26" s="97">
        <f>-(BS!O13-BS!N13)</f>
        <v>12239.093135384617</v>
      </c>
      <c r="H26" s="97">
        <f>-(BS!P13-BS!O13)</f>
        <v>-3799.063588348261</v>
      </c>
      <c r="I26" s="97">
        <f>-(BS!Q13-BS!P13)</f>
        <v>-10177.044214845126</v>
      </c>
      <c r="J26" s="97">
        <f>-(BS!R13-BS!Q13)</f>
        <v>8177.8258462814338</v>
      </c>
      <c r="K26" s="97">
        <f>-(BS!S13-BS!R13)</f>
        <v>-15372.371985079364</v>
      </c>
      <c r="L26" s="97">
        <f>-(BS!T13-BS!S13)</f>
        <v>15150.796795083814</v>
      </c>
      <c r="M26" s="97">
        <f>-(BS!U13-BS!T13)</f>
        <v>-3792.4617272694159</v>
      </c>
      <c r="N26" s="97">
        <f>-(BS!V13-BS!U13)</f>
        <v>2689.0734513407078</v>
      </c>
      <c r="O26" s="97">
        <f>-(BS!W13-BS!V13)</f>
        <v>8067.6662737948282</v>
      </c>
      <c r="P26" s="97">
        <f>-(BS!X13-BS!W13)</f>
        <v>-3113.7838626692974</v>
      </c>
      <c r="Q26" s="97">
        <f>-(BS!Y13-BS!X13)</f>
        <v>-12820.739069737676</v>
      </c>
      <c r="R26" s="97">
        <f>-(BS!Z13-BS!Y13)</f>
        <v>-3229.6130354213165</v>
      </c>
      <c r="S26" s="97">
        <f>-(BS!AA13-BS!Z13)</f>
        <v>-2112.1303691750363</v>
      </c>
      <c r="T26" s="97">
        <f>-(BS!AB13-BS!AA13)</f>
        <v>5054.483080457052</v>
      </c>
      <c r="U26" s="97">
        <f>-(BS!AC13-BS!AB13)</f>
        <v>-9908.9207504703372</v>
      </c>
      <c r="W26" s="271"/>
      <c r="X26" s="272"/>
      <c r="Y26" s="272"/>
      <c r="Z26" s="272"/>
      <c r="AA26" s="272"/>
      <c r="AB26" s="272"/>
      <c r="AC26" s="272"/>
      <c r="AD26" s="273"/>
      <c r="AE26" s="271"/>
      <c r="AF26" s="272"/>
      <c r="AG26" s="272"/>
      <c r="AH26" s="272"/>
      <c r="AI26" s="272"/>
      <c r="AJ26" s="272"/>
      <c r="AK26" s="272"/>
      <c r="AL26" s="273"/>
    </row>
    <row r="27" spans="1:38" x14ac:dyDescent="0.2">
      <c r="A27" s="86" t="s">
        <v>329</v>
      </c>
      <c r="B27" s="84" t="s">
        <v>254</v>
      </c>
      <c r="C27" s="97"/>
      <c r="D27" s="97">
        <f>-((BS!L12+BS!L14)-(BS!K12+BS!K14))</f>
        <v>15425.334857052116</v>
      </c>
      <c r="E27" s="97">
        <f>-((BS!M12+BS!M14)-(BS!L12+BS!L14))</f>
        <v>-13272.558944066917</v>
      </c>
      <c r="F27" s="97">
        <f>-((BS!N12+BS!N14)-(BS!M12+BS!M14))</f>
        <v>7186.0204698816196</v>
      </c>
      <c r="G27" s="97">
        <f>-((BS!O12+BS!O14)-(BS!N12+BS!N14))</f>
        <v>-4759.5383805734637</v>
      </c>
      <c r="H27" s="97">
        <f>-((BS!P12+BS!P14)-(BS!O12+BS!O14))</f>
        <v>2612.128507243171</v>
      </c>
      <c r="I27" s="97">
        <f>-((BS!Q12+BS!Q14)-(BS!P12+BS!P14))</f>
        <v>-5749.9175428876697</v>
      </c>
      <c r="J27" s="97">
        <f>-((BS!R12+BS!R14)-(BS!Q12+BS!Q14))</f>
        <v>-2892.5151771976598</v>
      </c>
      <c r="K27" s="97">
        <f>-((BS!S12+BS!S14)-(BS!R12+BS!R14))</f>
        <v>11253.356447838865</v>
      </c>
      <c r="L27" s="97">
        <f>-((BS!T12+BS!T14)-(BS!S12+BS!S14))</f>
        <v>-4134.987851137128</v>
      </c>
      <c r="M27" s="97">
        <f>-((BS!U12+BS!U14)-(BS!T12+BS!T14))</f>
        <v>-18930.281547552564</v>
      </c>
      <c r="N27" s="97">
        <f>-((BS!V12+BS!V14)-(BS!U12+BS!U14))</f>
        <v>20911.623647993441</v>
      </c>
      <c r="O27" s="97">
        <f>-((BS!W12+BS!W14)-(BS!V12+BS!V14))</f>
        <v>-14560.786819163641</v>
      </c>
      <c r="P27" s="97">
        <f>-((BS!X12+BS!X14)-(BS!W12+BS!W14))</f>
        <v>18682.881976573633</v>
      </c>
      <c r="Q27" s="97">
        <f>-((BS!Y12+BS!Y14)-(BS!X12+BS!X14))</f>
        <v>-10028.480621954826</v>
      </c>
      <c r="R27" s="97">
        <f>-((BS!Z12+BS!Z14)-(BS!Y12+BS!Y14))</f>
        <v>3425.5367502689915</v>
      </c>
      <c r="S27" s="97">
        <f>-((BS!AA12+BS!AA14)-(BS!Z12+BS!Z14))</f>
        <v>-18348.163054872683</v>
      </c>
      <c r="T27" s="97">
        <f>-((BS!AB12+BS!AB14)-(BS!AA12+BS!AA14))</f>
        <v>6915.8580179226701</v>
      </c>
      <c r="U27" s="97">
        <f>-((BS!AC12+BS!AC14)-(BS!AB12+BS!AB14))</f>
        <v>-3605.4230177616118</v>
      </c>
      <c r="W27" s="271"/>
      <c r="X27" s="272"/>
      <c r="Y27" s="272"/>
      <c r="Z27" s="272"/>
      <c r="AA27" s="272"/>
      <c r="AB27" s="272"/>
      <c r="AC27" s="272"/>
      <c r="AD27" s="273"/>
      <c r="AE27" s="271"/>
      <c r="AF27" s="272"/>
      <c r="AG27" s="272"/>
      <c r="AH27" s="272"/>
      <c r="AI27" s="272"/>
      <c r="AJ27" s="272"/>
      <c r="AK27" s="272"/>
      <c r="AL27" s="273"/>
    </row>
    <row r="28" spans="1:38" x14ac:dyDescent="0.2">
      <c r="A28" s="86" t="s">
        <v>330</v>
      </c>
      <c r="B28" s="84" t="s">
        <v>254</v>
      </c>
      <c r="C28" s="97"/>
      <c r="D28" s="97">
        <f>BS!L32-BS!K32</f>
        <v>-11139.455056881154</v>
      </c>
      <c r="E28" s="97">
        <f>BS!M32-BS!L32</f>
        <v>12703.912588049134</v>
      </c>
      <c r="F28" s="97">
        <f>BS!N32-BS!M32</f>
        <v>-18073.802820961988</v>
      </c>
      <c r="G28" s="97">
        <f>BS!O32-BS!N32</f>
        <v>-2277.6928894563389</v>
      </c>
      <c r="H28" s="97">
        <f>BS!P32-BS!O32</f>
        <v>-4852.9296867696539</v>
      </c>
      <c r="I28" s="97">
        <f>BS!Q32-BS!P32</f>
        <v>33135.855635512373</v>
      </c>
      <c r="J28" s="97">
        <f>BS!R32-BS!Q32</f>
        <v>-35224.114772686873</v>
      </c>
      <c r="K28" s="97">
        <f>BS!S32-BS!R32</f>
        <v>7861.3039669715072</v>
      </c>
      <c r="L28" s="97">
        <f>BS!T32-BS!S32</f>
        <v>-7448.9890854883924</v>
      </c>
      <c r="M28" s="97">
        <f>BS!U32-BS!T32</f>
        <v>-865.5327043622965</v>
      </c>
      <c r="N28" s="97">
        <f>BS!V32-BS!U32</f>
        <v>-5648.5503930072009</v>
      </c>
      <c r="O28" s="97">
        <f>BS!W32-BS!V32</f>
        <v>3092.7817958511223</v>
      </c>
      <c r="P28" s="97">
        <f>BS!X32-BS!W32</f>
        <v>6213.5502614090656</v>
      </c>
      <c r="Q28" s="97">
        <f>BS!Y32-BS!X32</f>
        <v>24669.446898913076</v>
      </c>
      <c r="R28" s="97">
        <f>BS!Z32-BS!Y32</f>
        <v>-13043.65973374134</v>
      </c>
      <c r="S28" s="97">
        <f>BS!AA32-BS!Z32</f>
        <v>3228.0622237563221</v>
      </c>
      <c r="T28" s="97">
        <f>BS!AB32-BS!AA32</f>
        <v>-1570.9397079982009</v>
      </c>
      <c r="U28" s="97">
        <f>BS!AC32-BS!AB32</f>
        <v>9038.9414932921936</v>
      </c>
      <c r="W28" s="271"/>
      <c r="X28" s="272"/>
      <c r="Y28" s="272"/>
      <c r="Z28" s="272"/>
      <c r="AA28" s="272"/>
      <c r="AB28" s="272"/>
      <c r="AC28" s="272"/>
      <c r="AD28" s="273"/>
      <c r="AE28" s="271"/>
      <c r="AF28" s="272"/>
      <c r="AG28" s="272"/>
      <c r="AH28" s="272"/>
      <c r="AI28" s="272"/>
      <c r="AJ28" s="272"/>
      <c r="AK28" s="272"/>
      <c r="AL28" s="273"/>
    </row>
    <row r="29" spans="1:38" x14ac:dyDescent="0.2">
      <c r="A29" s="88" t="s">
        <v>331</v>
      </c>
      <c r="B29" s="89" t="s">
        <v>254</v>
      </c>
      <c r="C29" s="98"/>
      <c r="D29" s="98">
        <f>(BS!L36+BS!L42)-(BS!K36+BS!K42)</f>
        <v>-23953.385293277053</v>
      </c>
      <c r="E29" s="98">
        <f>(BS!M36+BS!M42)-(BS!L36+BS!L42)</f>
        <v>17876.032959927252</v>
      </c>
      <c r="F29" s="98">
        <f>(BS!N36+BS!N42)-(BS!M36+BS!M42)</f>
        <v>-24421.424971877175</v>
      </c>
      <c r="G29" s="98">
        <f>(BS!O36+BS!O42)-(BS!N36+BS!N42)</f>
        <v>5563.7884545036941</v>
      </c>
      <c r="H29" s="98">
        <f>(BS!P36+BS!P42)-(BS!O36+BS!O42)</f>
        <v>18423.737597715473</v>
      </c>
      <c r="I29" s="98">
        <f>(BS!Q36+BS!Q42)-(BS!P36+BS!P42)</f>
        <v>-6844.7512481020385</v>
      </c>
      <c r="J29" s="98">
        <f>(BS!R36+BS!R42)-(BS!Q36+BS!Q42)</f>
        <v>-15419.111258365185</v>
      </c>
      <c r="K29" s="98">
        <f>(BS!S36+BS!S42)-(BS!R36+BS!R42)</f>
        <v>24407.328729729474</v>
      </c>
      <c r="L29" s="98">
        <f>(BS!T36+BS!T42)-(BS!S36+BS!S42)</f>
        <v>-20058.255039911732</v>
      </c>
      <c r="M29" s="98">
        <f>(BS!U36+BS!U42)-(BS!T36+BS!T42)</f>
        <v>17743.971723492417</v>
      </c>
      <c r="N29" s="98">
        <f>(BS!V36+BS!V42)-(BS!U36+BS!U42)</f>
        <v>-11403.364770714004</v>
      </c>
      <c r="O29" s="98">
        <f>(BS!W36+BS!W42)-(BS!V36+BS!V42)</f>
        <v>3206.8417151228641</v>
      </c>
      <c r="P29" s="98">
        <f>(BS!X36+BS!X42)-(BS!W36+BS!W42)</f>
        <v>3712.2115730154765</v>
      </c>
      <c r="Q29" s="98">
        <f>(BS!Y36+BS!Y42)-(BS!X36+BS!X42)</f>
        <v>27977.643988867479</v>
      </c>
      <c r="R29" s="98">
        <f>(BS!Z36+BS!Z42)-(BS!Y36+BS!Y42)</f>
        <v>-16855.655729026141</v>
      </c>
      <c r="S29" s="98">
        <f>(BS!AA36+BS!AA42)-(BS!Z36+BS!Z42)</f>
        <v>-4639.8081532717042</v>
      </c>
      <c r="T29" s="98">
        <f>(BS!AB36+BS!AB42)-(BS!AA36+BS!AA42)</f>
        <v>15926.283912625091</v>
      </c>
      <c r="U29" s="98">
        <f>(BS!AC36+BS!AC42)-(BS!AB36+BS!AB42)</f>
        <v>-15135.549422579948</v>
      </c>
      <c r="W29" s="271"/>
      <c r="X29" s="272"/>
      <c r="Y29" s="272"/>
      <c r="Z29" s="272"/>
      <c r="AA29" s="272"/>
      <c r="AB29" s="272"/>
      <c r="AC29" s="272"/>
      <c r="AD29" s="273"/>
      <c r="AE29" s="271"/>
      <c r="AF29" s="272"/>
      <c r="AG29" s="272"/>
      <c r="AH29" s="272"/>
      <c r="AI29" s="272"/>
      <c r="AJ29" s="272"/>
      <c r="AK29" s="272"/>
      <c r="AL29" s="273"/>
    </row>
    <row r="30" spans="1:38" x14ac:dyDescent="0.2">
      <c r="A30" s="80" t="s">
        <v>333</v>
      </c>
      <c r="B30" s="81" t="s">
        <v>254</v>
      </c>
      <c r="C30" s="96"/>
      <c r="D30" s="96">
        <f>-(BS!L15-BS!K15)</f>
        <v>49681.695343876519</v>
      </c>
      <c r="E30" s="96">
        <f>-(BS!M15-BS!L15)</f>
        <v>-29481.01261464259</v>
      </c>
      <c r="F30" s="96">
        <f>-(BS!N15-BS!M15)</f>
        <v>35540.499204976542</v>
      </c>
      <c r="G30" s="96">
        <f>-(BS!O15-BS!N15)</f>
        <v>-51109.629413224669</v>
      </c>
      <c r="H30" s="96">
        <f>-(BS!P15-BS!O15)</f>
        <v>-4534.106402941019</v>
      </c>
      <c r="I30" s="96">
        <f>-(BS!Q15-BS!P15)</f>
        <v>-48174.210292638454</v>
      </c>
      <c r="J30" s="96">
        <f>-(BS!R15-BS!Q15)</f>
        <v>101052.61468708102</v>
      </c>
      <c r="K30" s="96">
        <f>-(BS!S15-BS!R15)</f>
        <v>-1446.1227273768745</v>
      </c>
      <c r="L30" s="96">
        <f>-(BS!T15-BS!S15)</f>
        <v>4481.7180355842574</v>
      </c>
      <c r="M30" s="96">
        <f>-(BS!U15-BS!T15)</f>
        <v>-33107.984971141006</v>
      </c>
      <c r="N30" s="96">
        <f>-(BS!V15-BS!U15)</f>
        <v>65547.943215965584</v>
      </c>
      <c r="O30" s="96">
        <f>-(BS!W15-BS!V15)</f>
        <v>-41268.022947340301</v>
      </c>
      <c r="P30" s="96">
        <f>-(BS!X15-BS!W15)</f>
        <v>2364.9653822465043</v>
      </c>
      <c r="Q30" s="96">
        <f>-(BS!Y15-BS!X15)</f>
        <v>-53214.024528413749</v>
      </c>
      <c r="R30" s="96">
        <f>-(BS!Z15-BS!Y15)</f>
        <v>13698.962785181386</v>
      </c>
      <c r="S30" s="96">
        <f>-(BS!AA15-BS!Z15)</f>
        <v>2685.2667705610802</v>
      </c>
      <c r="T30" s="96">
        <f>-(BS!AB15-BS!AA15)</f>
        <v>-32296.206042546895</v>
      </c>
      <c r="U30" s="96">
        <f>-(BS!AC15-BS!AB15)</f>
        <v>10697.162109462544</v>
      </c>
      <c r="W30" s="271"/>
      <c r="X30" s="272"/>
      <c r="Y30" s="272"/>
      <c r="Z30" s="272"/>
      <c r="AA30" s="272"/>
      <c r="AB30" s="272"/>
      <c r="AC30" s="272"/>
      <c r="AD30" s="273"/>
      <c r="AE30" s="271"/>
      <c r="AF30" s="272"/>
      <c r="AG30" s="272"/>
      <c r="AH30" s="272"/>
      <c r="AI30" s="272"/>
      <c r="AJ30" s="272"/>
      <c r="AK30" s="272"/>
      <c r="AL30" s="273"/>
    </row>
    <row r="31" spans="1:38" x14ac:dyDescent="0.2">
      <c r="A31" s="88" t="s">
        <v>334</v>
      </c>
      <c r="B31" s="89" t="s">
        <v>254</v>
      </c>
      <c r="C31" s="98"/>
      <c r="D31" s="98">
        <f>-(PL!L13+PL!L24)</f>
        <v>-14629.147812971341</v>
      </c>
      <c r="E31" s="98">
        <f>-(PL!M13+PL!M24)</f>
        <v>-18307.870898231744</v>
      </c>
      <c r="F31" s="98">
        <f>-(PL!N13+PL!N24)</f>
        <v>-12119.07442977519</v>
      </c>
      <c r="G31" s="98">
        <f>-(PL!O13+PL!O24)</f>
        <v>-13249.204715490068</v>
      </c>
      <c r="H31" s="98">
        <f>-(PL!P13+PL!P24)</f>
        <v>-15233.92150076004</v>
      </c>
      <c r="I31" s="98">
        <f>-(PL!Q13+PL!Q24)</f>
        <v>-27516.360656936897</v>
      </c>
      <c r="J31" s="98">
        <f>-(PL!R13+PL!R24)</f>
        <v>-12404.54865389521</v>
      </c>
      <c r="K31" s="98">
        <f>-(PL!S13+PL!S24)</f>
        <v>-16129.045901962272</v>
      </c>
      <c r="L31" s="98">
        <f>-(PL!T13+PL!T24)</f>
        <v>-12102.028147233385</v>
      </c>
      <c r="M31" s="98">
        <f>-(PL!U13+PL!U24)</f>
        <v>-17171.488990650305</v>
      </c>
      <c r="N31" s="98">
        <f>-(PL!V13+PL!V24)</f>
        <v>-10250.397904628273</v>
      </c>
      <c r="O31" s="98">
        <f>-(PL!W13+PL!W24)</f>
        <v>-14051.256397216333</v>
      </c>
      <c r="P31" s="98">
        <f>-(PL!X13+PL!X24)</f>
        <v>-13817.947797272176</v>
      </c>
      <c r="Q31" s="98">
        <f>-(PL!Y13+PL!Y24)</f>
        <v>-21209.254351817439</v>
      </c>
      <c r="R31" s="98">
        <f>-(PL!Z13+PL!Z24)</f>
        <v>-15444.641387801694</v>
      </c>
      <c r="S31" s="98">
        <f>-(PL!AA13+PL!AA24)</f>
        <v>-16665.078369285573</v>
      </c>
      <c r="T31" s="98">
        <f>-(PL!AB13+PL!AB24)</f>
        <v>-20399.716281835299</v>
      </c>
      <c r="U31" s="98">
        <f>-(PL!AC13+PL!AC24)</f>
        <v>-16420.828509335177</v>
      </c>
      <c r="W31" s="271"/>
      <c r="X31" s="272"/>
      <c r="Y31" s="272"/>
      <c r="Z31" s="272"/>
      <c r="AA31" s="272"/>
      <c r="AB31" s="272"/>
      <c r="AC31" s="272"/>
      <c r="AD31" s="273"/>
      <c r="AE31" s="271"/>
      <c r="AF31" s="272"/>
      <c r="AG31" s="272"/>
      <c r="AH31" s="272"/>
      <c r="AI31" s="272"/>
      <c r="AJ31" s="272"/>
      <c r="AK31" s="272"/>
      <c r="AL31" s="273"/>
    </row>
    <row r="32" spans="1:38" x14ac:dyDescent="0.2">
      <c r="A32" s="80" t="s">
        <v>336</v>
      </c>
      <c r="B32" s="81" t="s">
        <v>254</v>
      </c>
      <c r="C32" s="96"/>
      <c r="D32" s="96">
        <f>(BS!L33+BS!L34+BS!L38+BS!L39+BS!L40)-(BS!K33+BS!K34+BS!K38+BS!K39+BS!K40)</f>
        <v>-46230.629900752741</v>
      </c>
      <c r="E32" s="96">
        <f>(BS!M33+BS!M34+BS!M38+BS!M39+BS!M40)-(BS!L33+BS!L34+BS!L38+BS!L39+BS!L40)</f>
        <v>49479.251667278644</v>
      </c>
      <c r="F32" s="96">
        <f>(BS!N33+BS!N34+BS!N38+BS!N39+BS!N40)-(BS!M33+BS!M34+BS!M38+BS!M39+BS!M40)</f>
        <v>-66268.609846328414</v>
      </c>
      <c r="G32" s="96">
        <f>(BS!O33+BS!O34+BS!O38+BS!O39+BS!O40)-(BS!N33+BS!N34+BS!N38+BS!N39+BS!N40)</f>
        <v>11933.550518517557</v>
      </c>
      <c r="H32" s="96">
        <f>(BS!P33+BS!P34+BS!P38+BS!P39+BS!P40)-(BS!O33+BS!O34+BS!O38+BS!O39+BS!O40)</f>
        <v>-21969.114968827984</v>
      </c>
      <c r="I32" s="96">
        <f>(BS!Q33+BS!Q34+BS!Q38+BS!Q39+BS!Q40)-(BS!P33+BS!P34+BS!P38+BS!P39+BS!P40)</f>
        <v>18746.05039312935</v>
      </c>
      <c r="J32" s="96">
        <f>(BS!R33+BS!R34+BS!R38+BS!R39+BS!R40)-(BS!Q33+BS!Q34+BS!Q38+BS!Q39+BS!Q40)</f>
        <v>-13927.28383915624</v>
      </c>
      <c r="K32" s="96">
        <f>(BS!S33+BS!S34+BS!S38+BS!S39+BS!S40)-(BS!R33+BS!R34+BS!R38+BS!R39+BS!R40)</f>
        <v>-8869.5129567881231</v>
      </c>
      <c r="L32" s="96">
        <f>(BS!T33+BS!T34+BS!T38+BS!T39+BS!T40)-(BS!S33+BS!S34+BS!S38+BS!S39+BS!S40)</f>
        <v>-1897.4214872586017</v>
      </c>
      <c r="M32" s="96">
        <f>(BS!U33+BS!U34+BS!U38+BS!U39+BS!U40)-(BS!T33+BS!T34+BS!T38+BS!T39+BS!T40)</f>
        <v>22792.909876923281</v>
      </c>
      <c r="N32" s="96">
        <f>(BS!V33+BS!V34+BS!V38+BS!V39+BS!V40)-(BS!U33+BS!U34+BS!U38+BS!U39+BS!U40)</f>
        <v>-55775.86989718744</v>
      </c>
      <c r="O32" s="96">
        <f>(BS!W33+BS!W34+BS!W38+BS!W39+BS!W40)-(BS!V33+BS!V34+BS!V38+BS!V39+BS!V40)</f>
        <v>5462.2893697231921</v>
      </c>
      <c r="P32" s="96">
        <f>(BS!X33+BS!X34+BS!X38+BS!X39+BS!X40)-(BS!W33+BS!W34+BS!W38+BS!W39+BS!W40)</f>
        <v>-1214.0808751889272</v>
      </c>
      <c r="Q32" s="96">
        <f>(BS!Y33+BS!Y34+BS!Y38+BS!Y39+BS!Y40)-(BS!X33+BS!X34+BS!X38+BS!X39+BS!X40)</f>
        <v>3545.2897425408883</v>
      </c>
      <c r="R32" s="96">
        <f>(BS!Z33+BS!Z34+BS!Z38+BS!Z39+BS!Z40)-(BS!Y33+BS!Y34+BS!Y38+BS!Y39+BS!Y40)</f>
        <v>11495.143188909162</v>
      </c>
      <c r="S32" s="96">
        <f>(BS!AA33+BS!AA34+BS!AA38+BS!AA39+BS!AA40)-(BS!Z33+BS!Z34+BS!Z38+BS!Z39+BS!Z40)</f>
        <v>-1112.8867075940652</v>
      </c>
      <c r="T32" s="96">
        <f>(BS!AB33+BS!AB34+BS!AB38+BS!AB39+BS!AB40)-(BS!AA33+BS!AA34+BS!AA38+BS!AA39+BS!AA40)</f>
        <v>35914.049788935314</v>
      </c>
      <c r="U32" s="96">
        <f>(BS!AC33+BS!AC34+BS!AC38+BS!AC39+BS!AC40)-(BS!AB33+BS!AB34+BS!AB38+BS!AB39+BS!AB40)</f>
        <v>-8065.8494540048996</v>
      </c>
      <c r="W32" s="271"/>
      <c r="X32" s="272"/>
      <c r="Y32" s="272"/>
      <c r="Z32" s="272"/>
      <c r="AA32" s="272"/>
      <c r="AB32" s="272"/>
      <c r="AC32" s="272"/>
      <c r="AD32" s="273"/>
      <c r="AE32" s="271"/>
      <c r="AF32" s="272"/>
      <c r="AG32" s="272"/>
      <c r="AH32" s="272"/>
      <c r="AI32" s="272"/>
      <c r="AJ32" s="272"/>
      <c r="AK32" s="272"/>
      <c r="AL32" s="273"/>
    </row>
    <row r="33" spans="1:38" x14ac:dyDescent="0.2">
      <c r="A33" s="88" t="s">
        <v>337</v>
      </c>
      <c r="B33" s="89" t="s">
        <v>254</v>
      </c>
      <c r="C33" s="98"/>
      <c r="D33" s="98">
        <f>(BS!L45+BS!L46)-(BS!K45+BS!K46)</f>
        <v>30733.60270469846</v>
      </c>
      <c r="E33" s="98">
        <f>(BS!M45+BS!M46)-(BS!L45+BS!L46)</f>
        <v>-33332.25196157024</v>
      </c>
      <c r="F33" s="98">
        <f>(BS!N45+BS!N46)-(BS!M45+BS!M46)</f>
        <v>18760.621952462498</v>
      </c>
      <c r="G33" s="98">
        <f>(BS!O45+BS!O46)-(BS!N45+BS!N46)</f>
        <v>-29052.629695550975</v>
      </c>
      <c r="H33" s="98">
        <f>(BS!P45+BS!P46)-(BS!O45+BS!O46)</f>
        <v>-972.14057051052077</v>
      </c>
      <c r="I33" s="98">
        <f>(BS!Q45+BS!Q46)-(BS!P45+BS!P46)</f>
        <v>22200.178557051964</v>
      </c>
      <c r="J33" s="98">
        <f>(BS!R45+BS!R46)-(BS!Q45+BS!Q46)</f>
        <v>-26192.527526997739</v>
      </c>
      <c r="K33" s="98">
        <f>(BS!S45+BS!S46)-(BS!R45+BS!R46)</f>
        <v>19002.071575615057</v>
      </c>
      <c r="L33" s="98">
        <f>(BS!T45+BS!T46)-(BS!S45+BS!S46)</f>
        <v>-9724.3099792364483</v>
      </c>
      <c r="M33" s="98">
        <f>(BS!U45+BS!U46)-(BS!T45+BS!T46)</f>
        <v>26917.957113218432</v>
      </c>
      <c r="N33" s="98">
        <f>(BS!V45+BS!V46)-(BS!U45+BS!U46)</f>
        <v>-21827.637565369711</v>
      </c>
      <c r="O33" s="98">
        <f>(BS!W45+BS!W46)-(BS!V45+BS!V46)</f>
        <v>6517.1715423292408</v>
      </c>
      <c r="P33" s="98">
        <f>(BS!X45+BS!X46)-(BS!W45+BS!W46)</f>
        <v>-7934.6656725667417</v>
      </c>
      <c r="Q33" s="98">
        <f>(BS!Y45+BS!Y46)-(BS!X45+BS!X46)</f>
        <v>13377.316176213732</v>
      </c>
      <c r="R33" s="98">
        <f>(BS!Z45+BS!Z46)-(BS!Y45+BS!Y46)</f>
        <v>13701.380154165417</v>
      </c>
      <c r="S33" s="98">
        <f>(BS!AA45+BS!AA46)-(BS!Z45+BS!Z46)</f>
        <v>-20511.216954801159</v>
      </c>
      <c r="T33" s="98">
        <f>(BS!AB45+BS!AB46)-(BS!AA45+BS!AA46)</f>
        <v>-10914.591993925922</v>
      </c>
      <c r="U33" s="98">
        <f>(BS!AC45+BS!AC46)-(BS!AB45+BS!AB46)</f>
        <v>19657.986691031601</v>
      </c>
      <c r="W33" s="271"/>
      <c r="X33" s="272"/>
      <c r="Y33" s="272"/>
      <c r="Z33" s="272"/>
      <c r="AA33" s="272"/>
      <c r="AB33" s="272"/>
      <c r="AC33" s="272"/>
      <c r="AD33" s="273"/>
      <c r="AE33" s="271"/>
      <c r="AF33" s="272"/>
      <c r="AG33" s="272"/>
      <c r="AH33" s="272"/>
      <c r="AI33" s="272"/>
      <c r="AJ33" s="272"/>
      <c r="AK33" s="272"/>
      <c r="AL33" s="273"/>
    </row>
    <row r="34" spans="1:38" x14ac:dyDescent="0.2">
      <c r="A34" s="99" t="s">
        <v>332</v>
      </c>
      <c r="B34" s="79" t="s">
        <v>254</v>
      </c>
      <c r="C34" s="100"/>
      <c r="D34" s="100">
        <f>SUM(D22:D29)</f>
        <v>33427.430979885947</v>
      </c>
      <c r="E34" s="100">
        <f t="shared" ref="E34:K34" si="4">SUM(E22:E29)</f>
        <v>16805.265930052006</v>
      </c>
      <c r="F34" s="100">
        <f t="shared" si="4"/>
        <v>30532.556971695951</v>
      </c>
      <c r="G34" s="100">
        <f t="shared" si="4"/>
        <v>43947.916855093448</v>
      </c>
      <c r="H34" s="100">
        <f t="shared" si="4"/>
        <v>22439.440587186407</v>
      </c>
      <c r="I34" s="100">
        <f t="shared" si="4"/>
        <v>3627.0294752927002</v>
      </c>
      <c r="J34" s="100">
        <f t="shared" si="4"/>
        <v>9962.2079390648651</v>
      </c>
      <c r="K34" s="100">
        <f t="shared" si="4"/>
        <v>48535.45527570312</v>
      </c>
      <c r="L34" s="100">
        <f>SUM(L22:L29)</f>
        <v>31549.043799504878</v>
      </c>
      <c r="M34" s="100">
        <f>SUM(M22:M29)</f>
        <v>33508.131187806423</v>
      </c>
      <c r="N34" s="100">
        <f>SUM(N22:N29)</f>
        <v>38931.101555188434</v>
      </c>
      <c r="O34" s="100">
        <f>SUM(O22:O29)</f>
        <v>31514.485769108</v>
      </c>
      <c r="P34" s="100">
        <f t="shared" ref="P34:Q34" si="5">SUM(P22:P29)</f>
        <v>60498.012281727402</v>
      </c>
      <c r="Q34" s="100">
        <f t="shared" si="5"/>
        <v>75616.201883634087</v>
      </c>
      <c r="R34" s="100">
        <f t="shared" ref="R34:U34" si="6">SUM(R22:R29)</f>
        <v>26261.969449331817</v>
      </c>
      <c r="S34" s="100">
        <f t="shared" ref="S34:T34" si="7">SUM(S22:S29)</f>
        <v>35132.009321732534</v>
      </c>
      <c r="T34" s="100">
        <f t="shared" si="7"/>
        <v>97421.766069564648</v>
      </c>
      <c r="U34" s="100">
        <f t="shared" si="6"/>
        <v>22015.659402117686</v>
      </c>
      <c r="W34" s="271"/>
      <c r="X34" s="272"/>
      <c r="Y34" s="272"/>
      <c r="Z34" s="272"/>
      <c r="AA34" s="272"/>
      <c r="AB34" s="272"/>
      <c r="AC34" s="272"/>
      <c r="AD34" s="273"/>
      <c r="AE34" s="271"/>
      <c r="AF34" s="272"/>
      <c r="AG34" s="272"/>
      <c r="AH34" s="272"/>
      <c r="AI34" s="272"/>
      <c r="AJ34" s="272"/>
      <c r="AK34" s="272"/>
      <c r="AL34" s="273"/>
    </row>
    <row r="35" spans="1:38" x14ac:dyDescent="0.2">
      <c r="A35" s="99" t="s">
        <v>335</v>
      </c>
      <c r="B35" s="79" t="s">
        <v>254</v>
      </c>
      <c r="C35" s="100"/>
      <c r="D35" s="100">
        <f>SUM(D30:D31)</f>
        <v>35052.547530905176</v>
      </c>
      <c r="E35" s="100">
        <f t="shared" ref="E35:K35" si="8">SUM(E30:E31)</f>
        <v>-47788.883512874338</v>
      </c>
      <c r="F35" s="100">
        <f t="shared" si="8"/>
        <v>23421.424775201354</v>
      </c>
      <c r="G35" s="100">
        <f t="shared" si="8"/>
        <v>-64358.834128714734</v>
      </c>
      <c r="H35" s="100">
        <f t="shared" si="8"/>
        <v>-19768.027903701059</v>
      </c>
      <c r="I35" s="100">
        <f t="shared" si="8"/>
        <v>-75690.570949575354</v>
      </c>
      <c r="J35" s="100">
        <f t="shared" si="8"/>
        <v>88648.066033185809</v>
      </c>
      <c r="K35" s="100">
        <f t="shared" si="8"/>
        <v>-17575.168629339147</v>
      </c>
      <c r="L35" s="100">
        <f>SUM(L30:L31)</f>
        <v>-7620.3101116491271</v>
      </c>
      <c r="M35" s="100">
        <f>SUM(M30:M31)</f>
        <v>-50279.473961791315</v>
      </c>
      <c r="N35" s="100">
        <f>SUM(N30:N31)</f>
        <v>55297.545311337308</v>
      </c>
      <c r="O35" s="100">
        <f>SUM(O30:O31)</f>
        <v>-55319.279344556635</v>
      </c>
      <c r="P35" s="100">
        <f t="shared" ref="P35:Q35" si="9">SUM(P30:P31)</f>
        <v>-11452.982415025672</v>
      </c>
      <c r="Q35" s="100">
        <f t="shared" si="9"/>
        <v>-74423.278880231184</v>
      </c>
      <c r="R35" s="100">
        <f t="shared" ref="R35:U35" si="10">SUM(R30:R31)</f>
        <v>-1745.6786026203081</v>
      </c>
      <c r="S35" s="100">
        <f t="shared" ref="S35:T35" si="11">SUM(S30:S31)</f>
        <v>-13979.811598724493</v>
      </c>
      <c r="T35" s="100">
        <f t="shared" si="11"/>
        <v>-52695.922324382191</v>
      </c>
      <c r="U35" s="100">
        <f t="shared" si="10"/>
        <v>-5723.6663998726326</v>
      </c>
      <c r="W35" s="271"/>
      <c r="X35" s="272"/>
      <c r="Y35" s="272"/>
      <c r="Z35" s="272"/>
      <c r="AA35" s="272"/>
      <c r="AB35" s="272"/>
      <c r="AC35" s="272"/>
      <c r="AD35" s="273"/>
      <c r="AE35" s="271"/>
      <c r="AF35" s="272"/>
      <c r="AG35" s="272"/>
      <c r="AH35" s="272"/>
      <c r="AI35" s="272"/>
      <c r="AJ35" s="272"/>
      <c r="AK35" s="272"/>
      <c r="AL35" s="273"/>
    </row>
    <row r="36" spans="1:38" x14ac:dyDescent="0.2">
      <c r="A36" s="99" t="s">
        <v>357</v>
      </c>
      <c r="B36" s="79" t="s">
        <v>254</v>
      </c>
      <c r="C36" s="100"/>
      <c r="D36" s="100">
        <f t="shared" ref="D36:K36" si="12">+D34+D35</f>
        <v>68479.978510791116</v>
      </c>
      <c r="E36" s="100">
        <f t="shared" si="12"/>
        <v>-30983.617582822331</v>
      </c>
      <c r="F36" s="100">
        <f t="shared" si="12"/>
        <v>53953.981746897305</v>
      </c>
      <c r="G36" s="100">
        <f t="shared" si="12"/>
        <v>-20410.917273621286</v>
      </c>
      <c r="H36" s="100">
        <f t="shared" si="12"/>
        <v>2671.4126834853487</v>
      </c>
      <c r="I36" s="100">
        <f t="shared" si="12"/>
        <v>-72063.541474282654</v>
      </c>
      <c r="J36" s="100">
        <f t="shared" si="12"/>
        <v>98610.273972250667</v>
      </c>
      <c r="K36" s="100">
        <f t="shared" si="12"/>
        <v>30960.286646363973</v>
      </c>
      <c r="L36" s="100">
        <f>+L34+L35</f>
        <v>23928.733687855751</v>
      </c>
      <c r="M36" s="100">
        <f>+M34+M35</f>
        <v>-16771.342773984892</v>
      </c>
      <c r="N36" s="100">
        <f>+N34+N35</f>
        <v>94228.646866525742</v>
      </c>
      <c r="O36" s="100">
        <f>+O34+O35</f>
        <v>-23804.793575448635</v>
      </c>
      <c r="P36" s="100">
        <f t="shared" ref="P36:Q36" si="13">+P34+P35</f>
        <v>49045.029866701734</v>
      </c>
      <c r="Q36" s="100">
        <f t="shared" si="13"/>
        <v>1192.9230034029024</v>
      </c>
      <c r="R36" s="100">
        <f t="shared" ref="R36:U36" si="14">+R34+R35</f>
        <v>24516.290846711508</v>
      </c>
      <c r="S36" s="100">
        <f t="shared" ref="S36:T36" si="15">+S34+S35</f>
        <v>21152.197723008041</v>
      </c>
      <c r="T36" s="100">
        <f t="shared" si="15"/>
        <v>44725.843745182457</v>
      </c>
      <c r="U36" s="100">
        <f t="shared" si="14"/>
        <v>16291.993002245054</v>
      </c>
      <c r="W36" s="271"/>
      <c r="X36" s="272"/>
      <c r="Y36" s="272"/>
      <c r="Z36" s="272"/>
      <c r="AA36" s="272"/>
      <c r="AB36" s="272"/>
      <c r="AC36" s="272"/>
      <c r="AD36" s="273"/>
      <c r="AE36" s="271"/>
      <c r="AF36" s="272"/>
      <c r="AG36" s="272"/>
      <c r="AH36" s="272"/>
      <c r="AI36" s="272"/>
      <c r="AJ36" s="272"/>
      <c r="AK36" s="272"/>
      <c r="AL36" s="273"/>
    </row>
    <row r="37" spans="1:38" x14ac:dyDescent="0.2">
      <c r="A37" s="99" t="s">
        <v>338</v>
      </c>
      <c r="B37" s="79" t="s">
        <v>254</v>
      </c>
      <c r="C37" s="100"/>
      <c r="D37" s="100">
        <f>SUM(D32:D33)</f>
        <v>-15497.027196054281</v>
      </c>
      <c r="E37" s="100">
        <f t="shared" ref="E37:K37" si="16">SUM(E32:E33)</f>
        <v>16146.999705708404</v>
      </c>
      <c r="F37" s="100">
        <f t="shared" si="16"/>
        <v>-47507.987893865917</v>
      </c>
      <c r="G37" s="100">
        <f t="shared" si="16"/>
        <v>-17119.079177033418</v>
      </c>
      <c r="H37" s="100">
        <f t="shared" si="16"/>
        <v>-22941.255539338505</v>
      </c>
      <c r="I37" s="100">
        <f t="shared" si="16"/>
        <v>40946.228950181314</v>
      </c>
      <c r="J37" s="100">
        <f t="shared" si="16"/>
        <v>-40119.811366153983</v>
      </c>
      <c r="K37" s="100">
        <f t="shared" si="16"/>
        <v>10132.558618826934</v>
      </c>
      <c r="L37" s="100">
        <f>SUM(L32:L33)</f>
        <v>-11621.73146649505</v>
      </c>
      <c r="M37" s="100">
        <f>SUM(M32:M33)</f>
        <v>49710.866990141716</v>
      </c>
      <c r="N37" s="100">
        <f>SUM(N32:N33)</f>
        <v>-77603.507462557143</v>
      </c>
      <c r="O37" s="100">
        <f>SUM(O32:O33)</f>
        <v>11979.460912052433</v>
      </c>
      <c r="P37" s="100">
        <f t="shared" ref="P37:Q37" si="17">SUM(P32:P33)</f>
        <v>-9148.7465477556689</v>
      </c>
      <c r="Q37" s="100">
        <f t="shared" si="17"/>
        <v>16922.60591875462</v>
      </c>
      <c r="R37" s="100">
        <f t="shared" ref="R37:U37" si="18">SUM(R32:R33)</f>
        <v>25196.523343074579</v>
      </c>
      <c r="S37" s="100">
        <f t="shared" ref="S37:T37" si="19">SUM(S32:S33)</f>
        <v>-21624.103662395224</v>
      </c>
      <c r="T37" s="100">
        <f t="shared" si="19"/>
        <v>24999.457795009392</v>
      </c>
      <c r="U37" s="100">
        <f t="shared" si="18"/>
        <v>11592.137237026702</v>
      </c>
      <c r="W37" s="271"/>
      <c r="X37" s="272"/>
      <c r="Y37" s="272"/>
      <c r="Z37" s="272"/>
      <c r="AA37" s="272"/>
      <c r="AB37" s="272"/>
      <c r="AC37" s="272"/>
      <c r="AD37" s="273"/>
      <c r="AE37" s="271"/>
      <c r="AF37" s="272"/>
      <c r="AG37" s="272"/>
      <c r="AH37" s="272"/>
      <c r="AI37" s="272"/>
      <c r="AJ37" s="272"/>
      <c r="AK37" s="272"/>
      <c r="AL37" s="273"/>
    </row>
    <row r="38" spans="1:38" x14ac:dyDescent="0.2">
      <c r="A38" s="78" t="s">
        <v>339</v>
      </c>
      <c r="B38" s="79" t="s">
        <v>254</v>
      </c>
      <c r="C38" s="100"/>
      <c r="D38" s="100">
        <f>+BS!K10</f>
        <v>83999.648907223687</v>
      </c>
      <c r="E38" s="100">
        <f>+BS!L10</f>
        <v>85014.328808446444</v>
      </c>
      <c r="F38" s="100">
        <f>+BS!M10</f>
        <v>136404.46511815389</v>
      </c>
      <c r="G38" s="100">
        <f>+BS!N10</f>
        <v>78901.552349765334</v>
      </c>
      <c r="H38" s="100">
        <f>+BS!O10</f>
        <v>64285.36268204471</v>
      </c>
      <c r="I38" s="100">
        <f>+BS!P10</f>
        <v>106994.61880451931</v>
      </c>
      <c r="J38" s="100">
        <f>+BS!Q10</f>
        <v>119458.85010413289</v>
      </c>
      <c r="K38" s="100">
        <f>+BS!R10</f>
        <v>83091.756217888309</v>
      </c>
      <c r="L38" s="100">
        <f>+BS!S10</f>
        <v>85549.495789858323</v>
      </c>
      <c r="M38" s="100">
        <f>+BS!T10</f>
        <v>77753.305439934193</v>
      </c>
      <c r="N38" s="100">
        <f>+BS!U10</f>
        <v>64148.835968589512</v>
      </c>
      <c r="O38" s="100">
        <f>+BS!V10</f>
        <v>54027.678654219941</v>
      </c>
      <c r="P38" s="100">
        <f>+BS!W10</f>
        <v>82387.486693305109</v>
      </c>
      <c r="Q38" s="100">
        <f>+BS!X10</f>
        <v>70646.614137468074</v>
      </c>
      <c r="R38" s="100">
        <f>+BS!Y10</f>
        <v>96338.662810464913</v>
      </c>
      <c r="S38" s="100">
        <f>+BS!Z10</f>
        <v>103457.24998342266</v>
      </c>
      <c r="T38" s="100">
        <f>+BS!AA10</f>
        <v>130602.4858499901</v>
      </c>
      <c r="U38" s="100">
        <f>+BS!AB10</f>
        <v>172104.30115944901</v>
      </c>
      <c r="W38" s="274"/>
      <c r="X38" s="275"/>
      <c r="Y38" s="275"/>
      <c r="Z38" s="275"/>
      <c r="AA38" s="275"/>
      <c r="AB38" s="275"/>
      <c r="AC38" s="275"/>
      <c r="AD38" s="276"/>
      <c r="AE38" s="274"/>
      <c r="AF38" s="275"/>
      <c r="AG38" s="275"/>
      <c r="AH38" s="275"/>
      <c r="AI38" s="275"/>
      <c r="AJ38" s="275"/>
      <c r="AK38" s="275"/>
      <c r="AL38" s="276"/>
    </row>
    <row r="39" spans="1:38" x14ac:dyDescent="0.2">
      <c r="A39" s="78" t="s">
        <v>340</v>
      </c>
      <c r="B39" s="79" t="s">
        <v>254</v>
      </c>
      <c r="C39" s="100"/>
      <c r="D39" s="100">
        <f>D41-(D34+D35+D37)</f>
        <v>-51968.271413514078</v>
      </c>
      <c r="E39" s="100">
        <f t="shared" ref="E39:K39" si="20">E41-(E34+E35+E37)</f>
        <v>66226.754186821374</v>
      </c>
      <c r="F39" s="100">
        <f t="shared" si="20"/>
        <v>-63948.906621419948</v>
      </c>
      <c r="G39" s="100">
        <f t="shared" si="20"/>
        <v>22913.80678293408</v>
      </c>
      <c r="H39" s="100">
        <f t="shared" si="20"/>
        <v>62979.098978327762</v>
      </c>
      <c r="I39" s="100">
        <f t="shared" si="20"/>
        <v>43581.543823714914</v>
      </c>
      <c r="J39" s="100">
        <f t="shared" si="20"/>
        <v>-94857.55649234126</v>
      </c>
      <c r="K39" s="100">
        <f t="shared" si="20"/>
        <v>-38635.105693220888</v>
      </c>
      <c r="L39" s="100">
        <f>L41-(L34+L35+L37)</f>
        <v>-20103.192571284832</v>
      </c>
      <c r="M39" s="100">
        <f>M41-(M34+M35+M37)</f>
        <v>-46543.993687501505</v>
      </c>
      <c r="N39" s="100">
        <f>N41-(N34+N35+N37)</f>
        <v>-26746.29671833817</v>
      </c>
      <c r="O39" s="100">
        <f>O41-(O34+O35+O37)</f>
        <v>40185.140702481367</v>
      </c>
      <c r="P39" s="100">
        <f t="shared" ref="P39:Q39" si="21">P41-(P34+P35+P37)</f>
        <v>-51637.1558747831</v>
      </c>
      <c r="Q39" s="100">
        <f t="shared" si="21"/>
        <v>7576.5197508393176</v>
      </c>
      <c r="R39" s="100">
        <f t="shared" ref="R39:U39" si="22">R41-(R34+R35+R37)</f>
        <v>-42594.227016828343</v>
      </c>
      <c r="S39" s="100">
        <f t="shared" ref="S39:T39" si="23">S41-(S34+S35+S37)</f>
        <v>27617.141805954623</v>
      </c>
      <c r="T39" s="100">
        <f t="shared" si="23"/>
        <v>-28223.486230732946</v>
      </c>
      <c r="U39" s="100">
        <f t="shared" si="22"/>
        <v>-64976.258623851631</v>
      </c>
      <c r="W39" s="268"/>
      <c r="X39" s="269"/>
      <c r="Y39" s="269"/>
      <c r="Z39" s="269"/>
      <c r="AA39" s="269"/>
      <c r="AB39" s="269"/>
      <c r="AC39" s="269"/>
      <c r="AD39" s="270"/>
      <c r="AE39" s="268"/>
      <c r="AF39" s="269"/>
      <c r="AG39" s="269"/>
      <c r="AH39" s="269"/>
      <c r="AI39" s="269"/>
      <c r="AJ39" s="269"/>
      <c r="AK39" s="269"/>
      <c r="AL39" s="270"/>
    </row>
    <row r="40" spans="1:38" x14ac:dyDescent="0.2">
      <c r="A40" s="78" t="s">
        <v>341</v>
      </c>
      <c r="B40" s="79" t="s">
        <v>254</v>
      </c>
      <c r="C40" s="100"/>
      <c r="D40" s="100">
        <f>+BS!L10</f>
        <v>85014.328808446444</v>
      </c>
      <c r="E40" s="100">
        <f>+BS!M10</f>
        <v>136404.46511815389</v>
      </c>
      <c r="F40" s="100">
        <f>+BS!N10</f>
        <v>78901.552349765334</v>
      </c>
      <c r="G40" s="100">
        <f>+BS!O10</f>
        <v>64285.36268204471</v>
      </c>
      <c r="H40" s="100">
        <f>+BS!P10</f>
        <v>106994.61880451931</v>
      </c>
      <c r="I40" s="100">
        <f>+BS!Q10</f>
        <v>119458.85010413289</v>
      </c>
      <c r="J40" s="100">
        <f>+BS!R10</f>
        <v>83091.756217888309</v>
      </c>
      <c r="K40" s="100">
        <f>+BS!S10</f>
        <v>85549.495789858323</v>
      </c>
      <c r="L40" s="100">
        <f>+BS!T10</f>
        <v>77753.305439934193</v>
      </c>
      <c r="M40" s="100">
        <f>+BS!U10</f>
        <v>64148.835968589512</v>
      </c>
      <c r="N40" s="100">
        <f>+BS!V10</f>
        <v>54027.678654219941</v>
      </c>
      <c r="O40" s="100">
        <f>+BS!W10</f>
        <v>82387.486693305109</v>
      </c>
      <c r="P40" s="100">
        <f>+BS!X10</f>
        <v>70646.614137468074</v>
      </c>
      <c r="Q40" s="100">
        <f>+BS!Y10</f>
        <v>96338.662810464913</v>
      </c>
      <c r="R40" s="100">
        <f>+BS!Z10</f>
        <v>103457.24998342266</v>
      </c>
      <c r="S40" s="100">
        <f>+BS!AA10</f>
        <v>130602.4858499901</v>
      </c>
      <c r="T40" s="100">
        <f>+BS!AB10</f>
        <v>172104.30115944901</v>
      </c>
      <c r="U40" s="100">
        <f>+BS!AC10</f>
        <v>135012.17277486913</v>
      </c>
      <c r="W40" s="271"/>
      <c r="X40" s="272"/>
      <c r="Y40" s="272"/>
      <c r="Z40" s="272"/>
      <c r="AA40" s="272"/>
      <c r="AB40" s="272"/>
      <c r="AC40" s="272"/>
      <c r="AD40" s="273"/>
      <c r="AE40" s="271"/>
      <c r="AF40" s="272"/>
      <c r="AG40" s="272"/>
      <c r="AH40" s="272"/>
      <c r="AI40" s="272"/>
      <c r="AJ40" s="272"/>
      <c r="AK40" s="272"/>
      <c r="AL40" s="273"/>
    </row>
    <row r="41" spans="1:38" x14ac:dyDescent="0.2">
      <c r="A41" s="78" t="s">
        <v>342</v>
      </c>
      <c r="B41" s="79" t="s">
        <v>254</v>
      </c>
      <c r="C41" s="100"/>
      <c r="D41" s="100">
        <f t="shared" ref="D41:K41" si="24">+D40-D38</f>
        <v>1014.6799012227566</v>
      </c>
      <c r="E41" s="100">
        <f t="shared" si="24"/>
        <v>51390.13630970745</v>
      </c>
      <c r="F41" s="100">
        <f t="shared" si="24"/>
        <v>-57502.91276838856</v>
      </c>
      <c r="G41" s="100">
        <f t="shared" si="24"/>
        <v>-14616.189667720624</v>
      </c>
      <c r="H41" s="100">
        <f t="shared" si="24"/>
        <v>42709.256122474602</v>
      </c>
      <c r="I41" s="100">
        <f t="shared" si="24"/>
        <v>12464.231299613573</v>
      </c>
      <c r="J41" s="100">
        <f t="shared" si="24"/>
        <v>-36367.093886244576</v>
      </c>
      <c r="K41" s="100">
        <f t="shared" si="24"/>
        <v>2457.7395719700144</v>
      </c>
      <c r="L41" s="100">
        <f>+L40-L38</f>
        <v>-7796.1903499241307</v>
      </c>
      <c r="M41" s="100">
        <f>+M40-M38</f>
        <v>-13604.469471344681</v>
      </c>
      <c r="N41" s="100">
        <f>+N40-N38</f>
        <v>-10121.157314369571</v>
      </c>
      <c r="O41" s="100">
        <f>+O40-O38</f>
        <v>28359.808039085168</v>
      </c>
      <c r="P41" s="100">
        <f t="shared" ref="P41:Q41" si="25">+P40-P38</f>
        <v>-11740.872555837035</v>
      </c>
      <c r="Q41" s="100">
        <f t="shared" si="25"/>
        <v>25692.04867299684</v>
      </c>
      <c r="R41" s="100">
        <f t="shared" ref="R41:U41" si="26">+R40-R38</f>
        <v>7118.5871729577484</v>
      </c>
      <c r="S41" s="100">
        <f t="shared" ref="S41:T41" si="27">+S40-S38</f>
        <v>27145.23586656744</v>
      </c>
      <c r="T41" s="100">
        <f t="shared" si="27"/>
        <v>41501.815309458907</v>
      </c>
      <c r="U41" s="100">
        <f t="shared" si="26"/>
        <v>-37092.128384579875</v>
      </c>
      <c r="W41" s="271"/>
      <c r="X41" s="272"/>
      <c r="Y41" s="272"/>
      <c r="Z41" s="272"/>
      <c r="AA41" s="272"/>
      <c r="AB41" s="272"/>
      <c r="AC41" s="272"/>
      <c r="AD41" s="273"/>
      <c r="AE41" s="271"/>
      <c r="AF41" s="272"/>
      <c r="AG41" s="272"/>
      <c r="AH41" s="272"/>
      <c r="AI41" s="272"/>
      <c r="AJ41" s="272"/>
      <c r="AK41" s="272"/>
      <c r="AL41" s="273"/>
    </row>
    <row r="42" spans="1:38"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W42" s="271"/>
      <c r="X42" s="272"/>
      <c r="Y42" s="272"/>
      <c r="Z42" s="272"/>
      <c r="AA42" s="272"/>
      <c r="AB42" s="272"/>
      <c r="AC42" s="272"/>
      <c r="AD42" s="273"/>
      <c r="AE42" s="271"/>
      <c r="AF42" s="272"/>
      <c r="AG42" s="272"/>
      <c r="AH42" s="272"/>
      <c r="AI42" s="272"/>
      <c r="AJ42" s="272"/>
      <c r="AK42" s="272"/>
      <c r="AL42" s="273"/>
    </row>
    <row r="43" spans="1:38" x14ac:dyDescent="0.2">
      <c r="A43" s="78" t="s">
        <v>343</v>
      </c>
      <c r="B43" s="79" t="s">
        <v>352</v>
      </c>
      <c r="C43" s="101">
        <f t="shared" ref="C43:K43" si="28">+C12/C20*100</f>
        <v>1.5131019148654958</v>
      </c>
      <c r="D43" s="101">
        <f>+D12/D20*100</f>
        <v>0.84173370344225118</v>
      </c>
      <c r="E43" s="101">
        <f t="shared" si="28"/>
        <v>0.33487260309778655</v>
      </c>
      <c r="F43" s="101">
        <f t="shared" si="28"/>
        <v>-0.19295798343776266</v>
      </c>
      <c r="G43" s="101">
        <f t="shared" si="28"/>
        <v>0.54510035154512471</v>
      </c>
      <c r="H43" s="101">
        <f t="shared" si="28"/>
        <v>-0.15134133178995909</v>
      </c>
      <c r="I43" s="101">
        <f t="shared" si="28"/>
        <v>-0.2450365039696368</v>
      </c>
      <c r="J43" s="101">
        <f t="shared" si="28"/>
        <v>0.25363334780869912</v>
      </c>
      <c r="K43" s="101">
        <f t="shared" si="28"/>
        <v>-1.0261527604437048</v>
      </c>
      <c r="L43" s="101">
        <f>+L12/L20*100</f>
        <v>2.0660345132545466</v>
      </c>
      <c r="M43" s="101">
        <f>+M12/M20*100</f>
        <v>2.2762632292331912</v>
      </c>
      <c r="N43" s="101">
        <f>+N12/N20*100</f>
        <v>2.6453627281498417</v>
      </c>
      <c r="O43" s="101">
        <f>+O12/O20*100</f>
        <v>1.9294153340137719</v>
      </c>
      <c r="P43" s="101">
        <f t="shared" ref="P43:Q43" si="29">+P12/P20*100</f>
        <v>3.4051741180595276</v>
      </c>
      <c r="Q43" s="101">
        <f t="shared" si="29"/>
        <v>4.8581166457093676</v>
      </c>
      <c r="R43" s="101">
        <f t="shared" ref="R43:U43" si="30">+R12/R20*100</f>
        <v>2.8413512096547144</v>
      </c>
      <c r="S43" s="101">
        <f t="shared" ref="S43:T43" si="31">+S12/S20*100</f>
        <v>3.7202852278174992</v>
      </c>
      <c r="T43" s="101">
        <f t="shared" si="31"/>
        <v>2.8886629258706344</v>
      </c>
      <c r="U43" s="101">
        <f t="shared" si="30"/>
        <v>2.9381535441113638</v>
      </c>
      <c r="W43" s="271"/>
      <c r="X43" s="272"/>
      <c r="Y43" s="272"/>
      <c r="Z43" s="272"/>
      <c r="AA43" s="272"/>
      <c r="AB43" s="272"/>
      <c r="AC43" s="272"/>
      <c r="AD43" s="273"/>
      <c r="AE43" s="271"/>
      <c r="AF43" s="272"/>
      <c r="AG43" s="272"/>
      <c r="AH43" s="272"/>
      <c r="AI43" s="272"/>
      <c r="AJ43" s="272"/>
      <c r="AK43" s="272"/>
      <c r="AL43" s="273"/>
    </row>
    <row r="44" spans="1:38" x14ac:dyDescent="0.2">
      <c r="A44" s="78" t="s">
        <v>315</v>
      </c>
      <c r="B44" s="79" t="s">
        <v>353</v>
      </c>
      <c r="C44" s="102">
        <f t="shared" ref="C44:K44" si="32">+C19/C20*100</f>
        <v>28.034451875863038</v>
      </c>
      <c r="D44" s="102">
        <f>+D19/D20*100</f>
        <v>32.937108589229055</v>
      </c>
      <c r="E44" s="102">
        <f t="shared" si="32"/>
        <v>34.037295763192134</v>
      </c>
      <c r="F44" s="102">
        <f t="shared" si="32"/>
        <v>37.196873744782764</v>
      </c>
      <c r="G44" s="102">
        <f t="shared" si="32"/>
        <v>36.584091041960193</v>
      </c>
      <c r="H44" s="102">
        <f t="shared" si="32"/>
        <v>45.358270983866625</v>
      </c>
      <c r="I44" s="102">
        <f t="shared" si="32"/>
        <v>48.146788765395591</v>
      </c>
      <c r="J44" s="102">
        <f t="shared" si="32"/>
        <v>42.107045907709164</v>
      </c>
      <c r="K44" s="102">
        <f t="shared" si="32"/>
        <v>39.411593574204637</v>
      </c>
      <c r="L44" s="102">
        <f>+L19/L20*100</f>
        <v>40.128396018738734</v>
      </c>
      <c r="M44" s="102">
        <f>+M19/M20*100</f>
        <v>37.521905985130417</v>
      </c>
      <c r="N44" s="102">
        <f>+N19/N20*100</f>
        <v>40.805017273425328</v>
      </c>
      <c r="O44" s="102">
        <f>+O19/O20*100</f>
        <v>48.138414735365551</v>
      </c>
      <c r="P44" s="102">
        <f t="shared" ref="P44:Q44" si="33">+P19/P20*100</f>
        <v>43.313314027172531</v>
      </c>
      <c r="Q44" s="102">
        <f t="shared" si="33"/>
        <v>44.802624785964959</v>
      </c>
      <c r="R44" s="102">
        <f t="shared" ref="R44:U44" si="34">+R19/R20*100</f>
        <v>48.002038546385606</v>
      </c>
      <c r="S44" s="102">
        <f t="shared" ref="S44:T44" si="35">+S19/S20*100</f>
        <v>52.584668442249693</v>
      </c>
      <c r="T44" s="102">
        <f t="shared" si="35"/>
        <v>48.602102210952957</v>
      </c>
      <c r="U44" s="102">
        <f t="shared" si="34"/>
        <v>49.090454617539137</v>
      </c>
      <c r="W44" s="271"/>
      <c r="X44" s="272"/>
      <c r="Y44" s="272"/>
      <c r="Z44" s="272"/>
      <c r="AA44" s="272"/>
      <c r="AB44" s="272"/>
      <c r="AC44" s="272"/>
      <c r="AD44" s="273"/>
      <c r="AE44" s="271"/>
      <c r="AF44" s="272"/>
      <c r="AG44" s="272"/>
      <c r="AH44" s="272"/>
      <c r="AI44" s="272"/>
      <c r="AJ44" s="272"/>
      <c r="AK44" s="272"/>
      <c r="AL44" s="273"/>
    </row>
    <row r="45" spans="1:38" x14ac:dyDescent="0.2">
      <c r="A45" s="78" t="s">
        <v>316</v>
      </c>
      <c r="B45" s="79" t="s">
        <v>353</v>
      </c>
      <c r="C45" s="102">
        <f t="shared" ref="C45:K45" si="36">+C12/C19*100</f>
        <v>5.3972944488643231</v>
      </c>
      <c r="D45" s="102">
        <f>+D12/D19*100</f>
        <v>2.5555786148074673</v>
      </c>
      <c r="E45" s="102">
        <f t="shared" si="36"/>
        <v>0.98384021288764401</v>
      </c>
      <c r="F45" s="102">
        <f t="shared" si="36"/>
        <v>-0.51874785166542914</v>
      </c>
      <c r="G45" s="102">
        <f t="shared" si="36"/>
        <v>1.4899928794729951</v>
      </c>
      <c r="H45" s="102">
        <f t="shared" si="36"/>
        <v>-0.33365762959480827</v>
      </c>
      <c r="I45" s="102">
        <f t="shared" si="36"/>
        <v>-0.50893633875277511</v>
      </c>
      <c r="J45" s="102">
        <f t="shared" si="36"/>
        <v>0.60235369720454013</v>
      </c>
      <c r="K45" s="102">
        <f t="shared" si="36"/>
        <v>-2.6036824887875993</v>
      </c>
      <c r="L45" s="102">
        <f>+L12/L19*100</f>
        <v>5.148559918242861</v>
      </c>
      <c r="M45" s="102">
        <f>+M12/M19*100</f>
        <v>6.06649147869848</v>
      </c>
      <c r="N45" s="102">
        <f>+N12/N19*100</f>
        <v>6.4829349548460078</v>
      </c>
      <c r="O45" s="102">
        <f>+O12/O19*100</f>
        <v>4.008057483031946</v>
      </c>
      <c r="P45" s="102">
        <f t="shared" ref="P45:Q45" si="37">+P12/P19*100</f>
        <v>7.8617261101824205</v>
      </c>
      <c r="Q45" s="102">
        <f t="shared" si="37"/>
        <v>10.84337506768407</v>
      </c>
      <c r="R45" s="102">
        <f t="shared" ref="R45:U45" si="38">+R12/R19*100</f>
        <v>5.9192302987487571</v>
      </c>
      <c r="S45" s="102">
        <f t="shared" ref="S45:T45" si="39">+S12/S19*100</f>
        <v>7.0748477417961571</v>
      </c>
      <c r="T45" s="102">
        <f t="shared" si="39"/>
        <v>5.9434937882576735</v>
      </c>
      <c r="U45" s="102">
        <f t="shared" si="38"/>
        <v>5.9851829994290053</v>
      </c>
      <c r="W45" s="271"/>
      <c r="X45" s="272"/>
      <c r="Y45" s="272"/>
      <c r="Z45" s="272"/>
      <c r="AA45" s="272"/>
      <c r="AB45" s="272"/>
      <c r="AC45" s="272"/>
      <c r="AD45" s="273"/>
      <c r="AE45" s="271"/>
      <c r="AF45" s="272"/>
      <c r="AG45" s="272"/>
      <c r="AH45" s="272"/>
      <c r="AI45" s="272"/>
      <c r="AJ45" s="272"/>
      <c r="AK45" s="272"/>
      <c r="AL45" s="273"/>
    </row>
    <row r="46" spans="1:38" x14ac:dyDescent="0.2">
      <c r="A46" s="78" t="s">
        <v>349</v>
      </c>
      <c r="B46" s="79" t="s">
        <v>354</v>
      </c>
      <c r="C46" s="101">
        <f t="shared" ref="C46:K46" si="40">+C18/C20*100</f>
        <v>44.571135015358244</v>
      </c>
      <c r="D46" s="101">
        <f>+D18/D20*100</f>
        <v>42.451937438242311</v>
      </c>
      <c r="E46" s="101">
        <f t="shared" si="40"/>
        <v>41.548627103623204</v>
      </c>
      <c r="F46" s="101">
        <f t="shared" si="40"/>
        <v>40.07232735919866</v>
      </c>
      <c r="G46" s="101">
        <f t="shared" si="40"/>
        <v>40.951095759937829</v>
      </c>
      <c r="H46" s="101">
        <f t="shared" si="40"/>
        <v>32.062500186131317</v>
      </c>
      <c r="I46" s="101">
        <f t="shared" si="40"/>
        <v>28.969877090154107</v>
      </c>
      <c r="J46" s="101">
        <f t="shared" si="40"/>
        <v>37.413011045479436</v>
      </c>
      <c r="K46" s="101">
        <f t="shared" si="40"/>
        <v>34.118543353817735</v>
      </c>
      <c r="L46" s="101">
        <f>+L18/L20*100</f>
        <v>36.918260375345746</v>
      </c>
      <c r="M46" s="101">
        <f>+M18/M20*100</f>
        <v>38.354122407808603</v>
      </c>
      <c r="N46" s="101">
        <f>+N18/N20*100</f>
        <v>33.431313108703748</v>
      </c>
      <c r="O46" s="101">
        <f>+O18/O20*100</f>
        <v>28.995055162806842</v>
      </c>
      <c r="P46" s="101">
        <f t="shared" ref="P46:Q46" si="41">+P18/P20*100</f>
        <v>30.172666495336486</v>
      </c>
      <c r="Q46" s="101">
        <f t="shared" si="41"/>
        <v>24.183936031244162</v>
      </c>
      <c r="R46" s="101">
        <f t="shared" ref="R46:U46" si="42">+R18/R20*100</f>
        <v>26.912133715655745</v>
      </c>
      <c r="S46" s="101">
        <f t="shared" ref="S46:T46" si="43">+S18/S20*100</f>
        <v>24.573439232789003</v>
      </c>
      <c r="T46" s="101">
        <f t="shared" si="43"/>
        <v>28.183416859084577</v>
      </c>
      <c r="U46" s="101">
        <f t="shared" si="42"/>
        <v>27.866941644591581</v>
      </c>
      <c r="W46" s="271"/>
      <c r="X46" s="272"/>
      <c r="Y46" s="272"/>
      <c r="Z46" s="272"/>
      <c r="AA46" s="272"/>
      <c r="AB46" s="272"/>
      <c r="AC46" s="272"/>
      <c r="AD46" s="273"/>
      <c r="AE46" s="271"/>
      <c r="AF46" s="272"/>
      <c r="AG46" s="272"/>
      <c r="AH46" s="272"/>
      <c r="AI46" s="272"/>
      <c r="AJ46" s="272"/>
      <c r="AK46" s="272"/>
      <c r="AL46" s="273"/>
    </row>
    <row r="47" spans="1:38" x14ac:dyDescent="0.2">
      <c r="A47" s="78" t="s">
        <v>350</v>
      </c>
      <c r="B47" s="79" t="s">
        <v>254</v>
      </c>
      <c r="C47" s="100">
        <f t="shared" ref="C47:K47" si="44">+C5/C13</f>
        <v>22324.436042925827</v>
      </c>
      <c r="D47" s="100">
        <f>+D5/D13</f>
        <v>22201.344265790522</v>
      </c>
      <c r="E47" s="100">
        <f t="shared" si="44"/>
        <v>20673.303125695289</v>
      </c>
      <c r="F47" s="100">
        <f t="shared" si="44"/>
        <v>17498.622533931128</v>
      </c>
      <c r="G47" s="100">
        <f t="shared" si="44"/>
        <v>22009.745296558289</v>
      </c>
      <c r="H47" s="100">
        <f t="shared" si="44"/>
        <v>23125.453858909561</v>
      </c>
      <c r="I47" s="100">
        <f t="shared" si="44"/>
        <v>25022.7644848294</v>
      </c>
      <c r="J47" s="100">
        <f t="shared" si="44"/>
        <v>19175.642123498961</v>
      </c>
      <c r="K47" s="100">
        <f t="shared" si="44"/>
        <v>20812.598250798255</v>
      </c>
      <c r="L47" s="100">
        <f>+L5/L13</f>
        <v>20099.963332515981</v>
      </c>
      <c r="M47" s="100">
        <f>+M5/M13</f>
        <v>23231.277787026942</v>
      </c>
      <c r="N47" s="100">
        <f>+N5/N13</f>
        <v>22813.28010636209</v>
      </c>
      <c r="O47" s="100">
        <f>+O5/O13</f>
        <v>21586.248916090448</v>
      </c>
      <c r="P47" s="100">
        <f t="shared" ref="P47:Q47" si="45">+P5/P13</f>
        <v>21737.842606863589</v>
      </c>
      <c r="Q47" s="100">
        <f t="shared" si="45"/>
        <v>23976.843960369242</v>
      </c>
      <c r="R47" s="100">
        <f t="shared" ref="R47:U47" si="46">+R5/R13</f>
        <v>20922.614147680928</v>
      </c>
      <c r="S47" s="100">
        <f t="shared" ref="S47:T47" si="47">+S5/S13</f>
        <v>23898.261635295974</v>
      </c>
      <c r="T47" s="100">
        <f t="shared" si="47"/>
        <v>24630.645776470486</v>
      </c>
      <c r="U47" s="100">
        <f t="shared" si="46"/>
        <v>23585.912371768478</v>
      </c>
      <c r="W47" s="271"/>
      <c r="X47" s="272"/>
      <c r="Y47" s="272"/>
      <c r="Z47" s="272"/>
      <c r="AA47" s="272"/>
      <c r="AB47" s="272"/>
      <c r="AC47" s="272"/>
      <c r="AD47" s="273"/>
      <c r="AE47" s="271"/>
      <c r="AF47" s="272"/>
      <c r="AG47" s="272"/>
      <c r="AH47" s="272"/>
      <c r="AI47" s="272"/>
      <c r="AJ47" s="272"/>
      <c r="AK47" s="272"/>
      <c r="AL47" s="273"/>
    </row>
    <row r="48" spans="1:38" x14ac:dyDescent="0.2">
      <c r="A48" s="78" t="s">
        <v>185</v>
      </c>
      <c r="B48" s="79" t="s">
        <v>254</v>
      </c>
      <c r="C48" s="100">
        <f>+PL!K47</f>
        <v>224396.66198542947</v>
      </c>
      <c r="D48" s="100">
        <f>+PL!L47</f>
        <v>211369.90950226251</v>
      </c>
      <c r="E48" s="100">
        <f>+PL!M47</f>
        <v>244619.69863568561</v>
      </c>
      <c r="F48" s="100">
        <f>+PL!N47</f>
        <v>193926.6665637863</v>
      </c>
      <c r="G48" s="100">
        <f>+PL!O47</f>
        <v>202804.53931107355</v>
      </c>
      <c r="H48" s="100">
        <f>+PL!P47</f>
        <v>216396.97473553149</v>
      </c>
      <c r="I48" s="100">
        <f>+PL!Q47</f>
        <v>285817.94829160115</v>
      </c>
      <c r="J48" s="100">
        <f>+PL!R47</f>
        <v>191335.98833071918</v>
      </c>
      <c r="K48" s="100">
        <f>+PL!S47</f>
        <v>231838.38289248871</v>
      </c>
      <c r="L48" s="100">
        <f>+PL!T47</f>
        <v>208950.64928251438</v>
      </c>
      <c r="M48" s="100">
        <f>+PL!U47</f>
        <v>259603.63816678704</v>
      </c>
      <c r="N48" s="100">
        <f>+PL!V47</f>
        <v>207166.69580950239</v>
      </c>
      <c r="O48" s="100">
        <f>+PL!W47</f>
        <v>206233.36761666383</v>
      </c>
      <c r="P48" s="100">
        <f>+PL!X47</f>
        <v>214464.3769896006</v>
      </c>
      <c r="Q48" s="100">
        <f>+PL!Y47</f>
        <v>312210.05679297459</v>
      </c>
      <c r="R48" s="100">
        <f>+PL!Z47</f>
        <v>279466.82070161914</v>
      </c>
      <c r="S48" s="100">
        <f>+PL!AA47</f>
        <v>283258.04076786072</v>
      </c>
      <c r="T48" s="100">
        <f>+PL!AB47</f>
        <v>303141.09235952829</v>
      </c>
      <c r="U48" s="100">
        <f>+PL!AC47</f>
        <v>296689.96888274222</v>
      </c>
      <c r="W48" s="271"/>
      <c r="X48" s="272"/>
      <c r="Y48" s="272"/>
      <c r="Z48" s="272"/>
      <c r="AA48" s="272"/>
      <c r="AB48" s="272"/>
      <c r="AC48" s="272"/>
      <c r="AD48" s="273"/>
      <c r="AE48" s="271"/>
      <c r="AF48" s="272"/>
      <c r="AG48" s="272"/>
      <c r="AH48" s="272"/>
      <c r="AI48" s="272"/>
      <c r="AJ48" s="272"/>
      <c r="AK48" s="272"/>
      <c r="AL48" s="273"/>
    </row>
    <row r="49" spans="1:38" x14ac:dyDescent="0.2">
      <c r="A49" s="78" t="s">
        <v>351</v>
      </c>
      <c r="B49" s="79" t="s">
        <v>355</v>
      </c>
      <c r="C49" s="103">
        <f t="shared" ref="C49:K49" si="48">+C7/C48*100</f>
        <v>44.041568704451223</v>
      </c>
      <c r="D49" s="103">
        <f t="shared" si="48"/>
        <v>40.708684103019685</v>
      </c>
      <c r="E49" s="103">
        <f t="shared" si="48"/>
        <v>42.962968723702076</v>
      </c>
      <c r="F49" s="103">
        <f t="shared" si="48"/>
        <v>45.448502564833134</v>
      </c>
      <c r="G49" s="103">
        <f t="shared" si="48"/>
        <v>41.646720108658968</v>
      </c>
      <c r="H49" s="103">
        <f t="shared" si="48"/>
        <v>39.743715680176429</v>
      </c>
      <c r="I49" s="103">
        <f t="shared" si="48"/>
        <v>38.402989534890089</v>
      </c>
      <c r="J49" s="103">
        <f t="shared" si="48"/>
        <v>40.55745759082366</v>
      </c>
      <c r="K49" s="103">
        <f t="shared" si="48"/>
        <v>46.479397778206611</v>
      </c>
      <c r="L49" s="103">
        <f>+L7/L48*100</f>
        <v>39.15104852903039</v>
      </c>
      <c r="M49" s="103">
        <f>+M7/M48*100</f>
        <v>30.753688842174547</v>
      </c>
      <c r="N49" s="103">
        <f>+N7/N48*100</f>
        <v>34.216285588370596</v>
      </c>
      <c r="O49" s="103">
        <f>+O7/O48*100</f>
        <v>36.337204061230658</v>
      </c>
      <c r="P49" s="103">
        <f t="shared" ref="P49:Q49" si="49">+P7/P48*100</f>
        <v>38.634528894877718</v>
      </c>
      <c r="Q49" s="103">
        <f t="shared" si="49"/>
        <v>38.977293464958343</v>
      </c>
      <c r="R49" s="103">
        <f t="shared" ref="R49:U49" si="50">+R7/R48*100</f>
        <v>36.068354711730976</v>
      </c>
      <c r="S49" s="103">
        <f t="shared" ref="S49:T49" si="51">+S7/S48*100</f>
        <v>33.544048762062154</v>
      </c>
      <c r="T49" s="103">
        <f t="shared" si="51"/>
        <v>33.756892242909508</v>
      </c>
      <c r="U49" s="103">
        <f t="shared" si="50"/>
        <v>36.456933749041681</v>
      </c>
      <c r="W49" s="271"/>
      <c r="X49" s="272"/>
      <c r="Y49" s="272"/>
      <c r="Z49" s="272"/>
      <c r="AA49" s="272"/>
      <c r="AB49" s="272"/>
      <c r="AC49" s="272"/>
      <c r="AD49" s="273"/>
      <c r="AE49" s="271"/>
      <c r="AF49" s="272"/>
      <c r="AG49" s="272"/>
      <c r="AH49" s="272"/>
      <c r="AI49" s="272"/>
      <c r="AJ49" s="272"/>
      <c r="AK49" s="272"/>
      <c r="AL49" s="273"/>
    </row>
    <row r="50" spans="1:38" ht="12.6" thickBot="1" x14ac:dyDescent="0.25">
      <c r="A50" s="76" t="s">
        <v>356</v>
      </c>
      <c r="W50" s="271"/>
      <c r="X50" s="272"/>
      <c r="Y50" s="272"/>
      <c r="Z50" s="272"/>
      <c r="AA50" s="272"/>
      <c r="AB50" s="272"/>
      <c r="AC50" s="272"/>
      <c r="AD50" s="273"/>
      <c r="AE50" s="271"/>
      <c r="AF50" s="272"/>
      <c r="AG50" s="272"/>
      <c r="AH50" s="272"/>
      <c r="AI50" s="272"/>
      <c r="AJ50" s="272"/>
      <c r="AK50" s="272"/>
      <c r="AL50" s="273"/>
    </row>
    <row r="51" spans="1:38" x14ac:dyDescent="0.2">
      <c r="A51" s="277"/>
      <c r="B51" s="278"/>
      <c r="C51" s="278"/>
      <c r="D51" s="278"/>
      <c r="E51" s="278"/>
      <c r="F51" s="278"/>
      <c r="G51" s="278"/>
      <c r="H51" s="278"/>
      <c r="I51" s="278"/>
      <c r="J51" s="278"/>
      <c r="K51" s="278"/>
      <c r="L51" s="278"/>
      <c r="M51" s="278"/>
      <c r="N51" s="278"/>
      <c r="O51" s="278"/>
      <c r="P51" s="278"/>
      <c r="Q51" s="278"/>
      <c r="R51" s="278"/>
      <c r="S51" s="278"/>
      <c r="T51" s="278"/>
      <c r="U51" s="279"/>
      <c r="W51" s="271"/>
      <c r="X51" s="272"/>
      <c r="Y51" s="272"/>
      <c r="Z51" s="272"/>
      <c r="AA51" s="272"/>
      <c r="AB51" s="272"/>
      <c r="AC51" s="272"/>
      <c r="AD51" s="273"/>
      <c r="AE51" s="271"/>
      <c r="AF51" s="272"/>
      <c r="AG51" s="272"/>
      <c r="AH51" s="272"/>
      <c r="AI51" s="272"/>
      <c r="AJ51" s="272"/>
      <c r="AK51" s="272"/>
      <c r="AL51" s="273"/>
    </row>
    <row r="52" spans="1:38" x14ac:dyDescent="0.2">
      <c r="A52" s="280"/>
      <c r="B52" s="281"/>
      <c r="C52" s="281"/>
      <c r="D52" s="281"/>
      <c r="E52" s="281"/>
      <c r="F52" s="281"/>
      <c r="G52" s="281"/>
      <c r="H52" s="281"/>
      <c r="I52" s="281"/>
      <c r="J52" s="281"/>
      <c r="K52" s="281"/>
      <c r="L52" s="281"/>
      <c r="M52" s="281"/>
      <c r="N52" s="281"/>
      <c r="O52" s="281"/>
      <c r="P52" s="281"/>
      <c r="Q52" s="281"/>
      <c r="R52" s="281"/>
      <c r="S52" s="281"/>
      <c r="T52" s="281"/>
      <c r="U52" s="282"/>
      <c r="W52" s="271"/>
      <c r="X52" s="272"/>
      <c r="Y52" s="272"/>
      <c r="Z52" s="272"/>
      <c r="AA52" s="272"/>
      <c r="AB52" s="272"/>
      <c r="AC52" s="272"/>
      <c r="AD52" s="273"/>
      <c r="AE52" s="271"/>
      <c r="AF52" s="272"/>
      <c r="AG52" s="272"/>
      <c r="AH52" s="272"/>
      <c r="AI52" s="272"/>
      <c r="AJ52" s="272"/>
      <c r="AK52" s="272"/>
      <c r="AL52" s="273"/>
    </row>
    <row r="53" spans="1:38" x14ac:dyDescent="0.2">
      <c r="A53" s="280"/>
      <c r="B53" s="281"/>
      <c r="C53" s="281"/>
      <c r="D53" s="281"/>
      <c r="E53" s="281"/>
      <c r="F53" s="281"/>
      <c r="G53" s="281"/>
      <c r="H53" s="281"/>
      <c r="I53" s="281"/>
      <c r="J53" s="281"/>
      <c r="K53" s="281"/>
      <c r="L53" s="281"/>
      <c r="M53" s="281"/>
      <c r="N53" s="281"/>
      <c r="O53" s="281"/>
      <c r="P53" s="281"/>
      <c r="Q53" s="281"/>
      <c r="R53" s="281"/>
      <c r="S53" s="281"/>
      <c r="T53" s="281"/>
      <c r="U53" s="282"/>
      <c r="W53" s="271"/>
      <c r="X53" s="272"/>
      <c r="Y53" s="272"/>
      <c r="Z53" s="272"/>
      <c r="AA53" s="272"/>
      <c r="AB53" s="272"/>
      <c r="AC53" s="272"/>
      <c r="AD53" s="273"/>
      <c r="AE53" s="271"/>
      <c r="AF53" s="272"/>
      <c r="AG53" s="272"/>
      <c r="AH53" s="272"/>
      <c r="AI53" s="272"/>
      <c r="AJ53" s="272"/>
      <c r="AK53" s="272"/>
      <c r="AL53" s="273"/>
    </row>
    <row r="54" spans="1:38" x14ac:dyDescent="0.2">
      <c r="A54" s="280"/>
      <c r="B54" s="281"/>
      <c r="C54" s="281"/>
      <c r="D54" s="281"/>
      <c r="E54" s="281"/>
      <c r="F54" s="281"/>
      <c r="G54" s="281"/>
      <c r="H54" s="281"/>
      <c r="I54" s="281"/>
      <c r="J54" s="281"/>
      <c r="K54" s="281"/>
      <c r="L54" s="281"/>
      <c r="M54" s="281"/>
      <c r="N54" s="281"/>
      <c r="O54" s="281"/>
      <c r="P54" s="281"/>
      <c r="Q54" s="281"/>
      <c r="R54" s="281"/>
      <c r="S54" s="281"/>
      <c r="T54" s="281"/>
      <c r="U54" s="282"/>
      <c r="W54" s="271"/>
      <c r="X54" s="272"/>
      <c r="Y54" s="272"/>
      <c r="Z54" s="272"/>
      <c r="AA54" s="272"/>
      <c r="AB54" s="272"/>
      <c r="AC54" s="272"/>
      <c r="AD54" s="273"/>
      <c r="AE54" s="271"/>
      <c r="AF54" s="272"/>
      <c r="AG54" s="272"/>
      <c r="AH54" s="272"/>
      <c r="AI54" s="272"/>
      <c r="AJ54" s="272"/>
      <c r="AK54" s="272"/>
      <c r="AL54" s="273"/>
    </row>
    <row r="55" spans="1:38" x14ac:dyDescent="0.2">
      <c r="A55" s="280"/>
      <c r="B55" s="281"/>
      <c r="C55" s="281"/>
      <c r="D55" s="281"/>
      <c r="E55" s="281"/>
      <c r="F55" s="281"/>
      <c r="G55" s="281"/>
      <c r="H55" s="281"/>
      <c r="I55" s="281"/>
      <c r="J55" s="281"/>
      <c r="K55" s="281"/>
      <c r="L55" s="281"/>
      <c r="M55" s="281"/>
      <c r="N55" s="281"/>
      <c r="O55" s="281"/>
      <c r="P55" s="281"/>
      <c r="Q55" s="281"/>
      <c r="R55" s="281"/>
      <c r="S55" s="281"/>
      <c r="T55" s="281"/>
      <c r="U55" s="282"/>
      <c r="W55" s="271"/>
      <c r="X55" s="272"/>
      <c r="Y55" s="272"/>
      <c r="Z55" s="272"/>
      <c r="AA55" s="272"/>
      <c r="AB55" s="272"/>
      <c r="AC55" s="272"/>
      <c r="AD55" s="273"/>
      <c r="AE55" s="271"/>
      <c r="AF55" s="272"/>
      <c r="AG55" s="272"/>
      <c r="AH55" s="272"/>
      <c r="AI55" s="272"/>
      <c r="AJ55" s="272"/>
      <c r="AK55" s="272"/>
      <c r="AL55" s="273"/>
    </row>
    <row r="56" spans="1:38"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5"/>
      <c r="W56" s="274"/>
      <c r="X56" s="275"/>
      <c r="Y56" s="275"/>
      <c r="Z56" s="275"/>
      <c r="AA56" s="275"/>
      <c r="AB56" s="275"/>
      <c r="AC56" s="275"/>
      <c r="AD56" s="276"/>
      <c r="AE56" s="274"/>
      <c r="AF56" s="275"/>
      <c r="AG56" s="275"/>
      <c r="AH56" s="275"/>
      <c r="AI56" s="275"/>
      <c r="AJ56" s="275"/>
      <c r="AK56" s="275"/>
      <c r="AL56" s="276"/>
    </row>
    <row r="57" spans="1:38" x14ac:dyDescent="0.2">
      <c r="A57" s="267" t="s">
        <v>581</v>
      </c>
      <c r="B57" s="267"/>
      <c r="C57" s="267"/>
      <c r="D57" s="267"/>
      <c r="E57" s="267"/>
      <c r="F57" s="267"/>
      <c r="G57" s="267"/>
      <c r="H57" s="267"/>
      <c r="I57" s="267"/>
      <c r="J57" s="267"/>
      <c r="K57" s="267"/>
      <c r="L57" s="267"/>
      <c r="M57" s="267"/>
      <c r="N57" s="267"/>
      <c r="O57" s="267"/>
      <c r="P57" s="267"/>
      <c r="Q57" s="267"/>
      <c r="R57" s="267"/>
      <c r="S57" s="267"/>
      <c r="T57" s="267"/>
      <c r="U57" s="267"/>
    </row>
  </sheetData>
  <sheetProtection algorithmName="SHA-512" hashValue="nHwlw/a047Re4v2KxxyPciZhUHtlFV4nXRTiH0x4r0dx/1Kr6Ami+nlJHIC+VMlw+KW1KKs9PHKrw52YOoVGgA==" saltValue="Rn1cYyzMQZ2NKwS/1Nz9Rw==" spinCount="100000" sheet="1" objects="1" scenarios="1"/>
  <mergeCells count="8">
    <mergeCell ref="A57:U57"/>
    <mergeCell ref="AE39:AL56"/>
    <mergeCell ref="A51:U56"/>
    <mergeCell ref="W3:AD20"/>
    <mergeCell ref="AE3:AL20"/>
    <mergeCell ref="W39:AD56"/>
    <mergeCell ref="W21:AD38"/>
    <mergeCell ref="AE21:AL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92"/>
  <sheetViews>
    <sheetView zoomScaleNormal="100" workbookViewId="0"/>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1" width="9.21875" style="76" customWidth="1"/>
    <col min="22" max="26" width="7" style="76" customWidth="1"/>
    <col min="27" max="32" width="7" style="31" customWidth="1"/>
    <col min="33" max="36" width="7.21875" style="31" customWidth="1"/>
    <col min="37" max="40" width="7.33203125" style="31" customWidth="1"/>
    <col min="41" max="16384" width="9" style="31"/>
  </cols>
  <sheetData>
    <row r="1" spans="1:40" ht="14.4" x14ac:dyDescent="0.2">
      <c r="A1" s="75" t="s">
        <v>384</v>
      </c>
    </row>
    <row r="2" spans="1:40" ht="15" thickBot="1" x14ac:dyDescent="0.25">
      <c r="A2" s="75" t="str">
        <f>BS!A2</f>
        <v>２１　窯業・土石製品製造業</v>
      </c>
    </row>
    <row r="3" spans="1:40"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109" t="s">
        <v>580</v>
      </c>
      <c r="V3" s="110" t="s">
        <v>532</v>
      </c>
      <c r="W3" s="110" t="s">
        <v>519</v>
      </c>
      <c r="X3" s="111" t="s">
        <v>520</v>
      </c>
      <c r="Y3" s="111" t="s">
        <v>521</v>
      </c>
      <c r="Z3" s="111" t="s">
        <v>522</v>
      </c>
      <c r="AA3" s="111" t="s">
        <v>359</v>
      </c>
      <c r="AB3" s="111" t="s">
        <v>506</v>
      </c>
      <c r="AC3" s="111" t="s">
        <v>511</v>
      </c>
      <c r="AD3" s="111" t="s">
        <v>515</v>
      </c>
      <c r="AE3" s="111" t="s">
        <v>517</v>
      </c>
      <c r="AF3" s="111" t="s">
        <v>535</v>
      </c>
      <c r="AG3" s="111" t="s">
        <v>536</v>
      </c>
      <c r="AH3" s="111" t="s">
        <v>539</v>
      </c>
      <c r="AI3" s="111" t="s">
        <v>554</v>
      </c>
      <c r="AJ3" s="111" t="s">
        <v>557</v>
      </c>
      <c r="AK3" s="111" t="s">
        <v>559</v>
      </c>
      <c r="AL3" s="111" t="s">
        <v>563</v>
      </c>
      <c r="AM3" s="111" t="s">
        <v>576</v>
      </c>
      <c r="AN3" s="111" t="s">
        <v>580</v>
      </c>
    </row>
    <row r="4" spans="1:40" x14ac:dyDescent="0.2">
      <c r="A4" s="195" t="s">
        <v>322</v>
      </c>
      <c r="B4" s="189"/>
      <c r="C4" s="196"/>
      <c r="D4" s="196"/>
      <c r="E4" s="196"/>
      <c r="F4" s="196"/>
      <c r="G4" s="196"/>
      <c r="H4" s="196"/>
      <c r="I4" s="196"/>
      <c r="J4" s="196"/>
      <c r="K4" s="196"/>
      <c r="L4" s="196"/>
      <c r="M4" s="196"/>
      <c r="N4" s="196"/>
      <c r="O4" s="196"/>
      <c r="P4" s="196"/>
      <c r="Q4" s="196"/>
      <c r="R4" s="196"/>
      <c r="S4" s="196"/>
      <c r="T4" s="196"/>
      <c r="U4" s="197"/>
      <c r="V4" s="200" t="s">
        <v>383</v>
      </c>
      <c r="W4" s="196"/>
      <c r="X4" s="196"/>
      <c r="Y4" s="196"/>
      <c r="Z4" s="196"/>
      <c r="AA4" s="196"/>
      <c r="AB4" s="196"/>
      <c r="AC4" s="196"/>
      <c r="AD4" s="196"/>
      <c r="AE4" s="196"/>
      <c r="AF4" s="196"/>
      <c r="AG4" s="110"/>
      <c r="AH4" s="110"/>
      <c r="AI4" s="110"/>
      <c r="AJ4" s="110"/>
      <c r="AK4" s="110"/>
      <c r="AL4" s="110"/>
      <c r="AM4" s="110"/>
      <c r="AN4" s="110"/>
    </row>
    <row r="5" spans="1:40" x14ac:dyDescent="0.2">
      <c r="A5" s="113" t="s">
        <v>310</v>
      </c>
      <c r="B5" s="81" t="s">
        <v>254</v>
      </c>
      <c r="C5" s="82">
        <f>PL!K6</f>
        <v>476566.84718686901</v>
      </c>
      <c r="D5" s="82">
        <f>PL!L6</f>
        <v>431883.95550527907</v>
      </c>
      <c r="E5" s="82">
        <f>PL!M6</f>
        <v>470276.95833658014</v>
      </c>
      <c r="F5" s="82">
        <f>PL!N6</f>
        <v>382317.10699519957</v>
      </c>
      <c r="G5" s="82">
        <f>PL!O6</f>
        <v>444717.01417659037</v>
      </c>
      <c r="H5" s="82">
        <f>PL!P6</f>
        <v>466028.2715769179</v>
      </c>
      <c r="I5" s="82">
        <f>PL!Q6</f>
        <v>571062.94556079933</v>
      </c>
      <c r="J5" s="82">
        <f>PL!R6</f>
        <v>380712.29461116524</v>
      </c>
      <c r="K5" s="82">
        <f>PL!S6</f>
        <v>481641.09597770061</v>
      </c>
      <c r="L5" s="82">
        <f>PL!T6</f>
        <v>399147.49110443954</v>
      </c>
      <c r="M5" s="82">
        <f>PL!U6</f>
        <v>466318.69523454586</v>
      </c>
      <c r="N5" s="240">
        <f>PL!V6</f>
        <v>401930.379131675</v>
      </c>
      <c r="O5" s="240">
        <f>PL!W6</f>
        <v>420952.65570839075</v>
      </c>
      <c r="P5" s="240">
        <f>PL!X6</f>
        <v>433716.8601081805</v>
      </c>
      <c r="Q5" s="240">
        <f>PL!Y6</f>
        <v>610593.27578583988</v>
      </c>
      <c r="R5" s="240">
        <f>PL!Z6</f>
        <v>497242.65165447723</v>
      </c>
      <c r="S5" s="240">
        <f>PL!AA6</f>
        <v>509828.00504650705</v>
      </c>
      <c r="T5" s="240">
        <f>PL!AB6</f>
        <v>552662.77653354476</v>
      </c>
      <c r="U5" s="114">
        <f>PL!AC6</f>
        <v>548953.19845895481</v>
      </c>
      <c r="V5" s="115">
        <f t="shared" ref="V5:V13" si="0">+C5/C$5</f>
        <v>1</v>
      </c>
      <c r="W5" s="116">
        <f t="shared" ref="W5:W13" si="1">+D5/D$5</f>
        <v>1</v>
      </c>
      <c r="X5" s="116">
        <f t="shared" ref="X5:X13" si="2">+E5/E$5</f>
        <v>1</v>
      </c>
      <c r="Y5" s="116">
        <f t="shared" ref="Y5:Y13" si="3">+F5/F$5</f>
        <v>1</v>
      </c>
      <c r="Z5" s="116">
        <f t="shared" ref="Z5:Z13" si="4">+G5/G$5</f>
        <v>1</v>
      </c>
      <c r="AA5" s="116">
        <f t="shared" ref="AA5:AA13" si="5">+H5/H$5</f>
        <v>1</v>
      </c>
      <c r="AB5" s="116">
        <f t="shared" ref="AB5:AB13" si="6">+I5/I$5</f>
        <v>1</v>
      </c>
      <c r="AC5" s="116">
        <f t="shared" ref="AC5:AC13" si="7">+J5/J$5</f>
        <v>1</v>
      </c>
      <c r="AD5" s="116">
        <f t="shared" ref="AD5:AD13" si="8">+K5/K$5</f>
        <v>1</v>
      </c>
      <c r="AE5" s="116">
        <f t="shared" ref="AE5:AE13" si="9">+L5/L$5</f>
        <v>1</v>
      </c>
      <c r="AF5" s="116">
        <f t="shared" ref="AF5:AF13" si="10">+M5/M$5</f>
        <v>1</v>
      </c>
      <c r="AG5" s="116">
        <f t="shared" ref="AG5:AG13" si="11">+N5/N$5</f>
        <v>1</v>
      </c>
      <c r="AH5" s="116">
        <f t="shared" ref="AH5:AH13" si="12">+O5/O$5</f>
        <v>1</v>
      </c>
      <c r="AI5" s="116">
        <f t="shared" ref="AI5:AI13" si="13">+P5/P$5</f>
        <v>1</v>
      </c>
      <c r="AJ5" s="116">
        <f t="shared" ref="AJ5:AJ13" si="14">+Q5/Q$5</f>
        <v>1</v>
      </c>
      <c r="AK5" s="116">
        <f t="shared" ref="AK5:AK13" si="15">+R5/R$5</f>
        <v>1</v>
      </c>
      <c r="AL5" s="116">
        <f t="shared" ref="AL5:AL13" si="16">+S5/S$5</f>
        <v>1</v>
      </c>
      <c r="AM5" s="116">
        <f t="shared" ref="AM5:AM13" si="17">+T5/T$5</f>
        <v>1</v>
      </c>
      <c r="AN5" s="116">
        <f t="shared" ref="AN5:AN6" si="18">+U5/U$5</f>
        <v>1</v>
      </c>
    </row>
    <row r="6" spans="1:40" x14ac:dyDescent="0.2">
      <c r="A6" s="117" t="s">
        <v>371</v>
      </c>
      <c r="B6" s="84" t="s">
        <v>254</v>
      </c>
      <c r="C6" s="85">
        <f>PL!K9+PL!K10</f>
        <v>213053.71368384099</v>
      </c>
      <c r="D6" s="85">
        <f>PL!L9+PL!L10</f>
        <v>198979.82654600302</v>
      </c>
      <c r="E6" s="85">
        <f>PL!M9+PL!M10</f>
        <v>196141.43366606167</v>
      </c>
      <c r="F6" s="85">
        <f>PL!N9+PL!N10</f>
        <v>163176.11309722561</v>
      </c>
      <c r="G6" s="85">
        <f>PL!O9+PL!O10</f>
        <v>214281.62685676879</v>
      </c>
      <c r="H6" s="85">
        <f>PL!P9+PL!P10</f>
        <v>225002.93231636853</v>
      </c>
      <c r="I6" s="85">
        <f>PL!Q9+PL!Q10</f>
        <v>251222.14623527505</v>
      </c>
      <c r="J6" s="85">
        <f>PL!R9+PL!R10</f>
        <v>170580.40478986868</v>
      </c>
      <c r="K6" s="85">
        <f>PL!S9+PL!S10</f>
        <v>222748.41786796128</v>
      </c>
      <c r="L6" s="85">
        <f>PL!T9+PL!T10</f>
        <v>171815.35445563128</v>
      </c>
      <c r="M6" s="85">
        <f>PL!U9+PL!U10</f>
        <v>183945.34757640489</v>
      </c>
      <c r="N6" s="241">
        <f>PL!V9+PL!V10</f>
        <v>168890.31018476142</v>
      </c>
      <c r="O6" s="241">
        <f>PL!W9+PL!W10</f>
        <v>183333.79077781388</v>
      </c>
      <c r="P6" s="241">
        <f>PL!X9+PL!X10</f>
        <v>199133.4827092184</v>
      </c>
      <c r="Q6" s="241">
        <f>PL!Y9+PL!Y10</f>
        <v>265756.65654431866</v>
      </c>
      <c r="R6" s="241">
        <f>PL!Z9+PL!Z10</f>
        <v>189761.48527680495</v>
      </c>
      <c r="S6" s="241">
        <f>PL!AA9+PL!AA10</f>
        <v>204927.95418563229</v>
      </c>
      <c r="T6" s="241">
        <f>PL!AB9+PL!AB10</f>
        <v>216355.99871172331</v>
      </c>
      <c r="U6" s="118">
        <f>PL!AC9+PL!AC10</f>
        <v>215107.95287958113</v>
      </c>
      <c r="V6" s="119">
        <f t="shared" si="0"/>
        <v>0.44705945229190364</v>
      </c>
      <c r="W6" s="120">
        <f t="shared" si="1"/>
        <v>0.46072521104241582</v>
      </c>
      <c r="X6" s="120">
        <f t="shared" si="2"/>
        <v>0.41707642738830941</v>
      </c>
      <c r="Y6" s="120">
        <f t="shared" si="3"/>
        <v>0.426808296337298</v>
      </c>
      <c r="Z6" s="120">
        <f t="shared" si="4"/>
        <v>0.48183815780810407</v>
      </c>
      <c r="AA6" s="120">
        <f t="shared" si="5"/>
        <v>0.48280961915683229</v>
      </c>
      <c r="AB6" s="120">
        <f t="shared" si="6"/>
        <v>0.43992023679380576</v>
      </c>
      <c r="AC6" s="120">
        <f t="shared" si="7"/>
        <v>0.44805593936515342</v>
      </c>
      <c r="AD6" s="120">
        <f t="shared" si="8"/>
        <v>0.46247801470469674</v>
      </c>
      <c r="AE6" s="120">
        <f t="shared" si="9"/>
        <v>0.43045580464559324</v>
      </c>
      <c r="AF6" s="120">
        <f t="shared" si="10"/>
        <v>0.39446273429780743</v>
      </c>
      <c r="AG6" s="120">
        <f t="shared" si="11"/>
        <v>0.42019792221137842</v>
      </c>
      <c r="AH6" s="120">
        <f t="shared" si="12"/>
        <v>0.43552116441525879</v>
      </c>
      <c r="AI6" s="120">
        <f t="shared" si="13"/>
        <v>0.45913244566870015</v>
      </c>
      <c r="AJ6" s="120">
        <f t="shared" si="14"/>
        <v>0.43524333968841544</v>
      </c>
      <c r="AK6" s="120">
        <f t="shared" si="15"/>
        <v>0.38162753063400912</v>
      </c>
      <c r="AL6" s="120">
        <f t="shared" si="16"/>
        <v>0.40195507535318414</v>
      </c>
      <c r="AM6" s="120">
        <f t="shared" si="17"/>
        <v>0.39147923091323167</v>
      </c>
      <c r="AN6" s="120">
        <f t="shared" si="18"/>
        <v>0.39185116961417021</v>
      </c>
    </row>
    <row r="7" spans="1:40" x14ac:dyDescent="0.2">
      <c r="A7" s="117" t="s">
        <v>368</v>
      </c>
      <c r="B7" s="84" t="s">
        <v>254</v>
      </c>
      <c r="C7" s="85">
        <f>PL!K12</f>
        <v>39116.471517598504</v>
      </c>
      <c r="D7" s="85">
        <f>PL!L12</f>
        <v>21534.219457013573</v>
      </c>
      <c r="E7" s="85">
        <f>PL!M12</f>
        <v>29515.826034832848</v>
      </c>
      <c r="F7" s="85">
        <f>PL!N12</f>
        <v>25214.327334187616</v>
      </c>
      <c r="G7" s="85">
        <f>PL!O12</f>
        <v>27630.848008748017</v>
      </c>
      <c r="H7" s="85">
        <f>PL!P12</f>
        <v>24628.364525017852</v>
      </c>
      <c r="I7" s="85">
        <f>PL!Q12</f>
        <v>34022.851033923071</v>
      </c>
      <c r="J7" s="85">
        <f>PL!R12</f>
        <v>18795.901490577373</v>
      </c>
      <c r="K7" s="85">
        <f>PL!S12</f>
        <v>27054.295217250641</v>
      </c>
      <c r="L7" s="85">
        <f>PL!T12</f>
        <v>18381.487366293888</v>
      </c>
      <c r="M7" s="85">
        <f>PL!U12</f>
        <v>22769.709491353879</v>
      </c>
      <c r="N7" s="241">
        <f>PL!V12</f>
        <v>25873.37313741121</v>
      </c>
      <c r="O7" s="241">
        <f>PL!W12</f>
        <v>31385.497313913034</v>
      </c>
      <c r="P7" s="241">
        <f>PL!X12</f>
        <v>20119.000409361441</v>
      </c>
      <c r="Q7" s="241">
        <f>PL!Y12</f>
        <v>32626.562448546607</v>
      </c>
      <c r="R7" s="241">
        <f>PL!Z12</f>
        <v>28014.345676053144</v>
      </c>
      <c r="S7" s="241">
        <f>PL!AA12</f>
        <v>21642.010093014051</v>
      </c>
      <c r="T7" s="241">
        <f>PL!AB12</f>
        <v>33165.685462293128</v>
      </c>
      <c r="U7" s="118">
        <f>PL!AC12</f>
        <v>37155.27669663143</v>
      </c>
      <c r="V7" s="119">
        <f t="shared" si="0"/>
        <v>8.2079716095442845E-2</v>
      </c>
      <c r="W7" s="120">
        <f t="shared" si="1"/>
        <v>4.9861123995263476E-2</v>
      </c>
      <c r="X7" s="120">
        <f t="shared" si="2"/>
        <v>6.2762645525380356E-2</v>
      </c>
      <c r="Y7" s="120">
        <f t="shared" si="3"/>
        <v>6.5951344768112111E-2</v>
      </c>
      <c r="Z7" s="120">
        <f t="shared" si="4"/>
        <v>6.2131304015672822E-2</v>
      </c>
      <c r="AA7" s="120">
        <f t="shared" si="5"/>
        <v>5.2847361473761886E-2</v>
      </c>
      <c r="AB7" s="120">
        <f t="shared" si="6"/>
        <v>5.957811008121304E-2</v>
      </c>
      <c r="AC7" s="120">
        <f t="shared" si="7"/>
        <v>4.9370355926577791E-2</v>
      </c>
      <c r="AD7" s="120">
        <f t="shared" si="8"/>
        <v>5.6171068962319659E-2</v>
      </c>
      <c r="AE7" s="120">
        <f t="shared" si="9"/>
        <v>4.6051867482449618E-2</v>
      </c>
      <c r="AF7" s="120">
        <f t="shared" si="10"/>
        <v>4.8828643852465152E-2</v>
      </c>
      <c r="AG7" s="120">
        <f t="shared" si="11"/>
        <v>6.4372773198452179E-2</v>
      </c>
      <c r="AH7" s="120">
        <f t="shared" si="12"/>
        <v>7.4558259434417046E-2</v>
      </c>
      <c r="AI7" s="120">
        <f t="shared" si="13"/>
        <v>4.6387406761967308E-2</v>
      </c>
      <c r="AJ7" s="120">
        <f t="shared" si="14"/>
        <v>5.3434198741471373E-2</v>
      </c>
      <c r="AK7" s="120">
        <f t="shared" si="15"/>
        <v>5.6339385977532123E-2</v>
      </c>
      <c r="AL7" s="120">
        <f t="shared" si="16"/>
        <v>4.2449629833574642E-2</v>
      </c>
      <c r="AM7" s="120">
        <f t="shared" si="17"/>
        <v>6.0010709732103845E-2</v>
      </c>
      <c r="AN7" s="120">
        <f t="shared" ref="AN7:AN13" si="19">+U7/U$5</f>
        <v>6.7683869592044157E-2</v>
      </c>
    </row>
    <row r="8" spans="1:40" x14ac:dyDescent="0.2">
      <c r="A8" s="117" t="s">
        <v>346</v>
      </c>
      <c r="B8" s="84" t="s">
        <v>254</v>
      </c>
      <c r="C8" s="85">
        <f>PL!K11+PL!K17+PL!K25</f>
        <v>98827.8100588081</v>
      </c>
      <c r="D8" s="85">
        <f>PL!L11+PL!L17+PL!L25</f>
        <v>86081.259426847653</v>
      </c>
      <c r="E8" s="85">
        <f>PL!M11+PL!M17+PL!M25</f>
        <v>105346.16377365688</v>
      </c>
      <c r="F8" s="85">
        <f>PL!N11+PL!N17+PL!N25</f>
        <v>88175.503787961206</v>
      </c>
      <c r="G8" s="85">
        <f>PL!O11+PL!O17+PL!O25</f>
        <v>84538.619575665682</v>
      </c>
      <c r="H8" s="85">
        <f>PL!P11+PL!P17+PL!P25</f>
        <v>86144.406123606008</v>
      </c>
      <c r="I8" s="85">
        <f>PL!Q11+PL!Q17+PL!Q25</f>
        <v>109846.0713653298</v>
      </c>
      <c r="J8" s="85">
        <f>PL!R11+PL!R17+PL!R25</f>
        <v>77654.463529774788</v>
      </c>
      <c r="K8" s="85">
        <f>PL!S11+PL!S17+PL!S25</f>
        <v>107812.24474864321</v>
      </c>
      <c r="L8" s="85">
        <f>PL!T11+PL!T17+PL!T25</f>
        <v>81876.704437786335</v>
      </c>
      <c r="M8" s="85">
        <f>PL!U11+PL!U17+PL!U25</f>
        <v>79897.790660208659</v>
      </c>
      <c r="N8" s="241">
        <f>PL!V11+PL!V17+PL!V25</f>
        <v>70922.179824329432</v>
      </c>
      <c r="O8" s="241">
        <f>PL!W11+PL!W17+PL!W25</f>
        <v>75042.43010658359</v>
      </c>
      <c r="P8" s="241">
        <f>PL!X11+PL!X17+PL!X25</f>
        <v>83029.26337369984</v>
      </c>
      <c r="Q8" s="241">
        <f>PL!Y11+PL!Y17+PL!Y25</f>
        <v>122004.10549614202</v>
      </c>
      <c r="R8" s="241">
        <f>PL!Z11+PL!Z17+PL!Z25</f>
        <v>100881.88189015558</v>
      </c>
      <c r="S8" s="241">
        <f>PL!AA11+PL!AA17+PL!AA25</f>
        <v>95191.065505640217</v>
      </c>
      <c r="T8" s="241">
        <f>PL!AB11+PL!AB17+PL!AB25</f>
        <v>102449.15479139828</v>
      </c>
      <c r="U8" s="118">
        <f>PL!AC11+PL!AC17+PL!AC25</f>
        <v>108279.45213869408</v>
      </c>
      <c r="V8" s="119">
        <f t="shared" si="0"/>
        <v>0.20737449665703714</v>
      </c>
      <c r="W8" s="120">
        <f t="shared" si="1"/>
        <v>0.19931571508864596</v>
      </c>
      <c r="X8" s="120">
        <f t="shared" si="2"/>
        <v>0.22400877165293728</v>
      </c>
      <c r="Y8" s="120">
        <f t="shared" si="3"/>
        <v>0.23063447116183675</v>
      </c>
      <c r="Z8" s="120">
        <f t="shared" si="4"/>
        <v>0.19009531203161181</v>
      </c>
      <c r="AA8" s="120">
        <f t="shared" si="5"/>
        <v>0.18484802613394213</v>
      </c>
      <c r="AB8" s="120">
        <f t="shared" si="6"/>
        <v>0.19235370149512673</v>
      </c>
      <c r="AC8" s="120">
        <f t="shared" si="7"/>
        <v>0.20397151504940497</v>
      </c>
      <c r="AD8" s="120">
        <f t="shared" si="8"/>
        <v>0.22384353338826132</v>
      </c>
      <c r="AE8" s="120">
        <f t="shared" si="9"/>
        <v>0.20512894672401377</v>
      </c>
      <c r="AF8" s="120">
        <f t="shared" si="10"/>
        <v>0.17133730960544527</v>
      </c>
      <c r="AG8" s="120">
        <f t="shared" si="11"/>
        <v>0.1764538922824116</v>
      </c>
      <c r="AH8" s="120">
        <f t="shared" si="12"/>
        <v>0.1782680999607904</v>
      </c>
      <c r="AI8" s="120">
        <f t="shared" si="13"/>
        <v>0.19143655921743541</v>
      </c>
      <c r="AJ8" s="120">
        <f t="shared" si="14"/>
        <v>0.19981239613083107</v>
      </c>
      <c r="AK8" s="120">
        <f t="shared" si="15"/>
        <v>0.20288259978199966</v>
      </c>
      <c r="AL8" s="120">
        <f t="shared" si="16"/>
        <v>0.18671211577903962</v>
      </c>
      <c r="AM8" s="120">
        <f t="shared" si="17"/>
        <v>0.18537371999972205</v>
      </c>
      <c r="AN8" s="120">
        <f t="shared" si="19"/>
        <v>0.19724714682902084</v>
      </c>
    </row>
    <row r="9" spans="1:40" x14ac:dyDescent="0.2">
      <c r="A9" s="117" t="s">
        <v>369</v>
      </c>
      <c r="B9" s="84" t="s">
        <v>254</v>
      </c>
      <c r="C9" s="85">
        <f>PL!K13+PL!K18+PL!K19+PL!K24+PL!K26+PL!K14*0.5</f>
        <v>45172.572193452106</v>
      </c>
      <c r="D9" s="85">
        <f>PL!L13+PL!L18+PL!L19+PL!L24+PL!L26+PL!L14*0.5</f>
        <v>43196.879713423827</v>
      </c>
      <c r="E9" s="85">
        <f>PL!M13+PL!M18+PL!M19+PL!M24+PL!M26+PL!M14*0.5</f>
        <v>55121.799473722247</v>
      </c>
      <c r="F9" s="85">
        <f>PL!N13+PL!N18+PL!N19+PL!N24+PL!N26+PL!N14*0.5</f>
        <v>45656.062841255429</v>
      </c>
      <c r="G9" s="85">
        <f>PL!O13+PL!O18+PL!O19+PL!O24+PL!O26+PL!O14*0.5</f>
        <v>47345.855129882679</v>
      </c>
      <c r="H9" s="85">
        <f>PL!P13+PL!P18+PL!P19+PL!P24+PL!P26+PL!P14*0.5</f>
        <v>53616.261115666479</v>
      </c>
      <c r="I9" s="85">
        <f>PL!Q13+PL!Q18+PL!Q19+PL!Q24+PL!Q26+PL!Q14*0.5</f>
        <v>81626.332594659005</v>
      </c>
      <c r="J9" s="85">
        <f>PL!R13+PL!R18+PL!R19+PL!R24+PL!R26+PL!R14*0.5</f>
        <v>45621.112614406549</v>
      </c>
      <c r="K9" s="85">
        <f>PL!S13+PL!S18+PL!S19+PL!S24+PL!S26+PL!S14*0.5</f>
        <v>50776.548558104711</v>
      </c>
      <c r="L9" s="85">
        <f>PL!T13+PL!T18+PL!T19+PL!T24+PL!T26+PL!T14*0.5</f>
        <v>46627.107363742136</v>
      </c>
      <c r="M9" s="85">
        <f>PL!U13+PL!U18+PL!U19+PL!U24+PL!U26+PL!U14*0.5</f>
        <v>74010.697159433854</v>
      </c>
      <c r="N9" s="241">
        <f>PL!V13+PL!V18+PL!V19+PL!V24+PL!V26+PL!V14*0.5</f>
        <v>55894.068055254873</v>
      </c>
      <c r="O9" s="241">
        <f>PL!W13+PL!W18+PL!W19+PL!W24+PL!W26+PL!W14*0.5</f>
        <v>51533.602816137929</v>
      </c>
      <c r="P9" s="241">
        <f>PL!X13+PL!X18+PL!X19+PL!X24+PL!X26+PL!X14*0.5</f>
        <v>47211.248006401001</v>
      </c>
      <c r="Q9" s="241">
        <f>PL!Y13+PL!Y18+PL!Y19+PL!Y24+PL!Y26+PL!Y14*0.5</f>
        <v>61708.017941503545</v>
      </c>
      <c r="R9" s="241">
        <f>PL!Z13+PL!Z18+PL!Z19+PL!Z24+PL!Z26+PL!Z14*0.5</f>
        <v>65643.294687462738</v>
      </c>
      <c r="S9" s="241">
        <f>PL!AA13+PL!AA18+PL!AA19+PL!AA24+PL!AA26+PL!AA14*0.5</f>
        <v>67076.331189392469</v>
      </c>
      <c r="T9" s="241">
        <f>PL!AB13+PL!AB18+PL!AB19+PL!AB24+PL!AB26+PL!AB14*0.5</f>
        <v>71406.265731840263</v>
      </c>
      <c r="U9" s="118">
        <f>PL!AC13+PL!AC18+PL!AC19+PL!AC24+PL!AC26+PL!AC14*0.5</f>
        <v>69282.234663637224</v>
      </c>
      <c r="V9" s="119">
        <f t="shared" si="0"/>
        <v>9.4787483561019223E-2</v>
      </c>
      <c r="W9" s="120">
        <f t="shared" si="1"/>
        <v>0.10001964454290967</v>
      </c>
      <c r="X9" s="120">
        <f t="shared" si="2"/>
        <v>0.11721135491879922</v>
      </c>
      <c r="Y9" s="120">
        <f t="shared" si="3"/>
        <v>0.11941935635600186</v>
      </c>
      <c r="Z9" s="120">
        <f t="shared" si="4"/>
        <v>0.10646288228379398</v>
      </c>
      <c r="AA9" s="120">
        <f t="shared" si="5"/>
        <v>0.115049374438686</v>
      </c>
      <c r="AB9" s="120">
        <f t="shared" si="6"/>
        <v>0.14293753994929531</v>
      </c>
      <c r="AC9" s="120">
        <f t="shared" si="7"/>
        <v>0.11983094126498064</v>
      </c>
      <c r="AD9" s="120">
        <f t="shared" si="8"/>
        <v>0.10542403665748573</v>
      </c>
      <c r="AE9" s="120">
        <f t="shared" si="9"/>
        <v>0.11681673667727464</v>
      </c>
      <c r="AF9" s="120">
        <f t="shared" si="10"/>
        <v>0.15871269566451426</v>
      </c>
      <c r="AG9" s="120">
        <f t="shared" si="11"/>
        <v>0.13906405426732776</v>
      </c>
      <c r="AH9" s="120">
        <f t="shared" si="12"/>
        <v>0.12242137474917639</v>
      </c>
      <c r="AI9" s="120">
        <f t="shared" si="13"/>
        <v>0.10885269250225887</v>
      </c>
      <c r="AJ9" s="120">
        <f t="shared" si="14"/>
        <v>0.10106239355827279</v>
      </c>
      <c r="AK9" s="120">
        <f t="shared" si="15"/>
        <v>0.1320146099073512</v>
      </c>
      <c r="AL9" s="120">
        <f t="shared" si="16"/>
        <v>0.13156658819335296</v>
      </c>
      <c r="AM9" s="120">
        <f t="shared" si="17"/>
        <v>0.12920404406412225</v>
      </c>
      <c r="AN9" s="120">
        <f t="shared" si="19"/>
        <v>0.12620790781095603</v>
      </c>
    </row>
    <row r="10" spans="1:40" x14ac:dyDescent="0.2">
      <c r="A10" s="117" t="s">
        <v>370</v>
      </c>
      <c r="B10" s="84" t="s">
        <v>254</v>
      </c>
      <c r="C10" s="85">
        <f>PL!K14*0.5+PL!K20+PL!K21+PL!K22+PL!K23+PL!K27</f>
        <v>66326.15158430615</v>
      </c>
      <c r="D10" s="85">
        <f>PL!L14*0.5+PL!L20+PL!L21+PL!L22+PL!L23+PL!L27</f>
        <v>69458.286199095033</v>
      </c>
      <c r="E10" s="85">
        <f>PL!M14*0.5+PL!M20+PL!M21+PL!M22+PL!M23+PL!M27</f>
        <v>75951.702272229886</v>
      </c>
      <c r="F10" s="85">
        <f>PL!N14*0.5+PL!N20+PL!N21+PL!N22+PL!N23+PL!N27</f>
        <v>61145.99009882535</v>
      </c>
      <c r="G10" s="85">
        <f>PL!O14*0.5+PL!O20+PL!O21+PL!O22+PL!O23+PL!O27</f>
        <v>65074.435578057411</v>
      </c>
      <c r="H10" s="85">
        <f>PL!P14*0.5+PL!P20+PL!P21+PL!P22+PL!P23+PL!P27</f>
        <v>75052.099689107825</v>
      </c>
      <c r="I10" s="85">
        <f>PL!Q14*0.5+PL!Q20+PL!Q21+PL!Q22+PL!Q23+PL!Q27</f>
        <v>94179.425218420787</v>
      </c>
      <c r="J10" s="85">
        <f>PL!R14*0.5+PL!R20+PL!R21+PL!R22+PL!R23+PL!R27</f>
        <v>61074.079171097386</v>
      </c>
      <c r="K10" s="85">
        <f>PL!S14*0.5+PL!S20+PL!S21+PL!S22+PL!S23+PL!S27</f>
        <v>69570.225216939696</v>
      </c>
      <c r="L10" s="85">
        <f>PL!T14*0.5+PL!T20+PL!T21+PL!T22+PL!T23+PL!T27</f>
        <v>68655.913553595616</v>
      </c>
      <c r="M10" s="85">
        <f>PL!U14*0.5+PL!U20+PL!U21+PL!U22+PL!U23+PL!U27</f>
        <v>87980.382631824541</v>
      </c>
      <c r="N10" s="241">
        <f>PL!V14*0.5+PL!V20+PL!V21+PL!V22+PL!V23+PL!V27</f>
        <v>64824.300071821504</v>
      </c>
      <c r="O10" s="241">
        <f>PL!W14*0.5+PL!W20+PL!W21+PL!W22+PL!W23+PL!W27</f>
        <v>66835.640029862348</v>
      </c>
      <c r="P10" s="241">
        <f>PL!X14*0.5+PL!X20+PL!X21+PL!X22+PL!X23+PL!X27</f>
        <v>63936.828179145297</v>
      </c>
      <c r="Q10" s="241">
        <f>PL!Y14*0.5+PL!Y20+PL!Y21+PL!Y22+PL!Y23+PL!Y27</f>
        <v>93995.144840804976</v>
      </c>
      <c r="R10" s="241">
        <f>PL!Z14*0.5+PL!Z20+PL!Z21+PL!Z22+PL!Z23+PL!Z27</f>
        <v>96022.149261431317</v>
      </c>
      <c r="S10" s="241">
        <f>PL!AA14*0.5+PL!AA20+PL!AA21+PL!AA22+PL!AA23+PL!AA27</f>
        <v>92525.48802691474</v>
      </c>
      <c r="T10" s="241">
        <f>PL!AB14*0.5+PL!AB20+PL!AB21+PL!AB22+PL!AB23+PL!AB27</f>
        <v>102195.91264493114</v>
      </c>
      <c r="U10" s="118">
        <f>PL!AC14*0.5+PL!AC20+PL!AC21+PL!AC22+PL!AC23+PL!AC27</f>
        <v>96429.913810135302</v>
      </c>
      <c r="V10" s="119">
        <f t="shared" si="0"/>
        <v>0.1391749173821541</v>
      </c>
      <c r="W10" s="120">
        <f t="shared" si="1"/>
        <v>0.16082627130205124</v>
      </c>
      <c r="X10" s="120">
        <f t="shared" si="2"/>
        <v>0.16150419646516209</v>
      </c>
      <c r="Y10" s="120">
        <f t="shared" si="3"/>
        <v>0.15993527095713536</v>
      </c>
      <c r="Z10" s="120">
        <f t="shared" si="4"/>
        <v>0.14632773989667358</v>
      </c>
      <c r="AA10" s="120">
        <f t="shared" si="5"/>
        <v>0.16104623746355801</v>
      </c>
      <c r="AB10" s="120">
        <f t="shared" si="6"/>
        <v>0.16491951710495598</v>
      </c>
      <c r="AC10" s="120">
        <f t="shared" si="7"/>
        <v>0.16042055913501421</v>
      </c>
      <c r="AD10" s="120">
        <f t="shared" si="8"/>
        <v>0.14444412197783205</v>
      </c>
      <c r="AE10" s="120">
        <f t="shared" si="9"/>
        <v>0.17200637629870846</v>
      </c>
      <c r="AF10" s="120">
        <f t="shared" si="10"/>
        <v>0.18867007377341533</v>
      </c>
      <c r="AG10" s="120">
        <f t="shared" si="11"/>
        <v>0.16128240968464999</v>
      </c>
      <c r="AH10" s="120">
        <f t="shared" si="12"/>
        <v>0.1587723444038843</v>
      </c>
      <c r="AI10" s="120">
        <f t="shared" si="13"/>
        <v>0.14741605425068732</v>
      </c>
      <c r="AJ10" s="120">
        <f t="shared" si="14"/>
        <v>0.15394068124944915</v>
      </c>
      <c r="AK10" s="120">
        <f t="shared" si="15"/>
        <v>0.19310923739533703</v>
      </c>
      <c r="AL10" s="120">
        <f t="shared" si="16"/>
        <v>0.18148373002474524</v>
      </c>
      <c r="AM10" s="120">
        <f t="shared" si="17"/>
        <v>0.18491549817400846</v>
      </c>
      <c r="AN10" s="120">
        <f t="shared" si="19"/>
        <v>0.17566144815411866</v>
      </c>
    </row>
    <row r="11" spans="1:40" x14ac:dyDescent="0.2">
      <c r="A11" s="121" t="s">
        <v>69</v>
      </c>
      <c r="B11" s="122" t="s">
        <v>254</v>
      </c>
      <c r="C11" s="123">
        <f>PL!K42</f>
        <v>14070.128148863034</v>
      </c>
      <c r="D11" s="123">
        <f>PL!L42</f>
        <v>12633.295625942701</v>
      </c>
      <c r="E11" s="123">
        <f>PL!M42</f>
        <v>8200.0331160771311</v>
      </c>
      <c r="F11" s="123">
        <f>PL!N42</f>
        <v>-1050.8901642554556</v>
      </c>
      <c r="G11" s="123">
        <f>PL!O42</f>
        <v>5845.6290274688508</v>
      </c>
      <c r="H11" s="123">
        <f>PL!P42</f>
        <v>1584.2078071520082</v>
      </c>
      <c r="I11" s="123">
        <f>PL!Q28</f>
        <v>166.11911319139099</v>
      </c>
      <c r="J11" s="123">
        <f>PL!R28</f>
        <v>6986.3330154404603</v>
      </c>
      <c r="K11" s="123">
        <f>PL!S28</f>
        <v>3679.3643688011598</v>
      </c>
      <c r="L11" s="123">
        <f>PL!T28</f>
        <v>11790.923927390375</v>
      </c>
      <c r="M11" s="123">
        <f>PL!U28</f>
        <v>17714.767715319871</v>
      </c>
      <c r="N11" s="242">
        <f>PL!V28</f>
        <v>15526.147858096676</v>
      </c>
      <c r="O11" s="242">
        <f>PL!W28</f>
        <v>12821.694664080098</v>
      </c>
      <c r="P11" s="242">
        <f>PL!X28</f>
        <v>20287.037430354289</v>
      </c>
      <c r="Q11" s="242">
        <f>PL!Y28</f>
        <v>34502.788514524043</v>
      </c>
      <c r="R11" s="242">
        <f>PL!Z28</f>
        <v>16919.494862570296</v>
      </c>
      <c r="S11" s="242">
        <f>PL!AA28</f>
        <v>28465.156045913322</v>
      </c>
      <c r="T11" s="242">
        <f>PL!AB28</f>
        <v>27089.759092260432</v>
      </c>
      <c r="U11" s="124">
        <f>PL!AC28</f>
        <v>22698.368270275609</v>
      </c>
      <c r="V11" s="125">
        <f t="shared" si="0"/>
        <v>2.9523934012442802E-2</v>
      </c>
      <c r="W11" s="126">
        <f t="shared" si="1"/>
        <v>2.9251597483315815E-2</v>
      </c>
      <c r="X11" s="126">
        <f t="shared" si="2"/>
        <v>1.7436604049412763E-2</v>
      </c>
      <c r="Y11" s="126">
        <f t="shared" si="3"/>
        <v>-2.7487395803835971E-3</v>
      </c>
      <c r="Z11" s="126">
        <f t="shared" si="4"/>
        <v>1.3144603964146153E-2</v>
      </c>
      <c r="AA11" s="126">
        <f t="shared" si="5"/>
        <v>3.3993813332214005E-3</v>
      </c>
      <c r="AB11" s="126">
        <f t="shared" si="6"/>
        <v>2.9089457560279545E-4</v>
      </c>
      <c r="AC11" s="126">
        <f t="shared" si="7"/>
        <v>1.8350689258868947E-2</v>
      </c>
      <c r="AD11" s="126">
        <f t="shared" si="8"/>
        <v>7.6392243094046729E-3</v>
      </c>
      <c r="AE11" s="126">
        <f t="shared" si="9"/>
        <v>2.9540268171960531E-2</v>
      </c>
      <c r="AF11" s="126">
        <f t="shared" si="10"/>
        <v>3.7988542806352242E-2</v>
      </c>
      <c r="AG11" s="126">
        <f t="shared" si="11"/>
        <v>3.8628948355780318E-2</v>
      </c>
      <c r="AH11" s="126">
        <f t="shared" si="12"/>
        <v>3.0458757036473369E-2</v>
      </c>
      <c r="AI11" s="126">
        <f t="shared" si="13"/>
        <v>4.6774841598950435E-2</v>
      </c>
      <c r="AJ11" s="126">
        <f t="shared" si="14"/>
        <v>5.6506990631560096E-2</v>
      </c>
      <c r="AK11" s="126">
        <f t="shared" si="15"/>
        <v>3.4026636303772416E-2</v>
      </c>
      <c r="AL11" s="126">
        <f t="shared" si="16"/>
        <v>5.5832860816103461E-2</v>
      </c>
      <c r="AM11" s="126">
        <f t="shared" si="17"/>
        <v>4.9016796937501321E-2</v>
      </c>
      <c r="AN11" s="126">
        <f t="shared" si="19"/>
        <v>4.1348457999690051E-2</v>
      </c>
    </row>
    <row r="12" spans="1:40" x14ac:dyDescent="0.2">
      <c r="A12" s="112" t="s">
        <v>311</v>
      </c>
      <c r="B12" s="79" t="s">
        <v>254</v>
      </c>
      <c r="C12" s="92">
        <f>+PL!K34</f>
        <v>13674.265777231602</v>
      </c>
      <c r="D12" s="92">
        <f>+PL!L34</f>
        <v>16694.570135746606</v>
      </c>
      <c r="E12" s="92">
        <f>+PL!M34</f>
        <v>9079.0707428644273</v>
      </c>
      <c r="F12" s="92">
        <f>+PL!N34</f>
        <v>3082.2768024796655</v>
      </c>
      <c r="G12" s="92">
        <f>+PL!O34</f>
        <v>6865.6097148884965</v>
      </c>
      <c r="H12" s="92">
        <f>+PL!P34</f>
        <v>1369.1385894512221</v>
      </c>
      <c r="I12" s="92">
        <f>+PL!Q34</f>
        <v>2702.8496897490108</v>
      </c>
      <c r="J12" s="92">
        <f>+PL!R34</f>
        <v>6234.1960336807178</v>
      </c>
      <c r="K12" s="92">
        <f>+PL!S34</f>
        <v>6262.6598008963583</v>
      </c>
      <c r="L12" s="92">
        <f>+PL!T34</f>
        <v>13732.672359275977</v>
      </c>
      <c r="M12" s="92">
        <f>+PL!U34</f>
        <v>19225.646491871281</v>
      </c>
      <c r="N12" s="243">
        <f>+PL!V34</f>
        <v>16776.347528637059</v>
      </c>
      <c r="O12" s="243">
        <f>+PL!W34</f>
        <v>15000.913303005145</v>
      </c>
      <c r="P12" s="243">
        <f>+PL!X34</f>
        <v>21976.353230743764</v>
      </c>
      <c r="Q12" s="243">
        <f>+PL!Y34</f>
        <v>34865.859400268091</v>
      </c>
      <c r="R12" s="243">
        <f>+PL!Z34</f>
        <v>26373.395206001584</v>
      </c>
      <c r="S12" s="243">
        <f>+PL!AA34</f>
        <v>32709.981100336434</v>
      </c>
      <c r="T12" s="243">
        <f>+PL!AB34</f>
        <v>31117.694282033495</v>
      </c>
      <c r="U12" s="127">
        <f>+PL!AC34</f>
        <v>28642.931542032995</v>
      </c>
      <c r="V12" s="128">
        <f t="shared" si="0"/>
        <v>2.8693279563925932E-2</v>
      </c>
      <c r="W12" s="129">
        <f t="shared" si="1"/>
        <v>3.8655221901482614E-2</v>
      </c>
      <c r="X12" s="129">
        <f t="shared" si="2"/>
        <v>1.9305795408259149E-2</v>
      </c>
      <c r="Y12" s="129">
        <f t="shared" si="3"/>
        <v>8.0620949104387492E-3</v>
      </c>
      <c r="Z12" s="129">
        <f t="shared" si="4"/>
        <v>1.5438153918172933E-2</v>
      </c>
      <c r="AA12" s="129">
        <f t="shared" si="5"/>
        <v>2.9378874050246238E-3</v>
      </c>
      <c r="AB12" s="129">
        <f t="shared" si="6"/>
        <v>4.7330153545415889E-3</v>
      </c>
      <c r="AC12" s="129">
        <f t="shared" si="7"/>
        <v>1.6375084603054178E-2</v>
      </c>
      <c r="AD12" s="129">
        <f t="shared" si="8"/>
        <v>1.3002752159641941E-2</v>
      </c>
      <c r="AE12" s="129">
        <f t="shared" si="9"/>
        <v>3.4405007335202652E-2</v>
      </c>
      <c r="AF12" s="129">
        <f t="shared" si="10"/>
        <v>4.1228556110540014E-2</v>
      </c>
      <c r="AG12" s="129">
        <f t="shared" si="11"/>
        <v>4.1739436478726626E-2</v>
      </c>
      <c r="AH12" s="129">
        <f t="shared" si="12"/>
        <v>3.5635630514698133E-2</v>
      </c>
      <c r="AI12" s="129">
        <f t="shared" si="13"/>
        <v>5.0669815384309196E-2</v>
      </c>
      <c r="AJ12" s="129">
        <f t="shared" si="14"/>
        <v>5.7101610487595642E-2</v>
      </c>
      <c r="AK12" s="129">
        <f t="shared" si="15"/>
        <v>5.3039285986930709E-2</v>
      </c>
      <c r="AL12" s="129">
        <f t="shared" si="16"/>
        <v>6.415885509732365E-2</v>
      </c>
      <c r="AM12" s="129">
        <f t="shared" si="17"/>
        <v>5.6305030125626265E-2</v>
      </c>
      <c r="AN12" s="129">
        <f t="shared" si="19"/>
        <v>5.217736525161102E-2</v>
      </c>
    </row>
    <row r="13" spans="1:40" x14ac:dyDescent="0.2">
      <c r="A13" s="112" t="s">
        <v>312</v>
      </c>
      <c r="B13" s="79" t="s">
        <v>254</v>
      </c>
      <c r="C13" s="92">
        <f>PL!K38</f>
        <v>8068.5359431229699</v>
      </c>
      <c r="D13" s="92">
        <f>PL!L38</f>
        <v>3795.9087481146307</v>
      </c>
      <c r="E13" s="92">
        <f>PL!M38</f>
        <v>1941.7759394961477</v>
      </c>
      <c r="F13" s="92">
        <f>PL!N38</f>
        <v>-840.99770914266651</v>
      </c>
      <c r="G13" s="92">
        <f>PL!O38</f>
        <v>2483.6581056210766</v>
      </c>
      <c r="H13" s="92">
        <f>PL!P38</f>
        <v>-777.02789697397793</v>
      </c>
      <c r="I13" s="92">
        <f>PL!Q38</f>
        <v>-1550.9490888707821</v>
      </c>
      <c r="J13" s="92">
        <f>PL!R38</f>
        <v>1148.6573494731438</v>
      </c>
      <c r="K13" s="92">
        <f>PL!S38</f>
        <v>-4829.2269687239641</v>
      </c>
      <c r="L13" s="92">
        <f>PL!T38</f>
        <v>8879.5262784086972</v>
      </c>
      <c r="M13" s="92">
        <f>PL!U38</f>
        <v>10769.538842515687</v>
      </c>
      <c r="N13" s="243">
        <f>PL!V38</f>
        <v>9945.3613190129781</v>
      </c>
      <c r="O13" s="243">
        <f>PL!W38</f>
        <v>8727.024691697301</v>
      </c>
      <c r="P13" s="243">
        <f>PL!X38</f>
        <v>14663.948992896116</v>
      </c>
      <c r="Q13" s="243">
        <f>PL!Y38</f>
        <v>26813.732660714802</v>
      </c>
      <c r="R13" s="243">
        <f>PL!Z38</f>
        <v>15306.307977942914</v>
      </c>
      <c r="S13" s="243">
        <f>PL!AA38</f>
        <v>21779.970017811203</v>
      </c>
      <c r="T13" s="243">
        <f>PL!AB38</f>
        <v>18426.199484689329</v>
      </c>
      <c r="U13" s="127">
        <f>PL!AC38</f>
        <v>18104.31176528697</v>
      </c>
      <c r="V13" s="128">
        <f t="shared" si="0"/>
        <v>1.6930543932610519E-2</v>
      </c>
      <c r="W13" s="129">
        <f t="shared" si="1"/>
        <v>8.789186770491713E-3</v>
      </c>
      <c r="X13" s="129">
        <f t="shared" si="2"/>
        <v>4.1290050577098584E-3</v>
      </c>
      <c r="Y13" s="129">
        <f t="shared" si="3"/>
        <v>-2.1997386299358718E-3</v>
      </c>
      <c r="Z13" s="129">
        <f t="shared" si="4"/>
        <v>5.5848056774253606E-3</v>
      </c>
      <c r="AA13" s="129">
        <f t="shared" si="5"/>
        <v>-1.6673406837416076E-3</v>
      </c>
      <c r="AB13" s="129">
        <f t="shared" si="6"/>
        <v>-2.7158986604317462E-3</v>
      </c>
      <c r="AC13" s="129">
        <f t="shared" si="7"/>
        <v>3.0171270162060505E-3</v>
      </c>
      <c r="AD13" s="129">
        <f t="shared" si="8"/>
        <v>-1.0026609043650941E-2</v>
      </c>
      <c r="AE13" s="129">
        <f t="shared" si="9"/>
        <v>2.2246228465169812E-2</v>
      </c>
      <c r="AF13" s="129">
        <f t="shared" si="10"/>
        <v>2.3094803945398108E-2</v>
      </c>
      <c r="AG13" s="129">
        <f t="shared" si="11"/>
        <v>2.4743990092261262E-2</v>
      </c>
      <c r="AH13" s="129">
        <f t="shared" si="12"/>
        <v>2.0731606211181215E-2</v>
      </c>
      <c r="AI13" s="129">
        <f t="shared" si="13"/>
        <v>3.3809958389071013E-2</v>
      </c>
      <c r="AJ13" s="129">
        <f t="shared" si="14"/>
        <v>4.391422854469737E-2</v>
      </c>
      <c r="AK13" s="129">
        <f t="shared" si="15"/>
        <v>3.0782371397574566E-2</v>
      </c>
      <c r="AL13" s="129">
        <f t="shared" si="16"/>
        <v>4.2720230748847177E-2</v>
      </c>
      <c r="AM13" s="129">
        <f t="shared" si="17"/>
        <v>3.3340764507904075E-2</v>
      </c>
      <c r="AN13" s="129">
        <f t="shared" si="19"/>
        <v>3.2979699938191775E-2</v>
      </c>
    </row>
    <row r="14" spans="1:40" x14ac:dyDescent="0.2">
      <c r="A14" s="112" t="s">
        <v>317</v>
      </c>
      <c r="B14" s="79" t="s">
        <v>318</v>
      </c>
      <c r="C14" s="102">
        <f>PL!K5</f>
        <v>21.347318528921299</v>
      </c>
      <c r="D14" s="102">
        <f>PL!L5</f>
        <v>19.453054298642535</v>
      </c>
      <c r="E14" s="102">
        <f>PL!M5</f>
        <v>22.748031868795213</v>
      </c>
      <c r="F14" s="102">
        <f>PL!N5</f>
        <v>21.848411568045332</v>
      </c>
      <c r="G14" s="102">
        <f>PL!O5</f>
        <v>20.205459362863763</v>
      </c>
      <c r="H14" s="102">
        <f>PL!P5</f>
        <v>20.152178392700858</v>
      </c>
      <c r="I14" s="102">
        <f>PL!Q5</f>
        <v>22.821736819167953</v>
      </c>
      <c r="J14" s="102">
        <f>PL!R5</f>
        <v>19.853952851186037</v>
      </c>
      <c r="K14" s="102">
        <f>PL!S5</f>
        <v>23.141805274563811</v>
      </c>
      <c r="L14" s="102">
        <f>PL!T5</f>
        <v>19.858120360783609</v>
      </c>
      <c r="M14" s="102">
        <f>PL!U5</f>
        <v>20.072881892659066</v>
      </c>
      <c r="N14" s="247">
        <f>PL!V5</f>
        <v>17.618263452592512</v>
      </c>
      <c r="O14" s="247">
        <f>PL!W5</f>
        <v>19.500963661852872</v>
      </c>
      <c r="P14" s="247">
        <f>PL!X5</f>
        <v>19.952157532469993</v>
      </c>
      <c r="Q14" s="247">
        <f>PL!Y5</f>
        <v>25.465956937246414</v>
      </c>
      <c r="R14" s="247">
        <f>PL!Z5</f>
        <v>23.765799442876588</v>
      </c>
      <c r="S14" s="247">
        <f>PL!AA5</f>
        <v>21.333267365921234</v>
      </c>
      <c r="T14" s="247">
        <f>PL!AB5</f>
        <v>22.438014071945297</v>
      </c>
      <c r="U14" s="144">
        <f>PL!AC5</f>
        <v>23.274622147584708</v>
      </c>
      <c r="V14" s="130"/>
      <c r="W14" s="91"/>
      <c r="X14" s="91"/>
      <c r="Y14" s="91"/>
      <c r="Z14" s="91"/>
      <c r="AA14" s="91"/>
      <c r="AB14" s="91"/>
      <c r="AC14" s="91"/>
      <c r="AD14" s="91"/>
      <c r="AE14" s="91"/>
      <c r="AF14" s="91"/>
      <c r="AG14" s="91"/>
      <c r="AH14" s="91"/>
      <c r="AI14" s="91"/>
      <c r="AJ14" s="91"/>
      <c r="AK14" s="91"/>
      <c r="AL14" s="91"/>
      <c r="AM14" s="91"/>
      <c r="AN14" s="91"/>
    </row>
    <row r="15" spans="1:40" x14ac:dyDescent="0.2">
      <c r="A15" s="195" t="s">
        <v>323</v>
      </c>
      <c r="B15" s="189"/>
      <c r="C15" s="193"/>
      <c r="D15" s="193"/>
      <c r="E15" s="193"/>
      <c r="F15" s="193"/>
      <c r="G15" s="193"/>
      <c r="H15" s="193"/>
      <c r="I15" s="193"/>
      <c r="J15" s="193"/>
      <c r="K15" s="193"/>
      <c r="L15" s="193"/>
      <c r="M15" s="193"/>
      <c r="N15" s="193"/>
      <c r="O15" s="193"/>
      <c r="P15" s="193"/>
      <c r="Q15" s="193"/>
      <c r="R15" s="193"/>
      <c r="S15" s="193"/>
      <c r="T15" s="193"/>
      <c r="U15" s="198"/>
      <c r="V15" s="200" t="s">
        <v>383</v>
      </c>
      <c r="W15" s="193"/>
      <c r="X15" s="193"/>
      <c r="Y15" s="193"/>
      <c r="Z15" s="193"/>
      <c r="AA15" s="193"/>
      <c r="AB15" s="193"/>
      <c r="AC15" s="193"/>
      <c r="AD15" s="193"/>
      <c r="AE15" s="193"/>
      <c r="AF15" s="193"/>
      <c r="AG15" s="152"/>
      <c r="AH15" s="152"/>
      <c r="AI15" s="152"/>
      <c r="AJ15" s="152"/>
      <c r="AK15" s="152"/>
      <c r="AL15" s="152"/>
      <c r="AM15" s="152"/>
      <c r="AN15" s="152"/>
    </row>
    <row r="16" spans="1:40" x14ac:dyDescent="0.2">
      <c r="A16" s="113" t="s">
        <v>372</v>
      </c>
      <c r="B16" s="81" t="s">
        <v>254</v>
      </c>
      <c r="C16" s="82">
        <f>BS!K10</f>
        <v>83999.648907223687</v>
      </c>
      <c r="D16" s="82">
        <f>BS!L10</f>
        <v>85014.328808446444</v>
      </c>
      <c r="E16" s="82">
        <f>BS!M10</f>
        <v>136404.46511815389</v>
      </c>
      <c r="F16" s="82">
        <f>BS!N10</f>
        <v>78901.552349765334</v>
      </c>
      <c r="G16" s="82">
        <f>BS!O10</f>
        <v>64285.36268204471</v>
      </c>
      <c r="H16" s="82">
        <f>BS!P10</f>
        <v>106994.61880451931</v>
      </c>
      <c r="I16" s="82">
        <f>BS!Q10</f>
        <v>119458.85010413289</v>
      </c>
      <c r="J16" s="82">
        <f>BS!R10</f>
        <v>83091.756217888309</v>
      </c>
      <c r="K16" s="82">
        <f>BS!S10</f>
        <v>85549.495789858323</v>
      </c>
      <c r="L16" s="82">
        <f>BS!T10</f>
        <v>77753.305439934193</v>
      </c>
      <c r="M16" s="82">
        <f>BS!U10</f>
        <v>64148.835968589512</v>
      </c>
      <c r="N16" s="240">
        <f>BS!V10</f>
        <v>54027.678654219941</v>
      </c>
      <c r="O16" s="240">
        <f>BS!W10</f>
        <v>82387.486693305109</v>
      </c>
      <c r="P16" s="240">
        <f>BS!X10</f>
        <v>70646.614137468074</v>
      </c>
      <c r="Q16" s="240">
        <f>BS!Y10</f>
        <v>96338.662810464913</v>
      </c>
      <c r="R16" s="240">
        <f>BS!Z10</f>
        <v>103457.24998342266</v>
      </c>
      <c r="S16" s="240">
        <f>BS!AA10</f>
        <v>130602.4858499901</v>
      </c>
      <c r="T16" s="240">
        <f>BS!AB10</f>
        <v>172104.30115944901</v>
      </c>
      <c r="U16" s="114">
        <f>BS!AC10</f>
        <v>135012.17277486913</v>
      </c>
      <c r="V16" s="115">
        <f t="shared" ref="V16:V25" si="20">+C16/C$25</f>
        <v>0.15752551702751016</v>
      </c>
      <c r="W16" s="116">
        <f t="shared" ref="W16:W25" si="21">+D16/D$25</f>
        <v>0.18851724470229522</v>
      </c>
      <c r="X16" s="116">
        <f t="shared" ref="X16:X25" si="22">+E16/E$25</f>
        <v>0.23523887272045396</v>
      </c>
      <c r="Y16" s="116">
        <f t="shared" ref="Y16:Y25" si="23">+F16/F$25</f>
        <v>0.18103122358133644</v>
      </c>
      <c r="Z16" s="116">
        <f t="shared" ref="Z16:Z25" si="24">+G16/G$25</f>
        <v>0.1410901674344007</v>
      </c>
      <c r="AA16" s="116">
        <f t="shared" ref="AA16:AA25" si="25">+H16/H$25</f>
        <v>0.20839287968031905</v>
      </c>
      <c r="AB16" s="116">
        <f t="shared" ref="AB16:AB25" si="26">+I16/I$25</f>
        <v>0.18873462196661694</v>
      </c>
      <c r="AC16" s="116">
        <f t="shared" ref="AC16:AC25" si="27">+J16/J$25</f>
        <v>0.18347369051800982</v>
      </c>
      <c r="AD16" s="116">
        <f t="shared" ref="AD16:AD25" si="28">+K16/K$25</f>
        <v>0.18178240912649901</v>
      </c>
      <c r="AE16" s="116">
        <f t="shared" ref="AE16:AE25" si="29">+L16/L$25</f>
        <v>0.18091169227027171</v>
      </c>
      <c r="AF16" s="116">
        <f t="shared" ref="AF16:AF25" si="30">+M16/M$25</f>
        <v>0.13558578380065783</v>
      </c>
      <c r="AG16" s="116">
        <f t="shared" ref="AG16:AG25" si="31">+N16/N$25</f>
        <v>0.1437080090062676</v>
      </c>
      <c r="AH16" s="116">
        <f t="shared" ref="AH16:AH25" si="32">+O16/O$25</f>
        <v>0.18214647691801444</v>
      </c>
      <c r="AI16" s="116">
        <f t="shared" ref="AI16:AI25" si="33">+P16/P$25</f>
        <v>0.16405132212747384</v>
      </c>
      <c r="AJ16" s="116">
        <f t="shared" ref="AJ16:AJ25" si="34">+Q16/Q$25</f>
        <v>0.17454655319608342</v>
      </c>
      <c r="AK16" s="116">
        <f t="shared" ref="AK16:AK25" si="35">+R16/R$25</f>
        <v>0.19205048193957391</v>
      </c>
      <c r="AL16" s="116">
        <f t="shared" ref="AL16:AL25" si="36">+S16/S$25</f>
        <v>0.22308501730104349</v>
      </c>
      <c r="AM16" s="116">
        <f t="shared" ref="AM16:AM25" si="37">+T16/T$25</f>
        <v>0.26980675779357921</v>
      </c>
      <c r="AN16" s="116">
        <f t="shared" ref="AN16" si="38">+U16/U$25</f>
        <v>0.2191116122388371</v>
      </c>
    </row>
    <row r="17" spans="1:40" x14ac:dyDescent="0.2">
      <c r="A17" s="131" t="s">
        <v>373</v>
      </c>
      <c r="B17" s="84" t="s">
        <v>254</v>
      </c>
      <c r="C17" s="85">
        <f>BS!K11+BS!K12+BS!K14</f>
        <v>147896.8664969714</v>
      </c>
      <c r="D17" s="85">
        <f>BS!L11+BS!L12+BS!L14</f>
        <v>133981.42911010559</v>
      </c>
      <c r="E17" s="85">
        <f>BS!M11+BS!M12+BS!M14</f>
        <v>148149.08624499876</v>
      </c>
      <c r="F17" s="85">
        <f>BS!N11+BS!N12+BS!N14</f>
        <v>108889.22147997613</v>
      </c>
      <c r="G17" s="85">
        <f>BS!O11+BS!O12+BS!O14</f>
        <v>104670.113327856</v>
      </c>
      <c r="H17" s="85">
        <f>BS!P11+BS!P12+BS!P14</f>
        <v>112071.6742991397</v>
      </c>
      <c r="I17" s="85">
        <f>BS!Q11+BS!Q12+BS!Q14</f>
        <v>158003.64260140643</v>
      </c>
      <c r="J17" s="85">
        <f>BS!R11+BS!R12+BS!R14</f>
        <v>127374.52063109033</v>
      </c>
      <c r="K17" s="85">
        <f>BS!S11+BS!S12+BS!S14</f>
        <v>125345.16780067827</v>
      </c>
      <c r="L17" s="85">
        <f>BS!T11+BS!T12+BS!T14</f>
        <v>110499.02101496892</v>
      </c>
      <c r="M17" s="85">
        <f>BS!U11+BS!U12+BS!U14</f>
        <v>132751.3226925616</v>
      </c>
      <c r="N17" s="241">
        <f>BS!V11+BS!V12+BS!V14</f>
        <v>111899.68737783603</v>
      </c>
      <c r="O17" s="241">
        <f>BS!W11+BS!W12+BS!W14</f>
        <v>128834.33472511556</v>
      </c>
      <c r="P17" s="241">
        <f>BS!X11+BS!X12+BS!X14</f>
        <v>117801.47079168417</v>
      </c>
      <c r="Q17" s="241">
        <f>BS!Y11+BS!Y12+BS!Y14</f>
        <v>147557.08671680826</v>
      </c>
      <c r="R17" s="241">
        <f>BS!Z11+BS!Z12+BS!Z14</f>
        <v>137009.07501286315</v>
      </c>
      <c r="S17" s="241">
        <f>BS!AA11+BS!AA12+BS!AA14</f>
        <v>157337.04838709685</v>
      </c>
      <c r="T17" s="241">
        <f>BS!AB11+BS!AB12+BS!AB14</f>
        <v>140519.62352591412</v>
      </c>
      <c r="U17" s="118">
        <f>BS!AC11+BS!AC12+BS!AC14</f>
        <v>156041.06509927887</v>
      </c>
      <c r="V17" s="119">
        <f t="shared" si="20"/>
        <v>0.27735271116925536</v>
      </c>
      <c r="W17" s="120">
        <f t="shared" si="21"/>
        <v>0.29710062069682014</v>
      </c>
      <c r="X17" s="120">
        <f t="shared" si="22"/>
        <v>0.2554932788501556</v>
      </c>
      <c r="Y17" s="120">
        <f t="shared" si="23"/>
        <v>0.24983474231223854</v>
      </c>
      <c r="Z17" s="120">
        <f t="shared" si="24"/>
        <v>0.22972451579447445</v>
      </c>
      <c r="AA17" s="120">
        <f t="shared" si="25"/>
        <v>0.21828143507349965</v>
      </c>
      <c r="AB17" s="120">
        <f t="shared" si="26"/>
        <v>0.24963205095085034</v>
      </c>
      <c r="AC17" s="120">
        <f t="shared" si="27"/>
        <v>0.28125381435995417</v>
      </c>
      <c r="AD17" s="120">
        <f t="shared" si="28"/>
        <v>0.2663434350465656</v>
      </c>
      <c r="AE17" s="120">
        <f t="shared" si="29"/>
        <v>0.25710244436449597</v>
      </c>
      <c r="AF17" s="120">
        <f t="shared" si="30"/>
        <v>0.28058485966383434</v>
      </c>
      <c r="AG17" s="120">
        <f t="shared" si="31"/>
        <v>0.29764153637640245</v>
      </c>
      <c r="AH17" s="120">
        <f t="shared" si="32"/>
        <v>0.28483354837140507</v>
      </c>
      <c r="AI17" s="120">
        <f t="shared" si="33"/>
        <v>0.27355149666949619</v>
      </c>
      <c r="AJ17" s="120">
        <f t="shared" si="34"/>
        <v>0.26734418077553734</v>
      </c>
      <c r="AK17" s="120">
        <f t="shared" si="35"/>
        <v>0.25433363916527624</v>
      </c>
      <c r="AL17" s="120">
        <f t="shared" si="36"/>
        <v>0.26875091950275676</v>
      </c>
      <c r="AM17" s="120">
        <f t="shared" si="37"/>
        <v>0.22029167065834085</v>
      </c>
      <c r="AN17" s="120">
        <f t="shared" ref="AN17:AN25" si="39">+U17/U$25</f>
        <v>0.25323945720346525</v>
      </c>
    </row>
    <row r="18" spans="1:40" x14ac:dyDescent="0.2">
      <c r="A18" s="131" t="s">
        <v>374</v>
      </c>
      <c r="B18" s="84" t="s">
        <v>254</v>
      </c>
      <c r="C18" s="85">
        <f>BS!K13</f>
        <v>44965.505134731902</v>
      </c>
      <c r="D18" s="85">
        <f>BS!L13</f>
        <v>25335.312971342384</v>
      </c>
      <c r="E18" s="85">
        <f>BS!M13</f>
        <v>59441.483558610824</v>
      </c>
      <c r="F18" s="85">
        <f>BS!N13</f>
        <v>46935.863323197016</v>
      </c>
      <c r="G18" s="85">
        <f>BS!O13</f>
        <v>34696.770187812399</v>
      </c>
      <c r="H18" s="85">
        <f>BS!P13</f>
        <v>38495.83377616066</v>
      </c>
      <c r="I18" s="85">
        <f>BS!Q13</f>
        <v>48672.877991005786</v>
      </c>
      <c r="J18" s="85">
        <f>BS!R13</f>
        <v>40495.052144724352</v>
      </c>
      <c r="K18" s="85">
        <f>BS!S13</f>
        <v>55867.424129803716</v>
      </c>
      <c r="L18" s="85">
        <f>BS!T13</f>
        <v>40716.627334719902</v>
      </c>
      <c r="M18" s="85">
        <f>BS!U13</f>
        <v>44509.089061989318</v>
      </c>
      <c r="N18" s="241">
        <f>BS!V13</f>
        <v>41820.01561064861</v>
      </c>
      <c r="O18" s="241">
        <f>BS!W13</f>
        <v>33752.349336853782</v>
      </c>
      <c r="P18" s="241">
        <f>BS!X13</f>
        <v>36866.133199523079</v>
      </c>
      <c r="Q18" s="241">
        <f>BS!Y13</f>
        <v>49686.872269260755</v>
      </c>
      <c r="R18" s="241">
        <f>BS!Z13</f>
        <v>52916.485304682072</v>
      </c>
      <c r="S18" s="241">
        <f>BS!AA13</f>
        <v>55028.615673857108</v>
      </c>
      <c r="T18" s="241">
        <f>BS!AB13</f>
        <v>49974.132593400056</v>
      </c>
      <c r="U18" s="118">
        <f>BS!AC13</f>
        <v>59883.053343870393</v>
      </c>
      <c r="V18" s="119">
        <f t="shared" si="20"/>
        <v>8.432433393352759E-2</v>
      </c>
      <c r="W18" s="120">
        <f t="shared" si="21"/>
        <v>5.6180451718784392E-2</v>
      </c>
      <c r="X18" s="120">
        <f t="shared" si="22"/>
        <v>0.10251092274029991</v>
      </c>
      <c r="Y18" s="120">
        <f t="shared" si="23"/>
        <v>0.10768934848808459</v>
      </c>
      <c r="Z18" s="120">
        <f t="shared" si="24"/>
        <v>7.6150664956871755E-2</v>
      </c>
      <c r="AA18" s="120">
        <f t="shared" si="25"/>
        <v>7.4978141386398037E-2</v>
      </c>
      <c r="AB18" s="120">
        <f t="shared" si="26"/>
        <v>7.6898925610384153E-2</v>
      </c>
      <c r="AC18" s="120">
        <f t="shared" si="27"/>
        <v>8.9416531830534537E-2</v>
      </c>
      <c r="AD18" s="120">
        <f t="shared" si="28"/>
        <v>0.11871156990748222</v>
      </c>
      <c r="AE18" s="120">
        <f t="shared" si="29"/>
        <v>9.4736987874459347E-2</v>
      </c>
      <c r="AF18" s="120">
        <f t="shared" si="30"/>
        <v>9.4074968557154304E-2</v>
      </c>
      <c r="AG18" s="120">
        <f t="shared" si="31"/>
        <v>0.11123689430524752</v>
      </c>
      <c r="AH18" s="120">
        <f t="shared" si="32"/>
        <v>7.4621423303031537E-2</v>
      </c>
      <c r="AI18" s="120">
        <f t="shared" si="33"/>
        <v>8.5608319194758684E-2</v>
      </c>
      <c r="AJ18" s="120">
        <f t="shared" si="34"/>
        <v>9.0022759717518566E-2</v>
      </c>
      <c r="AK18" s="120">
        <f t="shared" si="35"/>
        <v>9.8230298088736845E-2</v>
      </c>
      <c r="AL18" s="120">
        <f t="shared" si="36"/>
        <v>9.399560505881302E-2</v>
      </c>
      <c r="AM18" s="120">
        <f t="shared" si="37"/>
        <v>7.8344112249000744E-2</v>
      </c>
      <c r="AN18" s="120">
        <f t="shared" si="39"/>
        <v>9.7184365633748646E-2</v>
      </c>
    </row>
    <row r="19" spans="1:40" x14ac:dyDescent="0.2">
      <c r="A19" s="131" t="s">
        <v>375</v>
      </c>
      <c r="B19" s="84" t="s">
        <v>254</v>
      </c>
      <c r="C19" s="85">
        <f>BS!K16+BS!K25</f>
        <v>212701.92223295043</v>
      </c>
      <c r="D19" s="85">
        <f>BS!L16+BS!L25</f>
        <v>172708.99321266968</v>
      </c>
      <c r="E19" s="85">
        <f>BS!M16+BS!M25</f>
        <v>180764.69111082287</v>
      </c>
      <c r="F19" s="85">
        <f>BS!N16+BS!N25</f>
        <v>177509.55046551937</v>
      </c>
      <c r="G19" s="85">
        <f>BS!O16+BS!O25</f>
        <v>194645.19981920024</v>
      </c>
      <c r="H19" s="85">
        <f>BS!P16+BS!P25</f>
        <v>207110.95099632713</v>
      </c>
      <c r="I19" s="85">
        <f>BS!Q16+BS!Q25</f>
        <v>246288.16770348139</v>
      </c>
      <c r="J19" s="85">
        <f>BS!R16+BS!R25</f>
        <v>160665.83814417623</v>
      </c>
      <c r="K19" s="85">
        <f>BS!S16+BS!S25</f>
        <v>165908.14079267113</v>
      </c>
      <c r="L19" s="85">
        <f>BS!T16+BS!T25</f>
        <v>155250.67008297535</v>
      </c>
      <c r="M19" s="85">
        <f>BS!U16+BS!U25</f>
        <v>198726.97139235263</v>
      </c>
      <c r="N19" s="241">
        <f>BS!V16+BS!V25</f>
        <v>133728.99060467407</v>
      </c>
      <c r="O19" s="241">
        <f>BS!W16+BS!W25</f>
        <v>157330.72608190624</v>
      </c>
      <c r="P19" s="241">
        <f>BS!X16+BS!X25</f>
        <v>154509.40116165704</v>
      </c>
      <c r="Q19" s="241">
        <f>BS!Y16+BS!Y25</f>
        <v>204161.80629429012</v>
      </c>
      <c r="R19" s="241">
        <f>BS!Z16+BS!Z25</f>
        <v>181211.35106227073</v>
      </c>
      <c r="S19" s="241">
        <f>BS!AA16+BS!AA25</f>
        <v>193860.95398773006</v>
      </c>
      <c r="T19" s="241">
        <f>BS!AB16+BS!AB25</f>
        <v>206271.86393816271</v>
      </c>
      <c r="U19" s="118">
        <f>BS!AC16+BS!AC25</f>
        <v>198383.99268991404</v>
      </c>
      <c r="V19" s="119">
        <f t="shared" si="20"/>
        <v>0.39888238472874588</v>
      </c>
      <c r="W19" s="120">
        <f t="shared" si="21"/>
        <v>0.38297806960425113</v>
      </c>
      <c r="X19" s="120">
        <f t="shared" si="22"/>
        <v>0.31174113052485197</v>
      </c>
      <c r="Y19" s="120">
        <f t="shared" si="23"/>
        <v>0.40727679191525484</v>
      </c>
      <c r="Z19" s="120">
        <f t="shared" si="24"/>
        <v>0.42719715168479228</v>
      </c>
      <c r="AA19" s="120">
        <f t="shared" si="25"/>
        <v>0.40338895519884799</v>
      </c>
      <c r="AB19" s="120">
        <f t="shared" si="26"/>
        <v>0.3891139433022146</v>
      </c>
      <c r="AC19" s="120">
        <f t="shared" si="27"/>
        <v>0.35476388520640179</v>
      </c>
      <c r="AD19" s="120">
        <f t="shared" si="28"/>
        <v>0.35253488344422756</v>
      </c>
      <c r="AE19" s="120">
        <f t="shared" si="29"/>
        <v>0.36122787696147735</v>
      </c>
      <c r="AF19" s="120">
        <f t="shared" si="30"/>
        <v>0.42003181775202342</v>
      </c>
      <c r="AG19" s="120">
        <f t="shared" si="31"/>
        <v>0.35570521378886816</v>
      </c>
      <c r="AH19" s="120">
        <f t="shared" si="32"/>
        <v>0.34783483046948083</v>
      </c>
      <c r="AI19" s="120">
        <f t="shared" si="33"/>
        <v>0.35879244676003258</v>
      </c>
      <c r="AJ19" s="120">
        <f t="shared" si="34"/>
        <v>0.36990070801650998</v>
      </c>
      <c r="AK19" s="120">
        <f t="shared" si="35"/>
        <v>0.33638751571307784</v>
      </c>
      <c r="AL19" s="120">
        <f t="shared" si="36"/>
        <v>0.33113821680257732</v>
      </c>
      <c r="AM19" s="120">
        <f t="shared" si="37"/>
        <v>0.32337101663503925</v>
      </c>
      <c r="AN19" s="120">
        <f t="shared" si="39"/>
        <v>0.32195790636706073</v>
      </c>
    </row>
    <row r="20" spans="1:40" x14ac:dyDescent="0.2">
      <c r="A20" s="136" t="s">
        <v>376</v>
      </c>
      <c r="B20" s="89" t="s">
        <v>254</v>
      </c>
      <c r="C20" s="90">
        <f>BS!K27+BS!K28</f>
        <v>43680.768893180008</v>
      </c>
      <c r="D20" s="90">
        <f>BS!L27+BS!L28</f>
        <v>33923.076923076922</v>
      </c>
      <c r="E20" s="90">
        <f>BS!M27+BS!M28</f>
        <v>55095.395447485193</v>
      </c>
      <c r="F20" s="90">
        <f>BS!N27+BS!N28</f>
        <v>26370.823496429333</v>
      </c>
      <c r="G20" s="90">
        <f>BS!O27+BS!O28</f>
        <v>57335.741263369979</v>
      </c>
      <c r="H20" s="90">
        <f>BS!P27+BS!P28</f>
        <v>48754.343294154634</v>
      </c>
      <c r="I20" s="90">
        <f>BS!Q27+BS!Q28</f>
        <v>60522.59972434245</v>
      </c>
      <c r="J20" s="90">
        <f>BS!R27+BS!R28</f>
        <v>41253.875279109569</v>
      </c>
      <c r="K20" s="90">
        <f>BS!S27+BS!S28</f>
        <v>37944.591704967104</v>
      </c>
      <c r="L20" s="90">
        <f>BS!T27+BS!T28</f>
        <v>45566.336693041681</v>
      </c>
      <c r="M20" s="90">
        <f>BS!U27+BS!U28</f>
        <v>32987.394366750385</v>
      </c>
      <c r="N20" s="244">
        <f>BS!V27+BS!V28</f>
        <v>34478.169380593587</v>
      </c>
      <c r="O20" s="244">
        <f>BS!W27+BS!W28</f>
        <v>50009.570548254138</v>
      </c>
      <c r="P20" s="244">
        <f>BS!X27+BS!X28</f>
        <v>50813.654590173537</v>
      </c>
      <c r="Q20" s="244">
        <f>BS!Y27+BS!Y28</f>
        <v>54192.353509436136</v>
      </c>
      <c r="R20" s="244">
        <f>BS!Z27+BS!Z28</f>
        <v>64104.044121994441</v>
      </c>
      <c r="S20" s="244">
        <f>BS!AA27+BS!AA28</f>
        <v>48609.073223827436</v>
      </c>
      <c r="T20" s="244">
        <f>BS!AB27+BS!AB28</f>
        <v>69009.954613021502</v>
      </c>
      <c r="U20" s="137">
        <f>BS!AC27+BS!AC28</f>
        <v>66859.622839079311</v>
      </c>
      <c r="V20" s="138">
        <f t="shared" si="20"/>
        <v>8.1915053140961827E-2</v>
      </c>
      <c r="W20" s="139">
        <f t="shared" si="21"/>
        <v>7.5223613277849044E-2</v>
      </c>
      <c r="X20" s="139">
        <f t="shared" si="22"/>
        <v>9.5015795164238664E-2</v>
      </c>
      <c r="Y20" s="139">
        <f t="shared" si="23"/>
        <v>6.0505050943021881E-2</v>
      </c>
      <c r="Z20" s="139">
        <f t="shared" si="24"/>
        <v>0.12583750012946252</v>
      </c>
      <c r="AA20" s="139">
        <f t="shared" si="25"/>
        <v>9.4958588660933568E-2</v>
      </c>
      <c r="AB20" s="139">
        <f t="shared" si="26"/>
        <v>9.5620458169933933E-2</v>
      </c>
      <c r="AC20" s="139">
        <f t="shared" si="27"/>
        <v>9.1092078085099393E-2</v>
      </c>
      <c r="AD20" s="139">
        <f t="shared" si="28"/>
        <v>8.0627702475225937E-2</v>
      </c>
      <c r="AE20" s="139">
        <f t="shared" si="29"/>
        <v>0.10602099852929575</v>
      </c>
      <c r="AF20" s="139">
        <f t="shared" si="30"/>
        <v>6.9722570226329217E-2</v>
      </c>
      <c r="AG20" s="139">
        <f t="shared" si="31"/>
        <v>9.1708346523212289E-2</v>
      </c>
      <c r="AH20" s="139">
        <f t="shared" si="32"/>
        <v>0.11056372093806814</v>
      </c>
      <c r="AI20" s="139">
        <f t="shared" si="33"/>
        <v>0.11799641524823834</v>
      </c>
      <c r="AJ20" s="139">
        <f t="shared" si="34"/>
        <v>9.8185798294350493E-2</v>
      </c>
      <c r="AK20" s="139">
        <f t="shared" si="35"/>
        <v>0.11899806509333483</v>
      </c>
      <c r="AL20" s="139">
        <f t="shared" si="36"/>
        <v>8.3030241503830121E-2</v>
      </c>
      <c r="AM20" s="139">
        <f t="shared" si="37"/>
        <v>0.10818644266403991</v>
      </c>
      <c r="AN20" s="139">
        <f t="shared" si="39"/>
        <v>0.10850665871720649</v>
      </c>
    </row>
    <row r="21" spans="1:40" x14ac:dyDescent="0.2">
      <c r="A21" s="131" t="s">
        <v>377</v>
      </c>
      <c r="B21" s="154" t="s">
        <v>254</v>
      </c>
      <c r="C21" s="85">
        <f>BS!K32+BS!K36+BS!K42</f>
        <v>146079.17142104809</v>
      </c>
      <c r="D21" s="85">
        <f>BS!L32+BS!L36+BS!L42</f>
        <v>110986.33107088989</v>
      </c>
      <c r="E21" s="85">
        <f>BS!M32+BS!M36+BS!M42</f>
        <v>141566.27661886628</v>
      </c>
      <c r="F21" s="85">
        <f>BS!N32+BS!N36+BS!N42</f>
        <v>99071.048826027123</v>
      </c>
      <c r="G21" s="85">
        <f>BS!O32+BS!O36+BS!O42</f>
        <v>102357.14439107447</v>
      </c>
      <c r="H21" s="85">
        <f>BS!P32+BS!P36+BS!P42</f>
        <v>115927.95230202029</v>
      </c>
      <c r="I21" s="85">
        <f>BS!Q32+BS!Q36+BS!Q42</f>
        <v>142219.05668943061</v>
      </c>
      <c r="J21" s="85">
        <f>BS!R32+BS!R36+BS!R42</f>
        <v>91575.83065837856</v>
      </c>
      <c r="K21" s="85">
        <f>BS!S32+BS!S36+BS!S42+BS!S35+BS!S41</f>
        <v>124571.09850813267</v>
      </c>
      <c r="L21" s="85">
        <f>BS!T32+BS!T36+BS!T42+BS!T35+BS!T41</f>
        <v>98650.248298616119</v>
      </c>
      <c r="M21" s="85">
        <f>BS!U32+BS!U36+BS!U42+BS!U35+BS!U41</f>
        <v>114136.20618275739</v>
      </c>
      <c r="N21" s="241">
        <f>BS!V32+BS!V36+BS!V42+BS!V35+BS!V41</f>
        <v>96859.686018411419</v>
      </c>
      <c r="O21" s="241">
        <f>BS!W32+BS!W36+BS!W42+BS!W35+BS!W41</f>
        <v>103428.62383961176</v>
      </c>
      <c r="P21" s="241">
        <f>BS!X32+BS!X36+BS!X42+BS!X35+BS!X41</f>
        <v>114179.25067401335</v>
      </c>
      <c r="Q21" s="241">
        <f>BS!Y32+BS!Y36+BS!Y42+BS!Y35+BS!Y41</f>
        <v>171174.57808904996</v>
      </c>
      <c r="R21" s="241">
        <f>BS!Z32+BS!Z36+BS!Z42+BS!Z35+BS!Z41</f>
        <v>135136.90385549993</v>
      </c>
      <c r="S21" s="241">
        <f>BS!AA32+BS!AA36+BS!AA42+BS!AA35+BS!AA41</f>
        <v>133725.15792598456</v>
      </c>
      <c r="T21" s="241">
        <f>BS!AB32+BS!AB36+BS!AB42+BS!AB35+BS!AB41</f>
        <v>148080.50213061145</v>
      </c>
      <c r="U21" s="118">
        <f>BS!AC32+BS!AC36+BS!AC42+BS!AC35+BS!AC41</f>
        <v>141983.89420132368</v>
      </c>
      <c r="V21" s="119">
        <f t="shared" si="20"/>
        <v>0.27394396648569802</v>
      </c>
      <c r="W21" s="120">
        <f t="shared" si="21"/>
        <v>0.24610953972528629</v>
      </c>
      <c r="X21" s="120">
        <f t="shared" si="22"/>
        <v>0.24414077133184664</v>
      </c>
      <c r="Y21" s="120">
        <f t="shared" si="23"/>
        <v>0.22730798896018625</v>
      </c>
      <c r="Z21" s="120">
        <f t="shared" si="24"/>
        <v>0.22464813198102165</v>
      </c>
      <c r="AA21" s="120">
        <f t="shared" si="25"/>
        <v>0.22579228830001921</v>
      </c>
      <c r="AB21" s="120">
        <f t="shared" si="26"/>
        <v>0.22469377427733933</v>
      </c>
      <c r="AC21" s="120">
        <f t="shared" si="27"/>
        <v>0.20220725109102794</v>
      </c>
      <c r="AD21" s="120">
        <f t="shared" si="28"/>
        <v>0.26469863071977651</v>
      </c>
      <c r="AE21" s="120">
        <f t="shared" si="29"/>
        <v>0.22953343605915563</v>
      </c>
      <c r="AF21" s="120">
        <f t="shared" si="30"/>
        <v>0.24123971607060971</v>
      </c>
      <c r="AG21" s="120">
        <f t="shared" si="31"/>
        <v>0.25763669617870777</v>
      </c>
      <c r="AH21" s="120">
        <f t="shared" si="32"/>
        <v>0.22866530101827626</v>
      </c>
      <c r="AI21" s="120">
        <f t="shared" si="33"/>
        <v>0.26514019477490935</v>
      </c>
      <c r="AJ21" s="120">
        <f t="shared" si="34"/>
        <v>0.31013439182790864</v>
      </c>
      <c r="AK21" s="120">
        <f t="shared" si="35"/>
        <v>0.25085827737958616</v>
      </c>
      <c r="AL21" s="120">
        <f t="shared" si="36"/>
        <v>0.22841892308059233</v>
      </c>
      <c r="AM21" s="120">
        <f t="shared" si="37"/>
        <v>0.23214480929962475</v>
      </c>
      <c r="AN21" s="120">
        <f t="shared" si="39"/>
        <v>0.23042603737869266</v>
      </c>
    </row>
    <row r="22" spans="1:40" x14ac:dyDescent="0.2">
      <c r="A22" s="132" t="s">
        <v>378</v>
      </c>
      <c r="B22" s="84" t="s">
        <v>254</v>
      </c>
      <c r="C22" s="87">
        <f>BS!K33+BS!K34+BS!K38+BS!K39+BS!K40</f>
        <v>237673.22039849032</v>
      </c>
      <c r="D22" s="87">
        <f>BS!L33+BS!L34+BS!L38+BS!L39+BS!L40</f>
        <v>191442.59049773758</v>
      </c>
      <c r="E22" s="87">
        <f>BS!M33+BS!M34+BS!M38+BS!M39+BS!M40</f>
        <v>240921.84216501622</v>
      </c>
      <c r="F22" s="87">
        <f>BS!N33+BS!N34+BS!N38+BS!N39+BS!N40</f>
        <v>174653.23231868781</v>
      </c>
      <c r="G22" s="87">
        <f>BS!O33+BS!O34+BS!O38+BS!O39+BS!O40</f>
        <v>186586.78283720536</v>
      </c>
      <c r="H22" s="87">
        <f>BS!P33+BS!P34+BS!P38+BS!P39+BS!P40</f>
        <v>164617.66786837738</v>
      </c>
      <c r="I22" s="87">
        <f>BS!Q33+BS!Q34+BS!Q38+BS!Q39+BS!Q40</f>
        <v>183363.71826150673</v>
      </c>
      <c r="J22" s="87">
        <f>BS!R33+BS!R34+BS!R38+BS!R39+BS!R40</f>
        <v>169436.43442235049</v>
      </c>
      <c r="K22" s="87">
        <f>BS!S33+BS!S34+BS!S38+BS!S39+BS!S40</f>
        <v>160566.92146556237</v>
      </c>
      <c r="L22" s="87">
        <f>BS!T33+BS!T34+BS!T38+BS!T39+BS!T40</f>
        <v>158669.49997830376</v>
      </c>
      <c r="M22" s="87">
        <f>BS!U33+BS!U34+BS!U38+BS!U39+BS!U40</f>
        <v>181462.40985522704</v>
      </c>
      <c r="N22" s="245">
        <f>BS!V33+BS!V34+BS!V38+BS!V39+BS!V40</f>
        <v>125686.5399580396</v>
      </c>
      <c r="O22" s="245">
        <f>BS!W33+BS!W34+BS!W38+BS!W39+BS!W40</f>
        <v>131148.8293277628</v>
      </c>
      <c r="P22" s="245">
        <f>BS!X33+BS!X34+BS!X38+BS!X39+BS!X40</f>
        <v>129934.74845257387</v>
      </c>
      <c r="Q22" s="245">
        <f>BS!Y33+BS!Y34+BS!Y38+BS!Y39+BS!Y40</f>
        <v>133480.03819511476</v>
      </c>
      <c r="R22" s="245">
        <f>BS!Z33+BS!Z34+BS!Z38+BS!Z39+BS!Z40</f>
        <v>144975.18138402392</v>
      </c>
      <c r="S22" s="245">
        <f>BS!AA33+BS!AA34+BS!AA38+BS!AA39+BS!AA40</f>
        <v>143862.29467642985</v>
      </c>
      <c r="T22" s="245">
        <f>BS!AB33+BS!AB34+BS!AB38+BS!AB39+BS!AB40</f>
        <v>179776.34446536517</v>
      </c>
      <c r="U22" s="133">
        <f>BS!AC33+BS!AC34+BS!AC38+BS!AC39+BS!AC40</f>
        <v>171710.49501136027</v>
      </c>
      <c r="V22" s="134">
        <f t="shared" si="20"/>
        <v>0.44571135015358243</v>
      </c>
      <c r="W22" s="135">
        <f t="shared" si="21"/>
        <v>0.4245193743824231</v>
      </c>
      <c r="X22" s="135">
        <f t="shared" si="22"/>
        <v>0.41548627103623204</v>
      </c>
      <c r="Y22" s="135">
        <f t="shared" si="23"/>
        <v>0.40072327359198662</v>
      </c>
      <c r="Z22" s="135">
        <f t="shared" si="24"/>
        <v>0.40951095759937828</v>
      </c>
      <c r="AA22" s="135">
        <f t="shared" si="25"/>
        <v>0.32062500186131315</v>
      </c>
      <c r="AB22" s="135">
        <f t="shared" si="26"/>
        <v>0.28969877090154106</v>
      </c>
      <c r="AC22" s="135">
        <f t="shared" si="27"/>
        <v>0.37413011045479438</v>
      </c>
      <c r="AD22" s="135">
        <f t="shared" si="28"/>
        <v>0.34118543353817737</v>
      </c>
      <c r="AE22" s="135">
        <f t="shared" si="29"/>
        <v>0.36918260375345746</v>
      </c>
      <c r="AF22" s="135">
        <f t="shared" si="30"/>
        <v>0.383541224078086</v>
      </c>
      <c r="AG22" s="135">
        <f t="shared" si="31"/>
        <v>0.33431313108703747</v>
      </c>
      <c r="AH22" s="135">
        <f t="shared" si="32"/>
        <v>0.28995055162806843</v>
      </c>
      <c r="AI22" s="135">
        <f t="shared" si="33"/>
        <v>0.30172666495336486</v>
      </c>
      <c r="AJ22" s="135">
        <f t="shared" si="34"/>
        <v>0.24183936031244163</v>
      </c>
      <c r="AK22" s="135">
        <f t="shared" si="35"/>
        <v>0.26912133715655745</v>
      </c>
      <c r="AL22" s="135">
        <f t="shared" si="36"/>
        <v>0.24573439232789002</v>
      </c>
      <c r="AM22" s="135">
        <f t="shared" si="37"/>
        <v>0.28183416859084576</v>
      </c>
      <c r="AN22" s="135">
        <f t="shared" si="39"/>
        <v>0.27866941644591581</v>
      </c>
    </row>
    <row r="23" spans="1:40" x14ac:dyDescent="0.2">
      <c r="A23" s="132" t="s">
        <v>379</v>
      </c>
      <c r="B23" s="84" t="s">
        <v>254</v>
      </c>
      <c r="C23" s="87">
        <f>BS!K45</f>
        <v>26590.713596067799</v>
      </c>
      <c r="D23" s="87">
        <f>BS!L45</f>
        <v>39616.233031674208</v>
      </c>
      <c r="E23" s="87">
        <f>BS!M45</f>
        <v>30362.275402433534</v>
      </c>
      <c r="F23" s="87">
        <f>BS!N45</f>
        <v>19967.308854106235</v>
      </c>
      <c r="G23" s="87">
        <f>BS!O45</f>
        <v>18021.31845958166</v>
      </c>
      <c r="H23" s="87">
        <f>BS!P45</f>
        <v>19805.514193174007</v>
      </c>
      <c r="I23" s="87">
        <f>BS!Q45</f>
        <v>24274.843458423707</v>
      </c>
      <c r="J23" s="87">
        <f>BS!R45</f>
        <v>18702.842942785013</v>
      </c>
      <c r="K23" s="87">
        <f>BS!S45</f>
        <v>20091.339066166263</v>
      </c>
      <c r="L23" s="87">
        <f>BS!T45</f>
        <v>16691.702685137348</v>
      </c>
      <c r="M23" s="87">
        <f>BS!U45</f>
        <v>22046.126815028907</v>
      </c>
      <c r="N23" s="245">
        <f>BS!V45</f>
        <v>20868.531040628241</v>
      </c>
      <c r="O23" s="245">
        <f>BS!W45</f>
        <v>30795.086696125953</v>
      </c>
      <c r="P23" s="245">
        <f>BS!X45</f>
        <v>26224.350212593137</v>
      </c>
      <c r="Q23" s="245">
        <f>BS!Y45</f>
        <v>27420.194699835196</v>
      </c>
      <c r="R23" s="245">
        <f>BS!Z45</f>
        <v>19123.735568503595</v>
      </c>
      <c r="S23" s="245">
        <f>BS!AA45</f>
        <v>23593.627152186818</v>
      </c>
      <c r="T23" s="245">
        <f>BS!AB45</f>
        <v>18610.717768308394</v>
      </c>
      <c r="U23" s="133">
        <f>BS!AC45</f>
        <v>18528.956534624125</v>
      </c>
      <c r="V23" s="134">
        <f t="shared" si="20"/>
        <v>4.9865873986894828E-2</v>
      </c>
      <c r="W23" s="135">
        <f t="shared" si="21"/>
        <v>8.7848051043758563E-2</v>
      </c>
      <c r="X23" s="135">
        <f t="shared" si="22"/>
        <v>5.2361830184295494E-2</v>
      </c>
      <c r="Y23" s="135">
        <f t="shared" si="23"/>
        <v>4.5812867375049249E-2</v>
      </c>
      <c r="Z23" s="135">
        <f t="shared" si="24"/>
        <v>3.9552251597721862E-2</v>
      </c>
      <c r="AA23" s="135">
        <f t="shared" si="25"/>
        <v>3.8575100153453973E-2</v>
      </c>
      <c r="AB23" s="135">
        <f t="shared" si="26"/>
        <v>3.8352147199062124E-2</v>
      </c>
      <c r="AC23" s="135">
        <f t="shared" si="27"/>
        <v>4.129747370958492E-2</v>
      </c>
      <c r="AD23" s="135">
        <f t="shared" si="28"/>
        <v>4.2691683735884896E-2</v>
      </c>
      <c r="AE23" s="135">
        <f t="shared" si="29"/>
        <v>3.8837245086297024E-2</v>
      </c>
      <c r="AF23" s="135">
        <f t="shared" si="30"/>
        <v>4.6596969981622549E-2</v>
      </c>
      <c r="AG23" s="135">
        <f t="shared" si="31"/>
        <v>5.5508123270070146E-2</v>
      </c>
      <c r="AH23" s="135">
        <f t="shared" si="32"/>
        <v>6.8083355533892873E-2</v>
      </c>
      <c r="AI23" s="135">
        <f t="shared" si="33"/>
        <v>6.0896610217419114E-2</v>
      </c>
      <c r="AJ23" s="135">
        <f t="shared" si="34"/>
        <v>4.9679955411441025E-2</v>
      </c>
      <c r="AK23" s="135">
        <f t="shared" si="35"/>
        <v>3.549990583554638E-2</v>
      </c>
      <c r="AL23" s="135">
        <f t="shared" si="36"/>
        <v>4.0300800457086894E-2</v>
      </c>
      <c r="AM23" s="135">
        <f t="shared" si="37"/>
        <v>2.9175897333481377E-2</v>
      </c>
      <c r="AN23" s="135">
        <f t="shared" si="39"/>
        <v>3.007069256025284E-2</v>
      </c>
    </row>
    <row r="24" spans="1:40" x14ac:dyDescent="0.2">
      <c r="A24" s="136" t="s">
        <v>380</v>
      </c>
      <c r="B24" s="89" t="s">
        <v>254</v>
      </c>
      <c r="C24" s="90">
        <f>BS!K43-BS!K45</f>
        <v>122901.51847625722</v>
      </c>
      <c r="D24" s="90">
        <f>BS!L43-BS!L45</f>
        <v>108917.98642533936</v>
      </c>
      <c r="E24" s="90">
        <f>BS!M43-BS!M45</f>
        <v>167004.72729375542</v>
      </c>
      <c r="F24" s="90">
        <f>BS!N43-BS!N45</f>
        <v>142153.4028640553</v>
      </c>
      <c r="G24" s="90">
        <f>BS!O43-BS!O45</f>
        <v>148667.94159242188</v>
      </c>
      <c r="H24" s="90">
        <f>BS!P43-BS!P45</f>
        <v>213076.28680672991</v>
      </c>
      <c r="I24" s="90">
        <f>BS!Q43-BS!Q45</f>
        <v>280468.39666304528</v>
      </c>
      <c r="J24" s="90">
        <f>BS!R43-BS!R45</f>
        <v>171991.98549504831</v>
      </c>
      <c r="K24" s="90">
        <f>BS!S43-BS!S45</f>
        <v>165385.46117811723</v>
      </c>
      <c r="L24" s="90">
        <f>BS!T43-BS!T45</f>
        <v>155774.50960358296</v>
      </c>
      <c r="M24" s="90">
        <f>BS!U43-BS!U45</f>
        <v>155478.87062923046</v>
      </c>
      <c r="N24" s="244">
        <f>BS!V43-BS!V45</f>
        <v>132539.78461089314</v>
      </c>
      <c r="O24" s="244">
        <f>BS!W43-BS!W45</f>
        <v>186941.92752193441</v>
      </c>
      <c r="P24" s="244">
        <f>BS!X43-BS!X45</f>
        <v>160298.92454132548</v>
      </c>
      <c r="Q24" s="244">
        <f>BS!Y43-BS!Y45</f>
        <v>219861.97061626028</v>
      </c>
      <c r="R24" s="244">
        <f>BS!Z43-BS!Z45</f>
        <v>239462.38467720561</v>
      </c>
      <c r="S24" s="244">
        <f>BS!AA43-BS!AA45</f>
        <v>284257.09716999799</v>
      </c>
      <c r="T24" s="244">
        <f>BS!AB43-BS!AB45</f>
        <v>291412.31146566244</v>
      </c>
      <c r="U24" s="137">
        <f>BS!AC43-BS!AC45</f>
        <v>283956.56090091873</v>
      </c>
      <c r="V24" s="138">
        <f t="shared" si="20"/>
        <v>0.23047864477173555</v>
      </c>
      <c r="W24" s="139">
        <f t="shared" si="21"/>
        <v>0.24152303484853202</v>
      </c>
      <c r="X24" s="139">
        <f t="shared" si="22"/>
        <v>0.28801112744762586</v>
      </c>
      <c r="Y24" s="139">
        <f t="shared" si="23"/>
        <v>0.32615587007277846</v>
      </c>
      <c r="Z24" s="139">
        <f t="shared" si="24"/>
        <v>0.32628865882188002</v>
      </c>
      <c r="AA24" s="139">
        <f t="shared" si="25"/>
        <v>0.41500760968521228</v>
      </c>
      <c r="AB24" s="139">
        <f t="shared" si="26"/>
        <v>0.44311574045489388</v>
      </c>
      <c r="AC24" s="139">
        <f t="shared" si="27"/>
        <v>0.3797729853675067</v>
      </c>
      <c r="AD24" s="139">
        <f t="shared" si="28"/>
        <v>0.35142425200616151</v>
      </c>
      <c r="AE24" s="139">
        <f t="shared" si="29"/>
        <v>0.36244671510109033</v>
      </c>
      <c r="AF24" s="139">
        <f t="shared" si="30"/>
        <v>0.32862208986968161</v>
      </c>
      <c r="AG24" s="139">
        <f t="shared" si="31"/>
        <v>0.3525420494641831</v>
      </c>
      <c r="AH24" s="139">
        <f t="shared" si="32"/>
        <v>0.41330079181976265</v>
      </c>
      <c r="AI24" s="139">
        <f t="shared" si="33"/>
        <v>0.37223653005430618</v>
      </c>
      <c r="AJ24" s="139">
        <f t="shared" si="34"/>
        <v>0.39834629244820852</v>
      </c>
      <c r="AK24" s="139">
        <f t="shared" si="35"/>
        <v>0.44452047962830971</v>
      </c>
      <c r="AL24" s="139">
        <f t="shared" si="36"/>
        <v>0.48554588396541004</v>
      </c>
      <c r="AM24" s="139">
        <f t="shared" si="37"/>
        <v>0.45684512477604816</v>
      </c>
      <c r="AN24" s="139">
        <f t="shared" si="39"/>
        <v>0.46083385361513857</v>
      </c>
    </row>
    <row r="25" spans="1:40" x14ac:dyDescent="0.2">
      <c r="A25" s="112" t="s">
        <v>313</v>
      </c>
      <c r="B25" s="79" t="s">
        <v>254</v>
      </c>
      <c r="C25" s="92">
        <f>BS!K29</f>
        <v>533244.711665057</v>
      </c>
      <c r="D25" s="92">
        <f>BS!L29</f>
        <v>450963.14102564106</v>
      </c>
      <c r="E25" s="92">
        <f>BS!M29</f>
        <v>579855.12148007145</v>
      </c>
      <c r="F25" s="92">
        <f>BS!N29</f>
        <v>435844.99286287621</v>
      </c>
      <c r="G25" s="92">
        <f>BS!O29</f>
        <v>455633.18728028255</v>
      </c>
      <c r="H25" s="92">
        <f>BS!P29</f>
        <v>513427.42117030232</v>
      </c>
      <c r="I25" s="92">
        <f>BS!Q29</f>
        <v>632946.13812436897</v>
      </c>
      <c r="J25" s="92">
        <f>BS!R29</f>
        <v>452881.04241698893</v>
      </c>
      <c r="K25" s="92">
        <f>BS!S29</f>
        <v>470614.82021797838</v>
      </c>
      <c r="L25" s="92">
        <f>BS!T29</f>
        <v>429785.96056564001</v>
      </c>
      <c r="M25" s="92">
        <f>BS!U29</f>
        <v>473123.61348224385</v>
      </c>
      <c r="N25" s="243">
        <f>BS!V29</f>
        <v>375954.54162797297</v>
      </c>
      <c r="O25" s="243">
        <f>BS!W29</f>
        <v>452314.46738543484</v>
      </c>
      <c r="P25" s="243">
        <f>BS!X29</f>
        <v>430637.27388050605</v>
      </c>
      <c r="Q25" s="243">
        <f>BS!Y29</f>
        <v>551936.78160026029</v>
      </c>
      <c r="R25" s="243">
        <f>BS!Z29</f>
        <v>538698.20548523322</v>
      </c>
      <c r="S25" s="243">
        <f>BS!AA29</f>
        <v>585438.17702355038</v>
      </c>
      <c r="T25" s="243">
        <f>BS!AB29</f>
        <v>637879.87582994741</v>
      </c>
      <c r="U25" s="127">
        <f>BS!AC29</f>
        <v>616179.9066482269</v>
      </c>
      <c r="V25" s="128">
        <f t="shared" si="20"/>
        <v>1</v>
      </c>
      <c r="W25" s="129">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9"/>
        <v>1</v>
      </c>
    </row>
    <row r="26" spans="1:40" x14ac:dyDescent="0.2">
      <c r="A26" s="195" t="s">
        <v>309</v>
      </c>
      <c r="B26" s="189"/>
      <c r="C26" s="194"/>
      <c r="D26" s="194"/>
      <c r="E26" s="194"/>
      <c r="F26" s="194"/>
      <c r="G26" s="194"/>
      <c r="H26" s="194"/>
      <c r="I26" s="194"/>
      <c r="J26" s="194"/>
      <c r="K26" s="194"/>
      <c r="L26" s="194"/>
      <c r="M26" s="194"/>
      <c r="N26" s="194"/>
      <c r="O26" s="194"/>
      <c r="P26" s="194"/>
      <c r="Q26" s="194"/>
      <c r="R26" s="194"/>
      <c r="S26" s="194"/>
      <c r="T26" s="194"/>
      <c r="U26" s="199"/>
      <c r="V26" s="141"/>
      <c r="W26" s="141"/>
      <c r="X26" s="141"/>
      <c r="Y26" s="141"/>
      <c r="Z26" s="141"/>
      <c r="AA26" s="141"/>
      <c r="AB26" s="100"/>
      <c r="AC26" s="100"/>
      <c r="AD26" s="100"/>
      <c r="AE26" s="100"/>
      <c r="AF26" s="100"/>
      <c r="AG26" s="100"/>
      <c r="AH26" s="100"/>
      <c r="AI26" s="100"/>
      <c r="AJ26" s="100"/>
      <c r="AK26" s="100"/>
      <c r="AL26" s="100"/>
      <c r="AM26" s="100"/>
      <c r="AN26" s="100"/>
    </row>
    <row r="27" spans="1:40" x14ac:dyDescent="0.2">
      <c r="A27" s="112" t="s">
        <v>343</v>
      </c>
      <c r="B27" s="79" t="s">
        <v>164</v>
      </c>
      <c r="C27" s="101">
        <f t="shared" ref="C27:U27" si="40">+C13/C25*100</f>
        <v>1.5131019148654958</v>
      </c>
      <c r="D27" s="101">
        <f>+D13/D25*100</f>
        <v>0.84173370344225118</v>
      </c>
      <c r="E27" s="101">
        <f t="shared" si="40"/>
        <v>0.33487260309778655</v>
      </c>
      <c r="F27" s="101">
        <f t="shared" si="40"/>
        <v>-0.19295798343776266</v>
      </c>
      <c r="G27" s="101">
        <f t="shared" si="40"/>
        <v>0.54510035154512471</v>
      </c>
      <c r="H27" s="101">
        <f t="shared" si="40"/>
        <v>-0.15134133178995909</v>
      </c>
      <c r="I27" s="101">
        <f t="shared" si="40"/>
        <v>-0.2450365039696368</v>
      </c>
      <c r="J27" s="101">
        <f t="shared" si="40"/>
        <v>0.25363334780869912</v>
      </c>
      <c r="K27" s="101">
        <f t="shared" si="40"/>
        <v>-1.0261527604437048</v>
      </c>
      <c r="L27" s="101">
        <f>+L13/L25*100</f>
        <v>2.0660345132545466</v>
      </c>
      <c r="M27" s="101">
        <f>+M13/M25*100</f>
        <v>2.2762632292331912</v>
      </c>
      <c r="N27" s="246">
        <f>+N13/N25*100</f>
        <v>2.6453627281498417</v>
      </c>
      <c r="O27" s="246">
        <f>+O13/O25*100</f>
        <v>1.9294153340137719</v>
      </c>
      <c r="P27" s="246">
        <f>+P13/P25*100</f>
        <v>3.4051741180595276</v>
      </c>
      <c r="Q27" s="246">
        <f t="shared" ref="Q27:R27" si="41">+Q13/Q25*100</f>
        <v>4.8581166457093676</v>
      </c>
      <c r="R27" s="246">
        <f t="shared" si="41"/>
        <v>2.8413512096547144</v>
      </c>
      <c r="S27" s="246">
        <f t="shared" ref="S27:T27" si="42">+S13/S25*100</f>
        <v>3.7202852278174992</v>
      </c>
      <c r="T27" s="246">
        <f t="shared" si="42"/>
        <v>2.8886629258706344</v>
      </c>
      <c r="U27" s="142">
        <f t="shared" si="40"/>
        <v>2.9381535441113638</v>
      </c>
      <c r="V27" s="143"/>
      <c r="W27" s="143"/>
      <c r="X27" s="143"/>
      <c r="Y27" s="143"/>
      <c r="Z27" s="143"/>
      <c r="AA27" s="143"/>
      <c r="AB27" s="101"/>
      <c r="AC27" s="101"/>
      <c r="AD27" s="101"/>
      <c r="AE27" s="101"/>
      <c r="AF27" s="101"/>
      <c r="AG27" s="101"/>
      <c r="AH27" s="101"/>
      <c r="AI27" s="101"/>
      <c r="AJ27" s="101"/>
      <c r="AK27" s="101"/>
      <c r="AL27" s="101"/>
      <c r="AM27" s="101"/>
      <c r="AN27" s="101"/>
    </row>
    <row r="28" spans="1:40" x14ac:dyDescent="0.2">
      <c r="A28" s="112" t="s">
        <v>315</v>
      </c>
      <c r="B28" s="79" t="s">
        <v>149</v>
      </c>
      <c r="C28" s="102">
        <f t="shared" ref="C28:U28" si="43">(C23+C24)/C25*100</f>
        <v>28.034451875863038</v>
      </c>
      <c r="D28" s="102">
        <f>(D23+D24)/D25*100</f>
        <v>32.937108589229055</v>
      </c>
      <c r="E28" s="102">
        <f t="shared" si="43"/>
        <v>34.037295763192134</v>
      </c>
      <c r="F28" s="102">
        <f t="shared" si="43"/>
        <v>37.196873744782764</v>
      </c>
      <c r="G28" s="102">
        <f t="shared" si="43"/>
        <v>36.584091041960193</v>
      </c>
      <c r="H28" s="102">
        <f t="shared" si="43"/>
        <v>45.358270983866625</v>
      </c>
      <c r="I28" s="102">
        <f t="shared" si="43"/>
        <v>48.146788765395591</v>
      </c>
      <c r="J28" s="102">
        <f t="shared" si="43"/>
        <v>42.107045907709164</v>
      </c>
      <c r="K28" s="102">
        <f t="shared" si="43"/>
        <v>39.411593574204637</v>
      </c>
      <c r="L28" s="102">
        <f>(L23+L24)/L25*100</f>
        <v>40.128396018738734</v>
      </c>
      <c r="M28" s="102">
        <f>(M23+M24)/M25*100</f>
        <v>37.521905985130417</v>
      </c>
      <c r="N28" s="247">
        <f>(N23+N24)/N25*100</f>
        <v>40.805017273425328</v>
      </c>
      <c r="O28" s="247">
        <f>(O23+O24)/O25*100</f>
        <v>48.138414735365551</v>
      </c>
      <c r="P28" s="247">
        <f>(P23+P24)/P25*100</f>
        <v>43.313314027172531</v>
      </c>
      <c r="Q28" s="247">
        <f t="shared" ref="Q28:R28" si="44">(Q23+Q24)/Q25*100</f>
        <v>44.802624785964959</v>
      </c>
      <c r="R28" s="247">
        <f t="shared" si="44"/>
        <v>48.002038546385606</v>
      </c>
      <c r="S28" s="247">
        <f t="shared" ref="S28:T28" si="45">(S23+S24)/S25*100</f>
        <v>52.584668442249693</v>
      </c>
      <c r="T28" s="247">
        <f t="shared" si="45"/>
        <v>48.602102210952957</v>
      </c>
      <c r="U28" s="144">
        <f t="shared" si="43"/>
        <v>49.090454617539137</v>
      </c>
      <c r="V28" s="145"/>
      <c r="W28" s="145"/>
      <c r="X28" s="145"/>
      <c r="Y28" s="145"/>
      <c r="Z28" s="145"/>
      <c r="AA28" s="145"/>
      <c r="AB28" s="102"/>
      <c r="AC28" s="102"/>
      <c r="AD28" s="102"/>
      <c r="AE28" s="102"/>
      <c r="AF28" s="102"/>
      <c r="AG28" s="102"/>
      <c r="AH28" s="102"/>
      <c r="AI28" s="102"/>
      <c r="AJ28" s="102"/>
      <c r="AK28" s="102"/>
      <c r="AL28" s="102"/>
      <c r="AM28" s="102"/>
      <c r="AN28" s="102"/>
    </row>
    <row r="29" spans="1:40" x14ac:dyDescent="0.2">
      <c r="A29" s="112" t="s">
        <v>316</v>
      </c>
      <c r="B29" s="79" t="s">
        <v>164</v>
      </c>
      <c r="C29" s="102">
        <f t="shared" ref="C29:U29" si="46">+C13/(C23+C24)*100</f>
        <v>5.3972944488643231</v>
      </c>
      <c r="D29" s="102">
        <f>+D13/(D23+D24)*100</f>
        <v>2.5555786148074673</v>
      </c>
      <c r="E29" s="102">
        <f t="shared" si="46"/>
        <v>0.98384021288764401</v>
      </c>
      <c r="F29" s="102">
        <f t="shared" si="46"/>
        <v>-0.51874785166542914</v>
      </c>
      <c r="G29" s="102">
        <f t="shared" si="46"/>
        <v>1.4899928794729951</v>
      </c>
      <c r="H29" s="102">
        <f t="shared" si="46"/>
        <v>-0.33365762959480821</v>
      </c>
      <c r="I29" s="102">
        <f t="shared" si="46"/>
        <v>-0.50893633875277511</v>
      </c>
      <c r="J29" s="102">
        <f t="shared" si="46"/>
        <v>0.60235369720454013</v>
      </c>
      <c r="K29" s="102">
        <f t="shared" si="46"/>
        <v>-2.6036824887875993</v>
      </c>
      <c r="L29" s="102">
        <f>+L13/(L23+L24)*100</f>
        <v>5.148559918242861</v>
      </c>
      <c r="M29" s="102">
        <f>+M13/(M23+M24)*100</f>
        <v>6.06649147869848</v>
      </c>
      <c r="N29" s="247">
        <f>+N13/(N23+N24)*100</f>
        <v>6.4829349548460078</v>
      </c>
      <c r="O29" s="247">
        <f>+O13/(O23+O24)*100</f>
        <v>4.008057483031946</v>
      </c>
      <c r="P29" s="247">
        <f>+P13/(P23+P24)*100</f>
        <v>7.8617261101824205</v>
      </c>
      <c r="Q29" s="247">
        <f t="shared" ref="Q29:R29" si="47">+Q13/(Q23+Q24)*100</f>
        <v>10.84337506768407</v>
      </c>
      <c r="R29" s="247">
        <f t="shared" si="47"/>
        <v>5.9192302987487571</v>
      </c>
      <c r="S29" s="247">
        <f t="shared" ref="S29:T29" si="48">+S13/(S23+S24)*100</f>
        <v>7.0748477417961571</v>
      </c>
      <c r="T29" s="247">
        <f t="shared" si="48"/>
        <v>5.9434937882576735</v>
      </c>
      <c r="U29" s="144">
        <f t="shared" si="46"/>
        <v>5.9851829994290053</v>
      </c>
      <c r="V29" s="145"/>
      <c r="W29" s="145"/>
      <c r="X29" s="145"/>
      <c r="Y29" s="145"/>
      <c r="Z29" s="145"/>
      <c r="AA29" s="145"/>
      <c r="AB29" s="102"/>
      <c r="AC29" s="102"/>
      <c r="AD29" s="102"/>
      <c r="AE29" s="102"/>
      <c r="AF29" s="102"/>
      <c r="AG29" s="102"/>
      <c r="AH29" s="102"/>
      <c r="AI29" s="102"/>
      <c r="AJ29" s="102"/>
      <c r="AK29" s="102"/>
      <c r="AL29" s="102"/>
      <c r="AM29" s="102"/>
      <c r="AN29" s="102"/>
    </row>
    <row r="30" spans="1:40" x14ac:dyDescent="0.2">
      <c r="A30" s="112" t="s">
        <v>349</v>
      </c>
      <c r="B30" s="79" t="s">
        <v>167</v>
      </c>
      <c r="C30" s="101">
        <f t="shared" ref="C30:U30" si="49">C22/C25*100</f>
        <v>44.571135015358244</v>
      </c>
      <c r="D30" s="101">
        <f>D22/D25*100</f>
        <v>42.451937438242311</v>
      </c>
      <c r="E30" s="101">
        <f t="shared" si="49"/>
        <v>41.548627103623204</v>
      </c>
      <c r="F30" s="101">
        <f t="shared" si="49"/>
        <v>40.07232735919866</v>
      </c>
      <c r="G30" s="101">
        <f t="shared" si="49"/>
        <v>40.951095759937829</v>
      </c>
      <c r="H30" s="101">
        <f t="shared" si="49"/>
        <v>32.062500186131317</v>
      </c>
      <c r="I30" s="101">
        <f t="shared" si="49"/>
        <v>28.969877090154107</v>
      </c>
      <c r="J30" s="101">
        <f t="shared" si="49"/>
        <v>37.413011045479436</v>
      </c>
      <c r="K30" s="101">
        <f t="shared" si="49"/>
        <v>34.118543353817735</v>
      </c>
      <c r="L30" s="101">
        <f>L22/L25*100</f>
        <v>36.918260375345746</v>
      </c>
      <c r="M30" s="101">
        <f>M22/M25*100</f>
        <v>38.354122407808603</v>
      </c>
      <c r="N30" s="246">
        <f>N22/N25*100</f>
        <v>33.431313108703748</v>
      </c>
      <c r="O30" s="246">
        <f>O22/O25*100</f>
        <v>28.995055162806842</v>
      </c>
      <c r="P30" s="246">
        <f>P22/P25*100</f>
        <v>30.172666495336486</v>
      </c>
      <c r="Q30" s="246">
        <f t="shared" ref="Q30:R30" si="50">Q22/Q25*100</f>
        <v>24.183936031244162</v>
      </c>
      <c r="R30" s="246">
        <f t="shared" si="50"/>
        <v>26.912133715655745</v>
      </c>
      <c r="S30" s="246">
        <f t="shared" ref="S30:T30" si="51">S22/S25*100</f>
        <v>24.573439232789003</v>
      </c>
      <c r="T30" s="246">
        <f t="shared" si="51"/>
        <v>28.183416859084577</v>
      </c>
      <c r="U30" s="142">
        <f t="shared" si="49"/>
        <v>27.866941644591581</v>
      </c>
      <c r="V30" s="143"/>
      <c r="W30" s="143"/>
      <c r="X30" s="143"/>
      <c r="Y30" s="143"/>
      <c r="Z30" s="143"/>
      <c r="AA30" s="143"/>
      <c r="AB30" s="101"/>
      <c r="AC30" s="101"/>
      <c r="AD30" s="101"/>
      <c r="AE30" s="101"/>
      <c r="AF30" s="101"/>
      <c r="AG30" s="101"/>
      <c r="AH30" s="101"/>
      <c r="AI30" s="101"/>
      <c r="AJ30" s="101"/>
      <c r="AK30" s="101"/>
      <c r="AL30" s="101"/>
      <c r="AM30" s="101"/>
      <c r="AN30" s="101"/>
    </row>
    <row r="31" spans="1:40" x14ac:dyDescent="0.2">
      <c r="A31" s="112" t="s">
        <v>350</v>
      </c>
      <c r="B31" s="79" t="s">
        <v>254</v>
      </c>
      <c r="C31" s="100">
        <f t="shared" ref="C31:U31" si="52">+C5/C14</f>
        <v>22324.436042925827</v>
      </c>
      <c r="D31" s="100">
        <f>+D5/D14</f>
        <v>22201.344265790522</v>
      </c>
      <c r="E31" s="100">
        <f t="shared" si="52"/>
        <v>20673.303125695289</v>
      </c>
      <c r="F31" s="100">
        <f t="shared" si="52"/>
        <v>17498.622533931128</v>
      </c>
      <c r="G31" s="100">
        <f t="shared" si="52"/>
        <v>22009.745296558289</v>
      </c>
      <c r="H31" s="100">
        <f t="shared" si="52"/>
        <v>23125.453858909561</v>
      </c>
      <c r="I31" s="100">
        <f t="shared" si="52"/>
        <v>25022.7644848294</v>
      </c>
      <c r="J31" s="100">
        <f t="shared" si="52"/>
        <v>19175.642123498961</v>
      </c>
      <c r="K31" s="100">
        <f t="shared" si="52"/>
        <v>20812.598250798255</v>
      </c>
      <c r="L31" s="100">
        <f>+L5/L14</f>
        <v>20099.963332515981</v>
      </c>
      <c r="M31" s="100">
        <f>+M5/M14</f>
        <v>23231.277787026942</v>
      </c>
      <c r="N31" s="248">
        <f>+N5/N14</f>
        <v>22813.28010636209</v>
      </c>
      <c r="O31" s="248">
        <f>+O5/O14</f>
        <v>21586.248916090448</v>
      </c>
      <c r="P31" s="248">
        <f>+P5/P14</f>
        <v>21737.842606863589</v>
      </c>
      <c r="Q31" s="248">
        <f t="shared" ref="Q31:R31" si="53">+Q5/Q14</f>
        <v>23976.843960369242</v>
      </c>
      <c r="R31" s="248">
        <f t="shared" si="53"/>
        <v>20922.614147680928</v>
      </c>
      <c r="S31" s="248">
        <f t="shared" ref="S31:T31" si="54">+S5/S14</f>
        <v>23898.261635295974</v>
      </c>
      <c r="T31" s="248">
        <f t="shared" si="54"/>
        <v>24630.645776470486</v>
      </c>
      <c r="U31" s="140">
        <f t="shared" si="52"/>
        <v>23585.912371768478</v>
      </c>
      <c r="V31" s="141"/>
      <c r="W31" s="141"/>
      <c r="X31" s="141"/>
      <c r="Y31" s="141"/>
      <c r="Z31" s="141"/>
      <c r="AA31" s="141"/>
      <c r="AB31" s="100"/>
      <c r="AC31" s="100"/>
      <c r="AD31" s="100"/>
      <c r="AE31" s="100"/>
      <c r="AF31" s="100"/>
      <c r="AG31" s="100"/>
      <c r="AH31" s="100"/>
      <c r="AI31" s="100"/>
      <c r="AJ31" s="100"/>
      <c r="AK31" s="100"/>
      <c r="AL31" s="100"/>
      <c r="AM31" s="100"/>
      <c r="AN31" s="100"/>
    </row>
    <row r="32" spans="1:40" x14ac:dyDescent="0.2">
      <c r="A32" s="112" t="s">
        <v>185</v>
      </c>
      <c r="B32" s="79" t="s">
        <v>254</v>
      </c>
      <c r="C32" s="100">
        <f>PL!K47</f>
        <v>224396.66198542947</v>
      </c>
      <c r="D32" s="100">
        <f>PL!L47</f>
        <v>211369.90950226251</v>
      </c>
      <c r="E32" s="100">
        <f>PL!M47</f>
        <v>244619.69863568561</v>
      </c>
      <c r="F32" s="100">
        <f>PL!N47</f>
        <v>193926.6665637863</v>
      </c>
      <c r="G32" s="100">
        <f>PL!O47</f>
        <v>202804.53931107355</v>
      </c>
      <c r="H32" s="100">
        <f>PL!P47</f>
        <v>216396.97473553149</v>
      </c>
      <c r="I32" s="100">
        <f>PL!Q47</f>
        <v>285817.94829160115</v>
      </c>
      <c r="J32" s="100">
        <f>PL!R47</f>
        <v>191335.98833071918</v>
      </c>
      <c r="K32" s="100">
        <f>PL!S47</f>
        <v>231838.38289248871</v>
      </c>
      <c r="L32" s="100">
        <f>PL!T47</f>
        <v>208950.64928251438</v>
      </c>
      <c r="M32" s="100">
        <f>PL!U47</f>
        <v>259603.63816678704</v>
      </c>
      <c r="N32" s="248">
        <f>PL!V47</f>
        <v>207166.69580950239</v>
      </c>
      <c r="O32" s="248">
        <f>PL!W47</f>
        <v>206233.36761666383</v>
      </c>
      <c r="P32" s="248">
        <f>PL!X47</f>
        <v>214464.3769896006</v>
      </c>
      <c r="Q32" s="248">
        <f>PL!Y47</f>
        <v>312210.05679297459</v>
      </c>
      <c r="R32" s="248">
        <f>PL!Z47</f>
        <v>279466.82070161914</v>
      </c>
      <c r="S32" s="248">
        <f>PL!AA47</f>
        <v>283258.04076786072</v>
      </c>
      <c r="T32" s="248">
        <f>PL!AB47</f>
        <v>303141.09235952829</v>
      </c>
      <c r="U32" s="140">
        <f>PL!AC47</f>
        <v>296689.96888274222</v>
      </c>
      <c r="V32" s="141"/>
      <c r="W32" s="141"/>
      <c r="X32" s="141"/>
      <c r="Y32" s="141"/>
      <c r="Z32" s="141"/>
      <c r="AA32" s="141"/>
      <c r="AB32" s="100"/>
      <c r="AC32" s="100"/>
      <c r="AD32" s="100"/>
      <c r="AE32" s="100"/>
      <c r="AF32" s="100"/>
      <c r="AG32" s="100"/>
      <c r="AH32" s="100"/>
      <c r="AI32" s="100"/>
      <c r="AJ32" s="100"/>
      <c r="AK32" s="100"/>
      <c r="AL32" s="100"/>
      <c r="AM32" s="100"/>
      <c r="AN32" s="100"/>
    </row>
    <row r="33" spans="1:40" x14ac:dyDescent="0.2">
      <c r="A33" s="112" t="s">
        <v>381</v>
      </c>
      <c r="B33" s="79" t="s">
        <v>117</v>
      </c>
      <c r="C33" s="101">
        <f t="shared" ref="C33:U33" si="55">+C32/C5*100</f>
        <v>47.086083161265343</v>
      </c>
      <c r="D33" s="101">
        <f t="shared" si="55"/>
        <v>48.941366496232078</v>
      </c>
      <c r="E33" s="101">
        <f t="shared" si="55"/>
        <v>52.016092708631021</v>
      </c>
      <c r="F33" s="101">
        <f t="shared" si="55"/>
        <v>50.724035889458975</v>
      </c>
      <c r="G33" s="101">
        <f t="shared" si="55"/>
        <v>45.60305381762231</v>
      </c>
      <c r="H33" s="101">
        <f t="shared" si="55"/>
        <v>46.434301936940578</v>
      </c>
      <c r="I33" s="101">
        <f t="shared" si="55"/>
        <v>50.050165312498109</v>
      </c>
      <c r="J33" s="101">
        <f t="shared" si="55"/>
        <v>50.257370470826878</v>
      </c>
      <c r="K33" s="101">
        <f t="shared" si="55"/>
        <v>48.135091633298366</v>
      </c>
      <c r="L33" s="101">
        <f>+L32/L5*100</f>
        <v>52.349232787195717</v>
      </c>
      <c r="M33" s="101">
        <f>+M32/M5*100</f>
        <v>55.670862184972734</v>
      </c>
      <c r="N33" s="246">
        <f>+N32/N5*100</f>
        <v>51.542930459016944</v>
      </c>
      <c r="O33" s="246">
        <f>+O32/O5*100</f>
        <v>48.992057615032415</v>
      </c>
      <c r="P33" s="246">
        <f>+P32/P5*100</f>
        <v>49.44801475693324</v>
      </c>
      <c r="Q33" s="246">
        <f t="shared" ref="Q33:R33" si="56">+Q32/Q5*100</f>
        <v>51.132246157011309</v>
      </c>
      <c r="R33" s="246">
        <f t="shared" si="56"/>
        <v>56.203308338845872</v>
      </c>
      <c r="S33" s="246">
        <f t="shared" ref="S33:T33" si="57">+S32/S5*100</f>
        <v>55.55952948132412</v>
      </c>
      <c r="T33" s="246">
        <f t="shared" si="57"/>
        <v>54.851005935466446</v>
      </c>
      <c r="U33" s="142">
        <f t="shared" si="55"/>
        <v>54.046496079378556</v>
      </c>
      <c r="V33" s="143"/>
      <c r="W33" s="143"/>
      <c r="X33" s="143"/>
      <c r="Y33" s="143"/>
      <c r="Z33" s="143"/>
      <c r="AA33" s="143"/>
      <c r="AB33" s="101"/>
      <c r="AC33" s="101"/>
      <c r="AD33" s="101"/>
      <c r="AE33" s="101"/>
      <c r="AF33" s="101"/>
      <c r="AG33" s="101"/>
      <c r="AH33" s="101"/>
      <c r="AI33" s="101"/>
      <c r="AJ33" s="101"/>
      <c r="AK33" s="101"/>
      <c r="AL33" s="101"/>
      <c r="AM33" s="101"/>
      <c r="AN33" s="101"/>
    </row>
    <row r="34" spans="1:40" x14ac:dyDescent="0.2">
      <c r="A34" s="112" t="s">
        <v>351</v>
      </c>
      <c r="B34" s="79" t="s">
        <v>175</v>
      </c>
      <c r="C34" s="103">
        <f t="shared" ref="C34:U34" si="58">+C8/C32*100</f>
        <v>44.041568704451223</v>
      </c>
      <c r="D34" s="103">
        <f>+D8/D32*100</f>
        <v>40.72540865894927</v>
      </c>
      <c r="E34" s="103">
        <f t="shared" si="58"/>
        <v>43.065282297870013</v>
      </c>
      <c r="F34" s="103">
        <f t="shared" si="58"/>
        <v>45.468478033658435</v>
      </c>
      <c r="G34" s="103">
        <f t="shared" si="58"/>
        <v>41.684776811625191</v>
      </c>
      <c r="H34" s="103">
        <f t="shared" si="58"/>
        <v>39.808507595305791</v>
      </c>
      <c r="I34" s="103">
        <f t="shared" si="58"/>
        <v>38.43218105157662</v>
      </c>
      <c r="J34" s="103">
        <f t="shared" si="58"/>
        <v>40.585393373854536</v>
      </c>
      <c r="K34" s="103">
        <f t="shared" si="58"/>
        <v>46.503190456879345</v>
      </c>
      <c r="L34" s="103">
        <f>+L8/L32*100</f>
        <v>39.184709269356659</v>
      </c>
      <c r="M34" s="103">
        <f>+M8/M32*100</f>
        <v>30.776837807210111</v>
      </c>
      <c r="N34" s="249">
        <f>+N8/N32*100</f>
        <v>34.234353908673164</v>
      </c>
      <c r="O34" s="249">
        <f>+O8/O32*100</f>
        <v>36.387142863355002</v>
      </c>
      <c r="P34" s="249">
        <f>+P8/P32*100</f>
        <v>38.714710824784639</v>
      </c>
      <c r="Q34" s="249">
        <f t="shared" ref="Q34:R34" si="59">+Q8/Q32*100</f>
        <v>39.077570642460927</v>
      </c>
      <c r="R34" s="249">
        <f t="shared" si="59"/>
        <v>36.097981734248535</v>
      </c>
      <c r="S34" s="249">
        <f t="shared" ref="S34:T34" si="60">+S8/S32*100</f>
        <v>33.605776996689897</v>
      </c>
      <c r="T34" s="249">
        <f t="shared" si="60"/>
        <v>33.795865151100195</v>
      </c>
      <c r="U34" s="146">
        <f t="shared" si="58"/>
        <v>36.49582510202368</v>
      </c>
      <c r="V34" s="147"/>
      <c r="W34" s="147"/>
      <c r="X34" s="147"/>
      <c r="Y34" s="147"/>
      <c r="Z34" s="147"/>
      <c r="AA34" s="147"/>
      <c r="AB34" s="103"/>
      <c r="AC34" s="103"/>
      <c r="AD34" s="103"/>
      <c r="AE34" s="103"/>
      <c r="AF34" s="103"/>
      <c r="AG34" s="103"/>
      <c r="AH34" s="103"/>
      <c r="AI34" s="103"/>
      <c r="AJ34" s="103"/>
      <c r="AK34" s="103"/>
      <c r="AL34" s="103"/>
      <c r="AM34" s="103"/>
      <c r="AN34" s="103"/>
    </row>
    <row r="35" spans="1:40" ht="12.6" thickBot="1" x14ac:dyDescent="0.25">
      <c r="A35" s="148" t="s">
        <v>382</v>
      </c>
      <c r="B35" s="149" t="s">
        <v>254</v>
      </c>
      <c r="C35" s="150">
        <f t="shared" ref="C35:U35" si="61">+C32/C14</f>
        <v>10511.702520455548</v>
      </c>
      <c r="D35" s="150">
        <f>+D32/D14</f>
        <v>10865.641264210744</v>
      </c>
      <c r="E35" s="150">
        <f t="shared" si="61"/>
        <v>10753.444519797977</v>
      </c>
      <c r="F35" s="150">
        <f t="shared" si="61"/>
        <v>8876.0075742721801</v>
      </c>
      <c r="G35" s="150">
        <f t="shared" si="61"/>
        <v>10037.115992711071</v>
      </c>
      <c r="H35" s="150">
        <f t="shared" si="61"/>
        <v>10738.143069133941</v>
      </c>
      <c r="I35" s="150">
        <f t="shared" si="61"/>
        <v>12523.93499041418</v>
      </c>
      <c r="J35" s="150">
        <f t="shared" si="61"/>
        <v>9637.1735021668064</v>
      </c>
      <c r="K35" s="150">
        <f t="shared" si="61"/>
        <v>10018.163239291993</v>
      </c>
      <c r="L35" s="150">
        <f>+L32/L14</f>
        <v>10522.176595079773</v>
      </c>
      <c r="M35" s="150">
        <f>+M32/M14</f>
        <v>12933.052640623951</v>
      </c>
      <c r="N35" s="250">
        <f>+N32/N14</f>
        <v>11758.633100642957</v>
      </c>
      <c r="O35" s="250">
        <f>+O32/O14</f>
        <v>10575.547505895342</v>
      </c>
      <c r="P35" s="250">
        <f>+P32/P14</f>
        <v>10748.93162008083</v>
      </c>
      <c r="Q35" s="250">
        <f t="shared" ref="Q35:R35" si="62">+Q32/Q14</f>
        <v>12259.8988744985</v>
      </c>
      <c r="R35" s="250">
        <f t="shared" si="62"/>
        <v>11759.201341968102</v>
      </c>
      <c r="S35" s="250">
        <f t="shared" ref="S35:T35" si="63">+S32/S14</f>
        <v>13277.76171878624</v>
      </c>
      <c r="T35" s="250">
        <f t="shared" si="63"/>
        <v>13510.156976795543</v>
      </c>
      <c r="U35" s="151">
        <f t="shared" si="61"/>
        <v>12747.359205293515</v>
      </c>
      <c r="V35" s="152"/>
      <c r="W35" s="152"/>
      <c r="X35" s="152"/>
      <c r="Y35" s="152"/>
      <c r="Z35" s="152"/>
      <c r="AA35" s="152"/>
      <c r="AB35" s="92"/>
      <c r="AC35" s="92"/>
      <c r="AD35" s="92"/>
      <c r="AE35" s="92"/>
      <c r="AF35" s="92"/>
      <c r="AG35" s="92"/>
      <c r="AH35" s="92"/>
      <c r="AI35" s="92"/>
      <c r="AJ35" s="92"/>
      <c r="AK35" s="92"/>
      <c r="AL35" s="92"/>
      <c r="AM35" s="92"/>
      <c r="AN35" s="92"/>
    </row>
    <row r="36" spans="1:40"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0"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0"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0"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0"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0"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0"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0"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0"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0"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0"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0"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0"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582</v>
      </c>
    </row>
  </sheetData>
  <sheetProtection algorithmName="SHA-512" hashValue="hxpJaBtUwuYw6URTGoFcTTAy+ikVRFxeF0zbzWEXgn+gt9+YN0KNglt+0oNtphbj7XTjMXaoAcjI6/HfnNN10w==" saltValue="xDJXuKkimSGIlmfwcZJOHg=="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T82"/>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s>
  <sheetData>
    <row r="1" spans="1:98"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row>
    <row r="2" spans="1:98" ht="19.5" customHeight="1" x14ac:dyDescent="0.2">
      <c r="B2" s="104" t="str">
        <f>BS!A2</f>
        <v>２１　窯業・土石製品製造業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row>
    <row r="3" spans="1:98"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row>
    <row r="4" spans="1:98"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579</v>
      </c>
      <c r="CL4" s="319"/>
      <c r="CM4" s="319"/>
      <c r="CN4" s="319"/>
      <c r="CO4" s="319"/>
      <c r="CP4" s="319" t="s">
        <v>583</v>
      </c>
      <c r="CQ4" s="319"/>
      <c r="CR4" s="319"/>
      <c r="CS4" s="319"/>
      <c r="CT4" s="319"/>
    </row>
    <row r="5" spans="1:98"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row>
    <row r="6" spans="1:98" ht="18" customHeight="1" x14ac:dyDescent="0.2">
      <c r="A6" s="9"/>
      <c r="B6" s="320" t="s">
        <v>109</v>
      </c>
      <c r="C6" s="322" t="s">
        <v>110</v>
      </c>
      <c r="D6" s="304"/>
      <c r="E6" s="10">
        <f>+PL!K38</f>
        <v>8068.5359431229699</v>
      </c>
      <c r="F6" s="306" t="s">
        <v>111</v>
      </c>
      <c r="G6" s="308">
        <v>100</v>
      </c>
      <c r="H6" s="310">
        <f>IF(E7=0,"-",(E6/E7)*G6)</f>
        <v>1.5131019148654958</v>
      </c>
      <c r="I6" s="304"/>
      <c r="J6" s="10">
        <f>+PL!L38</f>
        <v>3795.9087481146307</v>
      </c>
      <c r="K6" s="306" t="s">
        <v>111</v>
      </c>
      <c r="L6" s="308">
        <v>100</v>
      </c>
      <c r="M6" s="310">
        <f>IF(J7=0,"-",(J6/J7)*L6)</f>
        <v>0.84173370344225118</v>
      </c>
      <c r="N6" s="304"/>
      <c r="O6" s="10">
        <f>+PL!M38</f>
        <v>1941.7759394961477</v>
      </c>
      <c r="P6" s="306" t="s">
        <v>111</v>
      </c>
      <c r="Q6" s="308">
        <v>100</v>
      </c>
      <c r="R6" s="310">
        <f>IF(O7=0,"-",(O6/O7)*Q6)</f>
        <v>0.33487260309778655</v>
      </c>
      <c r="S6" s="304"/>
      <c r="T6" s="10">
        <f>+PL!N38</f>
        <v>-840.99770914266651</v>
      </c>
      <c r="U6" s="306" t="s">
        <v>111</v>
      </c>
      <c r="V6" s="308">
        <v>100</v>
      </c>
      <c r="W6" s="310">
        <f>IF(T7=0,"-",(T6/T7)*V6)</f>
        <v>-0.19295798343776266</v>
      </c>
      <c r="X6" s="304"/>
      <c r="Y6" s="10">
        <f>+PL!O38</f>
        <v>2483.6581056210766</v>
      </c>
      <c r="Z6" s="306" t="s">
        <v>111</v>
      </c>
      <c r="AA6" s="308">
        <v>100</v>
      </c>
      <c r="AB6" s="310">
        <f>IF(Y7=0,"-",(Y6/Y7)*AA6)</f>
        <v>0.54510035154512471</v>
      </c>
      <c r="AC6" s="304"/>
      <c r="AD6" s="10">
        <f>+PL!P38</f>
        <v>-777.02789697397793</v>
      </c>
      <c r="AE6" s="306" t="s">
        <v>111</v>
      </c>
      <c r="AF6" s="308">
        <v>100</v>
      </c>
      <c r="AG6" s="310">
        <f>IF(AD7=0,"-",(AD6/AD7)*AF6)</f>
        <v>-0.15134133178995909</v>
      </c>
      <c r="AH6" s="304"/>
      <c r="AI6" s="10">
        <f>+PL!Q38</f>
        <v>-1550.9490888707821</v>
      </c>
      <c r="AJ6" s="306" t="s">
        <v>111</v>
      </c>
      <c r="AK6" s="308">
        <v>100</v>
      </c>
      <c r="AL6" s="310">
        <f>IF(AI7=0,"-",(AI6/AI7)*AK6)</f>
        <v>-0.2450365039696368</v>
      </c>
      <c r="AM6" s="304"/>
      <c r="AN6" s="10">
        <f>+PL!R38</f>
        <v>1148.6573494731438</v>
      </c>
      <c r="AO6" s="306" t="s">
        <v>112</v>
      </c>
      <c r="AP6" s="308">
        <v>100</v>
      </c>
      <c r="AQ6" s="310">
        <f>IF(AN7=0,"-",(AN6/AN7)*AP6)</f>
        <v>0.25363334780869912</v>
      </c>
      <c r="AR6" s="304"/>
      <c r="AS6" s="10">
        <f>+PL!S38</f>
        <v>-4829.2269687239641</v>
      </c>
      <c r="AT6" s="306" t="s">
        <v>111</v>
      </c>
      <c r="AU6" s="308">
        <v>100</v>
      </c>
      <c r="AV6" s="310">
        <f>IF(AS7=0,"-",(AS6/AS7)*AU6)</f>
        <v>-1.0261527604437048</v>
      </c>
      <c r="AW6" s="304"/>
      <c r="AX6" s="10">
        <f>+PL!T38</f>
        <v>8879.5262784086972</v>
      </c>
      <c r="AY6" s="306" t="s">
        <v>111</v>
      </c>
      <c r="AZ6" s="308">
        <v>100</v>
      </c>
      <c r="BA6" s="310">
        <f>IF(AX7=0,"-",(AX6/AX7)*AZ6)</f>
        <v>2.0660345132545466</v>
      </c>
      <c r="BB6" s="304"/>
      <c r="BC6" s="10">
        <f>+PL!U38</f>
        <v>10769.538842515687</v>
      </c>
      <c r="BD6" s="306" t="s">
        <v>111</v>
      </c>
      <c r="BE6" s="308">
        <v>100</v>
      </c>
      <c r="BF6" s="310">
        <f>IF(BC7=0,"-",(BC6/BC7)*BE6)</f>
        <v>2.2762632292331912</v>
      </c>
      <c r="BG6" s="304"/>
      <c r="BH6" s="10">
        <f>+PL!V38</f>
        <v>9945.3613190129781</v>
      </c>
      <c r="BI6" s="306" t="s">
        <v>111</v>
      </c>
      <c r="BJ6" s="308">
        <v>100</v>
      </c>
      <c r="BK6" s="310">
        <f>IF(BH7=0,"-",(BH6/BH7)*BJ6)</f>
        <v>2.6453627281498417</v>
      </c>
      <c r="BL6" s="304"/>
      <c r="BM6" s="10">
        <f>+PL!W38</f>
        <v>8727.024691697301</v>
      </c>
      <c r="BN6" s="306" t="s">
        <v>111</v>
      </c>
      <c r="BO6" s="308">
        <v>100</v>
      </c>
      <c r="BP6" s="310">
        <f>IF(BM7=0,"-",(BM6/BM7)*BO6)</f>
        <v>1.9294153340137721</v>
      </c>
      <c r="BQ6" s="304"/>
      <c r="BR6" s="10">
        <f>+PL!X38</f>
        <v>14663.948992896116</v>
      </c>
      <c r="BS6" s="306" t="s">
        <v>111</v>
      </c>
      <c r="BT6" s="308">
        <v>100</v>
      </c>
      <c r="BU6" s="310">
        <f>IF(BR7=0,"-",(BR6/BR7)*BT6)</f>
        <v>3.4051741180595276</v>
      </c>
      <c r="BV6" s="304"/>
      <c r="BW6" s="10">
        <f>+PL!Y38</f>
        <v>26813.732660714802</v>
      </c>
      <c r="BX6" s="306" t="s">
        <v>111</v>
      </c>
      <c r="BY6" s="308">
        <v>100</v>
      </c>
      <c r="BZ6" s="310">
        <f>IF(BW7=0,"-",(BW6/BW7)*BY6)</f>
        <v>4.8581166457093667</v>
      </c>
      <c r="CA6" s="304"/>
      <c r="CB6" s="10">
        <f>+PL!Z38</f>
        <v>15306.307977942914</v>
      </c>
      <c r="CC6" s="306" t="s">
        <v>111</v>
      </c>
      <c r="CD6" s="308">
        <v>100</v>
      </c>
      <c r="CE6" s="310">
        <f>IF(CB7=0,"-",(CB6/CB7)*CD6)</f>
        <v>2.8413512096547144</v>
      </c>
      <c r="CF6" s="304"/>
      <c r="CG6" s="10">
        <f>+PL!AA38</f>
        <v>21779.970017811203</v>
      </c>
      <c r="CH6" s="306" t="s">
        <v>111</v>
      </c>
      <c r="CI6" s="308">
        <v>100</v>
      </c>
      <c r="CJ6" s="310">
        <f>IF(CG7=0,"-",(CG6/CG7)*CI6)</f>
        <v>3.7202852278174992</v>
      </c>
      <c r="CK6" s="304"/>
      <c r="CL6" s="10">
        <f>+PL!AB38</f>
        <v>18426.199484689329</v>
      </c>
      <c r="CM6" s="306" t="s">
        <v>111</v>
      </c>
      <c r="CN6" s="308">
        <v>100</v>
      </c>
      <c r="CO6" s="310">
        <f>IF(CL7=0,"-",(CL6/CL7)*CN6)</f>
        <v>2.8886629258706344</v>
      </c>
      <c r="CP6" s="304"/>
      <c r="CQ6" s="10">
        <f>+PL!AC38</f>
        <v>18104.31176528697</v>
      </c>
      <c r="CR6" s="306" t="s">
        <v>111</v>
      </c>
      <c r="CS6" s="308">
        <v>100</v>
      </c>
      <c r="CT6" s="310">
        <f>IF(CQ7=0,"-",(CQ6/CQ7)*CS6)</f>
        <v>2.9381535441113638</v>
      </c>
    </row>
    <row r="7" spans="1:98" ht="18" customHeight="1" x14ac:dyDescent="0.2">
      <c r="A7" s="11"/>
      <c r="B7" s="321"/>
      <c r="C7" s="323"/>
      <c r="D7" s="305"/>
      <c r="E7" s="12">
        <f>+BS!K8</f>
        <v>533244.711665057</v>
      </c>
      <c r="F7" s="307"/>
      <c r="G7" s="309"/>
      <c r="H7" s="311"/>
      <c r="I7" s="305"/>
      <c r="J7" s="12">
        <f>+BS!L8</f>
        <v>450963.14102564106</v>
      </c>
      <c r="K7" s="307"/>
      <c r="L7" s="309"/>
      <c r="M7" s="311"/>
      <c r="N7" s="305"/>
      <c r="O7" s="12">
        <f>+BS!M8</f>
        <v>579855.12148007145</v>
      </c>
      <c r="P7" s="307"/>
      <c r="Q7" s="309"/>
      <c r="R7" s="311"/>
      <c r="S7" s="305"/>
      <c r="T7" s="12">
        <f>+BS!N8</f>
        <v>435844.99286287621</v>
      </c>
      <c r="U7" s="307"/>
      <c r="V7" s="309"/>
      <c r="W7" s="311"/>
      <c r="X7" s="305"/>
      <c r="Y7" s="12">
        <f>+BS!O8</f>
        <v>455633.18728028255</v>
      </c>
      <c r="Z7" s="307"/>
      <c r="AA7" s="309"/>
      <c r="AB7" s="311"/>
      <c r="AC7" s="305"/>
      <c r="AD7" s="12">
        <f>+BS!P8</f>
        <v>513427.42117030232</v>
      </c>
      <c r="AE7" s="307"/>
      <c r="AF7" s="309"/>
      <c r="AG7" s="311"/>
      <c r="AH7" s="305"/>
      <c r="AI7" s="12">
        <f>+BS!Q8</f>
        <v>632946.13812436897</v>
      </c>
      <c r="AJ7" s="307"/>
      <c r="AK7" s="309"/>
      <c r="AL7" s="311"/>
      <c r="AM7" s="305"/>
      <c r="AN7" s="12">
        <f>+BS!R8</f>
        <v>452881.04241698899</v>
      </c>
      <c r="AO7" s="307"/>
      <c r="AP7" s="309"/>
      <c r="AQ7" s="311"/>
      <c r="AR7" s="305"/>
      <c r="AS7" s="12">
        <f>+BS!S8</f>
        <v>470614.82021797838</v>
      </c>
      <c r="AT7" s="307"/>
      <c r="AU7" s="309"/>
      <c r="AV7" s="311"/>
      <c r="AW7" s="305"/>
      <c r="AX7" s="12">
        <f>+BS!T8</f>
        <v>429785.96056564001</v>
      </c>
      <c r="AY7" s="307"/>
      <c r="AZ7" s="309"/>
      <c r="BA7" s="311"/>
      <c r="BB7" s="305"/>
      <c r="BC7" s="12">
        <f>+BS!U8</f>
        <v>473123.61348224385</v>
      </c>
      <c r="BD7" s="307"/>
      <c r="BE7" s="309"/>
      <c r="BF7" s="311"/>
      <c r="BG7" s="305"/>
      <c r="BH7" s="12">
        <f>+BS!V8</f>
        <v>375954.54162797297</v>
      </c>
      <c r="BI7" s="307"/>
      <c r="BJ7" s="309"/>
      <c r="BK7" s="311"/>
      <c r="BL7" s="305"/>
      <c r="BM7" s="12">
        <f>+BS!W8</f>
        <v>452314.46738543478</v>
      </c>
      <c r="BN7" s="307"/>
      <c r="BO7" s="309"/>
      <c r="BP7" s="311"/>
      <c r="BQ7" s="305"/>
      <c r="BR7" s="12">
        <f>+BS!X8</f>
        <v>430637.27388050605</v>
      </c>
      <c r="BS7" s="307"/>
      <c r="BT7" s="309"/>
      <c r="BU7" s="311"/>
      <c r="BV7" s="305"/>
      <c r="BW7" s="12">
        <f>+BS!Y8</f>
        <v>551936.78160026041</v>
      </c>
      <c r="BX7" s="307"/>
      <c r="BY7" s="309"/>
      <c r="BZ7" s="311"/>
      <c r="CA7" s="305"/>
      <c r="CB7" s="12">
        <f>+BS!Z8</f>
        <v>538698.20548523322</v>
      </c>
      <c r="CC7" s="307"/>
      <c r="CD7" s="309"/>
      <c r="CE7" s="311"/>
      <c r="CF7" s="305"/>
      <c r="CG7" s="12">
        <f>+BS!AA8</f>
        <v>585438.17702355038</v>
      </c>
      <c r="CH7" s="307"/>
      <c r="CI7" s="309"/>
      <c r="CJ7" s="311"/>
      <c r="CK7" s="305"/>
      <c r="CL7" s="12">
        <f>+BS!AB8</f>
        <v>637879.87582994741</v>
      </c>
      <c r="CM7" s="307"/>
      <c r="CN7" s="309"/>
      <c r="CO7" s="311"/>
      <c r="CP7" s="305"/>
      <c r="CQ7" s="12">
        <f>+BS!AC8</f>
        <v>616179.9066482269</v>
      </c>
      <c r="CR7" s="307"/>
      <c r="CS7" s="309"/>
      <c r="CT7" s="311"/>
    </row>
    <row r="8" spans="1:98" ht="18" customHeight="1" x14ac:dyDescent="0.2">
      <c r="A8" s="11"/>
      <c r="B8" s="320" t="s">
        <v>113</v>
      </c>
      <c r="C8" s="322" t="s">
        <v>110</v>
      </c>
      <c r="D8" s="304"/>
      <c r="E8" s="10">
        <f>+E6</f>
        <v>8068.5359431229699</v>
      </c>
      <c r="F8" s="306" t="s">
        <v>114</v>
      </c>
      <c r="G8" s="308">
        <v>100</v>
      </c>
      <c r="H8" s="310">
        <f>IF(E9=0,"-",(E8/E9)*G8)</f>
        <v>5.3972944488643231</v>
      </c>
      <c r="I8" s="304"/>
      <c r="J8" s="10">
        <f>+J6</f>
        <v>3795.9087481146307</v>
      </c>
      <c r="K8" s="306" t="s">
        <v>111</v>
      </c>
      <c r="L8" s="308">
        <v>100</v>
      </c>
      <c r="M8" s="310">
        <f>IF(J9=0,"-",(J8/J9)*L8)</f>
        <v>2.5555786148074673</v>
      </c>
      <c r="N8" s="304"/>
      <c r="O8" s="10">
        <f>+O6</f>
        <v>1941.7759394961477</v>
      </c>
      <c r="P8" s="306" t="s">
        <v>111</v>
      </c>
      <c r="Q8" s="308">
        <v>100</v>
      </c>
      <c r="R8" s="310">
        <f>IF(O9=0,"-",(O8/O9)*Q8)</f>
        <v>0.98384021288764401</v>
      </c>
      <c r="S8" s="304"/>
      <c r="T8" s="10">
        <f>+T6</f>
        <v>-840.99770914266651</v>
      </c>
      <c r="U8" s="306" t="s">
        <v>111</v>
      </c>
      <c r="V8" s="308">
        <v>100</v>
      </c>
      <c r="W8" s="310">
        <f>IF(T9=0,"-",(T8/T9)*V8)</f>
        <v>-0.51874785166542914</v>
      </c>
      <c r="X8" s="304"/>
      <c r="Y8" s="10">
        <f>+Y6</f>
        <v>2483.6581056210766</v>
      </c>
      <c r="Z8" s="306" t="s">
        <v>111</v>
      </c>
      <c r="AA8" s="308">
        <v>100</v>
      </c>
      <c r="AB8" s="310">
        <f>IF(Y9=0,"-",(Y8/Y9)*AA8)</f>
        <v>1.4899928794729951</v>
      </c>
      <c r="AC8" s="304"/>
      <c r="AD8" s="10">
        <f>+AD6</f>
        <v>-777.02789697397793</v>
      </c>
      <c r="AE8" s="306" t="s">
        <v>111</v>
      </c>
      <c r="AF8" s="308">
        <v>100</v>
      </c>
      <c r="AG8" s="310">
        <f>IF(AD9=0,"-",(AD8/AD9)*AF8)</f>
        <v>-0.33365762959480827</v>
      </c>
      <c r="AH8" s="304"/>
      <c r="AI8" s="10">
        <f>+AI6</f>
        <v>-1550.9490888707821</v>
      </c>
      <c r="AJ8" s="306" t="s">
        <v>114</v>
      </c>
      <c r="AK8" s="308">
        <v>100</v>
      </c>
      <c r="AL8" s="310">
        <f>IF(AI9=0,"-",(AI8/AI9)*AK8)</f>
        <v>-0.50893633875277511</v>
      </c>
      <c r="AM8" s="304"/>
      <c r="AN8" s="10">
        <f>+AN6</f>
        <v>1148.6573494731438</v>
      </c>
      <c r="AO8" s="306" t="s">
        <v>114</v>
      </c>
      <c r="AP8" s="308">
        <v>100</v>
      </c>
      <c r="AQ8" s="310">
        <f>IF(AN9=0,"-",(AN8/AN9)*AP8)</f>
        <v>0.60235369720454013</v>
      </c>
      <c r="AR8" s="304"/>
      <c r="AS8" s="10">
        <f>+AS6</f>
        <v>-4829.2269687239641</v>
      </c>
      <c r="AT8" s="306" t="s">
        <v>111</v>
      </c>
      <c r="AU8" s="308">
        <v>100</v>
      </c>
      <c r="AV8" s="310">
        <f>IF(AS9=0,"-",(AS8/AS9)*AU8)</f>
        <v>-2.6036824887875993</v>
      </c>
      <c r="AW8" s="304"/>
      <c r="AX8" s="10">
        <f>+AX6</f>
        <v>8879.5262784086972</v>
      </c>
      <c r="AY8" s="306" t="s">
        <v>111</v>
      </c>
      <c r="AZ8" s="308">
        <v>100</v>
      </c>
      <c r="BA8" s="310">
        <f>IF(AX9=0,"-",(AX8/AX9)*AZ8)</f>
        <v>5.148559918242861</v>
      </c>
      <c r="BB8" s="304"/>
      <c r="BC8" s="10">
        <f>+BC6</f>
        <v>10769.538842515687</v>
      </c>
      <c r="BD8" s="306" t="s">
        <v>111</v>
      </c>
      <c r="BE8" s="308">
        <v>100</v>
      </c>
      <c r="BF8" s="310">
        <f>IF(BC9=0,"-",(BC8/BC9)*BE8)</f>
        <v>6.06649147869848</v>
      </c>
      <c r="BG8" s="304"/>
      <c r="BH8" s="10">
        <f>+BH6</f>
        <v>9945.3613190129781</v>
      </c>
      <c r="BI8" s="306" t="s">
        <v>111</v>
      </c>
      <c r="BJ8" s="308">
        <v>100</v>
      </c>
      <c r="BK8" s="310">
        <f>IF(BH9=0,"-",(BH8/BH9)*BJ8)</f>
        <v>6.4829349548460078</v>
      </c>
      <c r="BL8" s="304"/>
      <c r="BM8" s="10">
        <f>+BM6</f>
        <v>8727.024691697301</v>
      </c>
      <c r="BN8" s="306" t="s">
        <v>111</v>
      </c>
      <c r="BO8" s="308">
        <v>100</v>
      </c>
      <c r="BP8" s="310">
        <f>IF(BM9=0,"-",(BM8/BM9)*BO8)</f>
        <v>4.008057483031946</v>
      </c>
      <c r="BQ8" s="304"/>
      <c r="BR8" s="10">
        <f>+BR6</f>
        <v>14663.948992896116</v>
      </c>
      <c r="BS8" s="306" t="s">
        <v>111</v>
      </c>
      <c r="BT8" s="308">
        <v>100</v>
      </c>
      <c r="BU8" s="310">
        <f>IF(BR9=0,"-",(BR8/BR9)*BT8)</f>
        <v>7.8617261101824205</v>
      </c>
      <c r="BV8" s="304"/>
      <c r="BW8" s="10">
        <f>+BW6</f>
        <v>26813.732660714802</v>
      </c>
      <c r="BX8" s="306" t="s">
        <v>111</v>
      </c>
      <c r="BY8" s="308">
        <v>100</v>
      </c>
      <c r="BZ8" s="310">
        <f>IF(BW9=0,"-",(BW8/BW9)*BY8)</f>
        <v>10.84337506768407</v>
      </c>
      <c r="CA8" s="304"/>
      <c r="CB8" s="10">
        <f>+CB6</f>
        <v>15306.307977942914</v>
      </c>
      <c r="CC8" s="306" t="s">
        <v>111</v>
      </c>
      <c r="CD8" s="308">
        <v>100</v>
      </c>
      <c r="CE8" s="310">
        <f>IF(CB9=0,"-",(CB8/CB9)*CD8)</f>
        <v>5.9192302987487571</v>
      </c>
      <c r="CF8" s="304"/>
      <c r="CG8" s="10">
        <f>+CG6</f>
        <v>21779.970017811203</v>
      </c>
      <c r="CH8" s="306" t="s">
        <v>114</v>
      </c>
      <c r="CI8" s="308">
        <v>100</v>
      </c>
      <c r="CJ8" s="310">
        <f>IF(CG9=0,"-",(CG8/CG9)*CI8)</f>
        <v>7.0748477417961571</v>
      </c>
      <c r="CK8" s="304"/>
      <c r="CL8" s="10">
        <f>+CL6</f>
        <v>18426.199484689329</v>
      </c>
      <c r="CM8" s="306" t="s">
        <v>111</v>
      </c>
      <c r="CN8" s="308">
        <v>100</v>
      </c>
      <c r="CO8" s="310">
        <f>IF(CL9=0,"-",(CL8/CL9)*CN8)</f>
        <v>5.9434937882576735</v>
      </c>
      <c r="CP8" s="304"/>
      <c r="CQ8" s="10">
        <f>+CQ6</f>
        <v>18104.31176528697</v>
      </c>
      <c r="CR8" s="306" t="s">
        <v>111</v>
      </c>
      <c r="CS8" s="308">
        <v>100</v>
      </c>
      <c r="CT8" s="310">
        <f>IF(CQ9=0,"-",(CQ8/CQ9)*CS8)</f>
        <v>5.9851829994290053</v>
      </c>
    </row>
    <row r="9" spans="1:98" ht="18" customHeight="1" x14ac:dyDescent="0.2">
      <c r="A9" s="11"/>
      <c r="B9" s="321"/>
      <c r="C9" s="323"/>
      <c r="D9" s="305"/>
      <c r="E9" s="12">
        <f>+BS!K43</f>
        <v>149492.23207232502</v>
      </c>
      <c r="F9" s="307"/>
      <c r="G9" s="309"/>
      <c r="H9" s="311"/>
      <c r="I9" s="305"/>
      <c r="J9" s="12">
        <f>+BS!L43</f>
        <v>148534.21945701356</v>
      </c>
      <c r="K9" s="307"/>
      <c r="L9" s="309"/>
      <c r="M9" s="311"/>
      <c r="N9" s="305"/>
      <c r="O9" s="12">
        <f>+BS!M43</f>
        <v>197367.00269618895</v>
      </c>
      <c r="P9" s="307"/>
      <c r="Q9" s="309"/>
      <c r="R9" s="311"/>
      <c r="S9" s="305"/>
      <c r="T9" s="12">
        <f>+BS!N43</f>
        <v>162120.71171816153</v>
      </c>
      <c r="U9" s="307"/>
      <c r="V9" s="309"/>
      <c r="W9" s="311"/>
      <c r="X9" s="305"/>
      <c r="Y9" s="12">
        <f>+BS!O43</f>
        <v>166689.26005200355</v>
      </c>
      <c r="Z9" s="307"/>
      <c r="AA9" s="309"/>
      <c r="AB9" s="311"/>
      <c r="AC9" s="305"/>
      <c r="AD9" s="12">
        <f>+BS!P43</f>
        <v>232881.80099990391</v>
      </c>
      <c r="AE9" s="307"/>
      <c r="AF9" s="309"/>
      <c r="AG9" s="311"/>
      <c r="AH9" s="305"/>
      <c r="AI9" s="12">
        <f>+BS!Q43</f>
        <v>304743.24012146896</v>
      </c>
      <c r="AJ9" s="307"/>
      <c r="AK9" s="309"/>
      <c r="AL9" s="311"/>
      <c r="AM9" s="305"/>
      <c r="AN9" s="12">
        <f>+BS!R43</f>
        <v>190694.82843783332</v>
      </c>
      <c r="AO9" s="307"/>
      <c r="AP9" s="309"/>
      <c r="AQ9" s="311"/>
      <c r="AR9" s="305"/>
      <c r="AS9" s="12">
        <f>+BS!S43</f>
        <v>185476.80024428348</v>
      </c>
      <c r="AT9" s="307"/>
      <c r="AU9" s="309"/>
      <c r="AV9" s="311"/>
      <c r="AW9" s="305"/>
      <c r="AX9" s="12">
        <f>+BS!T43</f>
        <v>172466.2122887203</v>
      </c>
      <c r="AY9" s="307"/>
      <c r="AZ9" s="309"/>
      <c r="BA9" s="311"/>
      <c r="BB9" s="305"/>
      <c r="BC9" s="12">
        <f>+BS!U43</f>
        <v>177524.99744425935</v>
      </c>
      <c r="BD9" s="307"/>
      <c r="BE9" s="309"/>
      <c r="BF9" s="311"/>
      <c r="BG9" s="305"/>
      <c r="BH9" s="12">
        <f>+BS!V43</f>
        <v>153408.31565152138</v>
      </c>
      <c r="BI9" s="307"/>
      <c r="BJ9" s="309"/>
      <c r="BK9" s="311"/>
      <c r="BL9" s="305"/>
      <c r="BM9" s="12">
        <f>+BS!W43</f>
        <v>217737.01421806036</v>
      </c>
      <c r="BN9" s="307"/>
      <c r="BO9" s="309"/>
      <c r="BP9" s="311"/>
      <c r="BQ9" s="305"/>
      <c r="BR9" s="12">
        <f>+BS!X43</f>
        <v>186523.27475391861</v>
      </c>
      <c r="BS9" s="307"/>
      <c r="BT9" s="309"/>
      <c r="BU9" s="311"/>
      <c r="BV9" s="305"/>
      <c r="BW9" s="12">
        <f>+BS!Y43</f>
        <v>247282.16531609549</v>
      </c>
      <c r="BX9" s="307"/>
      <c r="BY9" s="309"/>
      <c r="BZ9" s="311"/>
      <c r="CA9" s="305"/>
      <c r="CB9" s="12">
        <f>+BS!Z43</f>
        <v>258586.1202457092</v>
      </c>
      <c r="CC9" s="307"/>
      <c r="CD9" s="309"/>
      <c r="CE9" s="311"/>
      <c r="CF9" s="305"/>
      <c r="CG9" s="12">
        <f>+BS!AA43</f>
        <v>307850.7243221848</v>
      </c>
      <c r="CH9" s="307"/>
      <c r="CI9" s="309"/>
      <c r="CJ9" s="311"/>
      <c r="CK9" s="305"/>
      <c r="CL9" s="12">
        <f>+BS!AB43</f>
        <v>310023.02923397085</v>
      </c>
      <c r="CM9" s="307"/>
      <c r="CN9" s="309"/>
      <c r="CO9" s="311"/>
      <c r="CP9" s="305"/>
      <c r="CQ9" s="12">
        <f>+BS!AC43</f>
        <v>302485.51743554283</v>
      </c>
      <c r="CR9" s="307"/>
      <c r="CS9" s="309"/>
      <c r="CT9" s="311"/>
    </row>
    <row r="10" spans="1:98"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row>
    <row r="11" spans="1:98" ht="18" customHeight="1" x14ac:dyDescent="0.2">
      <c r="A11" s="16"/>
      <c r="B11" s="320" t="s">
        <v>116</v>
      </c>
      <c r="C11" s="322" t="s">
        <v>117</v>
      </c>
      <c r="D11" s="304"/>
      <c r="E11" s="10">
        <f>+PL!K41</f>
        <v>113619.71737031499</v>
      </c>
      <c r="F11" s="306" t="s">
        <v>118</v>
      </c>
      <c r="G11" s="308">
        <v>100</v>
      </c>
      <c r="H11" s="310">
        <f>IF(E12=0,"-",(E11/E12)*G11)</f>
        <v>23.841296985092836</v>
      </c>
      <c r="I11" s="304"/>
      <c r="J11" s="10">
        <f>+PL!L41</f>
        <v>98472.850678733026</v>
      </c>
      <c r="K11" s="306" t="s">
        <v>111</v>
      </c>
      <c r="L11" s="308">
        <v>100</v>
      </c>
      <c r="M11" s="310">
        <f>IF(J12=0,"-",(J11/J12)*L11)</f>
        <v>22.800766137173476</v>
      </c>
      <c r="N11" s="304"/>
      <c r="O11" s="10">
        <f>+PL!M41</f>
        <v>115784.47058408416</v>
      </c>
      <c r="P11" s="306" t="s">
        <v>111</v>
      </c>
      <c r="Q11" s="308">
        <v>100</v>
      </c>
      <c r="R11" s="310">
        <f>IF(O12=0,"-",(O11/O12)*Q11)</f>
        <v>24.620485552519138</v>
      </c>
      <c r="S11" s="304"/>
      <c r="T11" s="10">
        <f>+PL!N41</f>
        <v>78492.71200338233</v>
      </c>
      <c r="U11" s="306" t="s">
        <v>111</v>
      </c>
      <c r="V11" s="308">
        <v>100</v>
      </c>
      <c r="W11" s="310">
        <f>IF(T12=0,"-",(T11/T12)*V11)</f>
        <v>20.530787288147138</v>
      </c>
      <c r="X11" s="304"/>
      <c r="Y11" s="10">
        <f>+PL!O41</f>
        <v>87667.551823555375</v>
      </c>
      <c r="Z11" s="306" t="s">
        <v>111</v>
      </c>
      <c r="AA11" s="308">
        <v>100</v>
      </c>
      <c r="AB11" s="310">
        <f>IF(Y12=0,"-",(Y11/Y12)*AA11)</f>
        <v>19.713109467123722</v>
      </c>
      <c r="AC11" s="304"/>
      <c r="AD11" s="10">
        <f>+PL!P41</f>
        <v>88582.278941595519</v>
      </c>
      <c r="AE11" s="306" t="s">
        <v>111</v>
      </c>
      <c r="AF11" s="308">
        <v>100</v>
      </c>
      <c r="AG11" s="310">
        <f>IF(AD12=0,"-",(AD11/AD12)*AF11)</f>
        <v>19.007919549999883</v>
      </c>
      <c r="AH11" s="304"/>
      <c r="AI11" s="10">
        <f>+PL!Q41</f>
        <v>98641.968368662812</v>
      </c>
      <c r="AJ11" s="306" t="s">
        <v>118</v>
      </c>
      <c r="AK11" s="308">
        <v>100</v>
      </c>
      <c r="AL11" s="310">
        <f>IF(AI12=0,"-",(AI11/AI12)*AK11)</f>
        <v>17.273396765709201</v>
      </c>
      <c r="AM11" s="304"/>
      <c r="AN11" s="10">
        <f>+PL!R41</f>
        <v>78830.032634424468</v>
      </c>
      <c r="AO11" s="306" t="s">
        <v>119</v>
      </c>
      <c r="AP11" s="308">
        <v>100</v>
      </c>
      <c r="AQ11" s="310">
        <f>IF(AN12=0,"-",(AN11/AN12)*AP11)</f>
        <v>20.705932997235177</v>
      </c>
      <c r="AR11" s="304"/>
      <c r="AS11" s="10">
        <f>+PL!S41</f>
        <v>88198.702371440988</v>
      </c>
      <c r="AT11" s="306" t="s">
        <v>111</v>
      </c>
      <c r="AU11" s="308">
        <v>100</v>
      </c>
      <c r="AV11" s="310">
        <f>IF(AS12=0,"-",(AS11/AS12)*AU11)</f>
        <v>18.312121433990857</v>
      </c>
      <c r="AW11" s="304"/>
      <c r="AX11" s="10">
        <f>+PL!T41</f>
        <v>91066.009391332453</v>
      </c>
      <c r="AY11" s="306" t="s">
        <v>111</v>
      </c>
      <c r="AZ11" s="308">
        <v>100</v>
      </c>
      <c r="BA11" s="310">
        <f>IF(AX12=0,"-",(AX11/AX12)*AZ11)</f>
        <v>22.815127595905256</v>
      </c>
      <c r="BB11" s="304"/>
      <c r="BC11" s="10">
        <f>+PL!U41</f>
        <v>97940.646024311034</v>
      </c>
      <c r="BD11" s="306" t="s">
        <v>111</v>
      </c>
      <c r="BE11" s="308">
        <v>100</v>
      </c>
      <c r="BF11" s="310">
        <f>IF(BC12=0,"-",(BC11/BC12)*BE11)</f>
        <v>21.002942199229114</v>
      </c>
      <c r="BG11" s="304"/>
      <c r="BH11" s="10">
        <f>+PL!V41</f>
        <v>77287.198332161206</v>
      </c>
      <c r="BI11" s="306" t="s">
        <v>111</v>
      </c>
      <c r="BJ11" s="308">
        <v>100</v>
      </c>
      <c r="BK11" s="310">
        <f>IF(BH12=0,"-",(BH11/BH12)*BJ11)</f>
        <v>19.22900142535417</v>
      </c>
      <c r="BL11" s="304"/>
      <c r="BM11" s="10">
        <f>+PL!W41</f>
        <v>90183.409480724527</v>
      </c>
      <c r="BN11" s="306" t="s">
        <v>111</v>
      </c>
      <c r="BO11" s="308">
        <v>100</v>
      </c>
      <c r="BP11" s="310">
        <f>IF(BM12=0,"-",(BM11/BM12)*BO11)</f>
        <v>21.42364664001499</v>
      </c>
      <c r="BQ11" s="304"/>
      <c r="BR11" s="10">
        <f>+PL!X41</f>
        <v>100689.71432177605</v>
      </c>
      <c r="BS11" s="306" t="s">
        <v>111</v>
      </c>
      <c r="BT11" s="308">
        <v>100</v>
      </c>
      <c r="BU11" s="310">
        <f>IF(BR12=0,"-",(BR11/BR12)*BT11)</f>
        <v>23.21554073241731</v>
      </c>
      <c r="BV11" s="304"/>
      <c r="BW11" s="10">
        <f>+PL!Y41</f>
        <v>154741.7842661886</v>
      </c>
      <c r="BX11" s="306" t="s">
        <v>111</v>
      </c>
      <c r="BY11" s="308">
        <v>100</v>
      </c>
      <c r="BZ11" s="310">
        <f>IF(BW12=0,"-",(BW11/BW12)*BY11)</f>
        <v>25.342857578481244</v>
      </c>
      <c r="CA11" s="304"/>
      <c r="CB11" s="10">
        <f>+PL!Z41</f>
        <v>115897.78489313423</v>
      </c>
      <c r="CC11" s="306" t="s">
        <v>111</v>
      </c>
      <c r="CD11" s="308">
        <v>100</v>
      </c>
      <c r="CE11" s="310">
        <f>IF(CB12=0,"-",(CB11/CB12)*CD11)</f>
        <v>23.308094047746533</v>
      </c>
      <c r="CF11" s="304"/>
      <c r="CG11" s="10">
        <f>+PL!AA41</f>
        <v>126112.56936473382</v>
      </c>
      <c r="CH11" s="306" t="s">
        <v>119</v>
      </c>
      <c r="CI11" s="308">
        <v>100</v>
      </c>
      <c r="CJ11" s="310">
        <f>IF(CG12=0,"-",(CG11/CG12)*CI11)</f>
        <v>24.736296970039866</v>
      </c>
      <c r="CK11" s="304"/>
      <c r="CL11" s="10">
        <f>+PL!AB41</f>
        <v>135811.41452779705</v>
      </c>
      <c r="CM11" s="306" t="s">
        <v>111</v>
      </c>
      <c r="CN11" s="308">
        <v>100</v>
      </c>
      <c r="CO11" s="310">
        <f>IF(CL12=0,"-",(CL11/CL12)*CN11)</f>
        <v>24.574011548171232</v>
      </c>
      <c r="CP11" s="304"/>
      <c r="CQ11" s="10">
        <f>+PL!AC41</f>
        <v>125952.00197569889</v>
      </c>
      <c r="CR11" s="306" t="s">
        <v>111</v>
      </c>
      <c r="CS11" s="308">
        <v>100</v>
      </c>
      <c r="CT11" s="310">
        <f>IF(CQ12=0,"-",(CQ11/CQ12)*CS11)</f>
        <v>22.944032811772807</v>
      </c>
    </row>
    <row r="12" spans="1:98" ht="18" customHeight="1" x14ac:dyDescent="0.2">
      <c r="A12" s="16"/>
      <c r="B12" s="321"/>
      <c r="C12" s="323"/>
      <c r="D12" s="305"/>
      <c r="E12" s="12">
        <f>+PL!K6</f>
        <v>476566.84718686901</v>
      </c>
      <c r="F12" s="307"/>
      <c r="G12" s="309"/>
      <c r="H12" s="311"/>
      <c r="I12" s="305"/>
      <c r="J12" s="12">
        <f>+PL!L6</f>
        <v>431883.95550527907</v>
      </c>
      <c r="K12" s="307"/>
      <c r="L12" s="309"/>
      <c r="M12" s="311"/>
      <c r="N12" s="305"/>
      <c r="O12" s="12">
        <f>+PL!M6</f>
        <v>470276.95833658014</v>
      </c>
      <c r="P12" s="307"/>
      <c r="Q12" s="309"/>
      <c r="R12" s="311"/>
      <c r="S12" s="305"/>
      <c r="T12" s="12">
        <f>+PL!N6</f>
        <v>382317.10699519957</v>
      </c>
      <c r="U12" s="307"/>
      <c r="V12" s="309"/>
      <c r="W12" s="311"/>
      <c r="X12" s="305"/>
      <c r="Y12" s="12">
        <f>+PL!O6</f>
        <v>444717.01417659037</v>
      </c>
      <c r="Z12" s="307"/>
      <c r="AA12" s="309"/>
      <c r="AB12" s="311"/>
      <c r="AC12" s="305"/>
      <c r="AD12" s="12">
        <f>+PL!P6</f>
        <v>466028.2715769179</v>
      </c>
      <c r="AE12" s="307"/>
      <c r="AF12" s="309"/>
      <c r="AG12" s="311"/>
      <c r="AH12" s="305"/>
      <c r="AI12" s="12">
        <f>+PL!Q6</f>
        <v>571062.94556079933</v>
      </c>
      <c r="AJ12" s="307"/>
      <c r="AK12" s="309"/>
      <c r="AL12" s="311"/>
      <c r="AM12" s="305"/>
      <c r="AN12" s="12">
        <f>+PL!R6</f>
        <v>380712.29461116524</v>
      </c>
      <c r="AO12" s="307"/>
      <c r="AP12" s="309"/>
      <c r="AQ12" s="311"/>
      <c r="AR12" s="305"/>
      <c r="AS12" s="12">
        <f>+PL!S6</f>
        <v>481641.09597770061</v>
      </c>
      <c r="AT12" s="307"/>
      <c r="AU12" s="309"/>
      <c r="AV12" s="311"/>
      <c r="AW12" s="305"/>
      <c r="AX12" s="12">
        <f>+PL!T6</f>
        <v>399147.49110443954</v>
      </c>
      <c r="AY12" s="307"/>
      <c r="AZ12" s="309"/>
      <c r="BA12" s="311"/>
      <c r="BB12" s="305"/>
      <c r="BC12" s="12">
        <f>+PL!U6</f>
        <v>466318.69523454586</v>
      </c>
      <c r="BD12" s="307"/>
      <c r="BE12" s="309"/>
      <c r="BF12" s="311"/>
      <c r="BG12" s="305"/>
      <c r="BH12" s="12">
        <f>+PL!V6</f>
        <v>401930.379131675</v>
      </c>
      <c r="BI12" s="307"/>
      <c r="BJ12" s="309"/>
      <c r="BK12" s="311"/>
      <c r="BL12" s="305"/>
      <c r="BM12" s="12">
        <f>+PL!W6</f>
        <v>420952.65570839075</v>
      </c>
      <c r="BN12" s="307"/>
      <c r="BO12" s="309"/>
      <c r="BP12" s="311"/>
      <c r="BQ12" s="305"/>
      <c r="BR12" s="12">
        <f>+PL!X6</f>
        <v>433716.8601081805</v>
      </c>
      <c r="BS12" s="307"/>
      <c r="BT12" s="309"/>
      <c r="BU12" s="311"/>
      <c r="BV12" s="305"/>
      <c r="BW12" s="12">
        <f>+PL!Y6</f>
        <v>610593.27578583988</v>
      </c>
      <c r="BX12" s="307"/>
      <c r="BY12" s="309"/>
      <c r="BZ12" s="311"/>
      <c r="CA12" s="305"/>
      <c r="CB12" s="12">
        <f>+PL!Z6</f>
        <v>497242.65165447723</v>
      </c>
      <c r="CC12" s="307"/>
      <c r="CD12" s="309"/>
      <c r="CE12" s="311"/>
      <c r="CF12" s="305"/>
      <c r="CG12" s="12">
        <f>+PL!AA6</f>
        <v>509828.00504650705</v>
      </c>
      <c r="CH12" s="307"/>
      <c r="CI12" s="309"/>
      <c r="CJ12" s="311"/>
      <c r="CK12" s="305"/>
      <c r="CL12" s="12">
        <f>+PL!AB6</f>
        <v>552662.77653354476</v>
      </c>
      <c r="CM12" s="307"/>
      <c r="CN12" s="309"/>
      <c r="CO12" s="311"/>
      <c r="CP12" s="305"/>
      <c r="CQ12" s="12">
        <f>+PL!AC6</f>
        <v>548953.19845895481</v>
      </c>
      <c r="CR12" s="307"/>
      <c r="CS12" s="309"/>
      <c r="CT12" s="311"/>
    </row>
    <row r="13" spans="1:98" ht="18" customHeight="1" x14ac:dyDescent="0.2">
      <c r="A13" s="17"/>
      <c r="B13" s="320" t="s">
        <v>120</v>
      </c>
      <c r="C13" s="322" t="s">
        <v>117</v>
      </c>
      <c r="D13" s="304"/>
      <c r="E13" s="10">
        <f>+PL!K42</f>
        <v>14070.128148863034</v>
      </c>
      <c r="F13" s="306" t="s">
        <v>121</v>
      </c>
      <c r="G13" s="308">
        <v>100</v>
      </c>
      <c r="H13" s="310">
        <f>IF(E14=0,"-",(E13/E14)*G13)</f>
        <v>2.9523934012442803</v>
      </c>
      <c r="I13" s="304"/>
      <c r="J13" s="10">
        <f>+PL!L42</f>
        <v>12633.295625942701</v>
      </c>
      <c r="K13" s="306" t="s">
        <v>111</v>
      </c>
      <c r="L13" s="308">
        <v>100</v>
      </c>
      <c r="M13" s="310">
        <f>IF(J14=0,"-",(J13/J14)*L13)</f>
        <v>2.9251597483315814</v>
      </c>
      <c r="N13" s="304"/>
      <c r="O13" s="10">
        <f>+PL!M42</f>
        <v>8200.0331160771311</v>
      </c>
      <c r="P13" s="306" t="s">
        <v>111</v>
      </c>
      <c r="Q13" s="308">
        <v>100</v>
      </c>
      <c r="R13" s="310">
        <f>IF(O14=0,"-",(O13/O14)*Q13)</f>
        <v>1.7436604049412763</v>
      </c>
      <c r="S13" s="304"/>
      <c r="T13" s="10">
        <f>+PL!N42</f>
        <v>-1050.8901642554556</v>
      </c>
      <c r="U13" s="306" t="s">
        <v>111</v>
      </c>
      <c r="V13" s="308">
        <v>100</v>
      </c>
      <c r="W13" s="310">
        <f>IF(T14=0,"-",(T13/T14)*V13)</f>
        <v>-0.27487395803835973</v>
      </c>
      <c r="X13" s="304"/>
      <c r="Y13" s="10">
        <f>+PL!O42</f>
        <v>5845.6290274688508</v>
      </c>
      <c r="Z13" s="306" t="s">
        <v>111</v>
      </c>
      <c r="AA13" s="308">
        <v>100</v>
      </c>
      <c r="AB13" s="310">
        <f>IF(Y14=0,"-",(Y13/Y14)*AA13)</f>
        <v>1.3144603964146153</v>
      </c>
      <c r="AC13" s="304"/>
      <c r="AD13" s="10">
        <f>+PL!P42</f>
        <v>1584.2078071520082</v>
      </c>
      <c r="AE13" s="306" t="s">
        <v>111</v>
      </c>
      <c r="AF13" s="308">
        <v>100</v>
      </c>
      <c r="AG13" s="310">
        <f>IF(AD14=0,"-",(AD13/AD14)*AF13)</f>
        <v>0.33993813332214007</v>
      </c>
      <c r="AH13" s="304"/>
      <c r="AI13" s="10">
        <f>+PL!Q42</f>
        <v>166.11911319139099</v>
      </c>
      <c r="AJ13" s="306" t="s">
        <v>121</v>
      </c>
      <c r="AK13" s="308">
        <v>100</v>
      </c>
      <c r="AL13" s="310">
        <f>IF(AI14=0,"-",(AI13/AI14)*AK13)</f>
        <v>2.9089457560279544E-2</v>
      </c>
      <c r="AM13" s="304"/>
      <c r="AN13" s="10">
        <f>+PL!R42</f>
        <v>6986.3330154404603</v>
      </c>
      <c r="AO13" s="306" t="s">
        <v>118</v>
      </c>
      <c r="AP13" s="308">
        <v>100</v>
      </c>
      <c r="AQ13" s="310">
        <f>IF(AN14=0,"-",(AN13/AN14)*AP13)</f>
        <v>1.8350689258868946</v>
      </c>
      <c r="AR13" s="304"/>
      <c r="AS13" s="10">
        <f>+PL!S42</f>
        <v>3679.3643688011598</v>
      </c>
      <c r="AT13" s="306" t="s">
        <v>111</v>
      </c>
      <c r="AU13" s="308">
        <v>100</v>
      </c>
      <c r="AV13" s="310">
        <f>IF(AS14=0,"-",(AS13/AS14)*AU13)</f>
        <v>0.7639224309404673</v>
      </c>
      <c r="AW13" s="304"/>
      <c r="AX13" s="10">
        <f>+PL!T42</f>
        <v>11790.923927390375</v>
      </c>
      <c r="AY13" s="306" t="s">
        <v>111</v>
      </c>
      <c r="AZ13" s="308">
        <v>100</v>
      </c>
      <c r="BA13" s="310">
        <f>IF(AX14=0,"-",(AX13/AX14)*AZ13)</f>
        <v>2.9540268171960529</v>
      </c>
      <c r="BB13" s="304"/>
      <c r="BC13" s="10">
        <f>+PL!U42</f>
        <v>17714.767715319871</v>
      </c>
      <c r="BD13" s="306" t="s">
        <v>111</v>
      </c>
      <c r="BE13" s="308">
        <v>100</v>
      </c>
      <c r="BF13" s="310">
        <f>IF(BC14=0,"-",(BC13/BC14)*BE13)</f>
        <v>3.7988542806352243</v>
      </c>
      <c r="BG13" s="304"/>
      <c r="BH13" s="10">
        <f>+PL!V42</f>
        <v>15526.147858096676</v>
      </c>
      <c r="BI13" s="306" t="s">
        <v>111</v>
      </c>
      <c r="BJ13" s="308">
        <v>100</v>
      </c>
      <c r="BK13" s="310">
        <f>IF(BH14=0,"-",(BH13/BH14)*BJ13)</f>
        <v>3.8628948355780319</v>
      </c>
      <c r="BL13" s="304"/>
      <c r="BM13" s="10">
        <f>+PL!W42</f>
        <v>12821.694664080098</v>
      </c>
      <c r="BN13" s="306" t="s">
        <v>111</v>
      </c>
      <c r="BO13" s="308">
        <v>100</v>
      </c>
      <c r="BP13" s="310">
        <f>IF(BM14=0,"-",(BM13/BM14)*BO13)</f>
        <v>3.045875703647337</v>
      </c>
      <c r="BQ13" s="304"/>
      <c r="BR13" s="10">
        <f>+PL!X42</f>
        <v>20287.037430354289</v>
      </c>
      <c r="BS13" s="306" t="s">
        <v>111</v>
      </c>
      <c r="BT13" s="308">
        <v>100</v>
      </c>
      <c r="BU13" s="310">
        <f>IF(BR14=0,"-",(BR13/BR14)*BT13)</f>
        <v>4.6774841598950436</v>
      </c>
      <c r="BV13" s="304"/>
      <c r="BW13" s="10">
        <f>+PL!Y42</f>
        <v>34502.788514524043</v>
      </c>
      <c r="BX13" s="306" t="s">
        <v>111</v>
      </c>
      <c r="BY13" s="308">
        <v>100</v>
      </c>
      <c r="BZ13" s="310">
        <f>IF(BW14=0,"-",(BW13/BW14)*BY13)</f>
        <v>5.6506990631560097</v>
      </c>
      <c r="CA13" s="304"/>
      <c r="CB13" s="10">
        <f>+PL!Z42</f>
        <v>16919.494862570296</v>
      </c>
      <c r="CC13" s="306" t="s">
        <v>111</v>
      </c>
      <c r="CD13" s="308">
        <v>100</v>
      </c>
      <c r="CE13" s="310">
        <f>IF(CB14=0,"-",(CB13/CB14)*CD13)</f>
        <v>3.4026636303772415</v>
      </c>
      <c r="CF13" s="304"/>
      <c r="CG13" s="10">
        <f>+PL!AA42</f>
        <v>28465.156045913322</v>
      </c>
      <c r="CH13" s="306" t="s">
        <v>118</v>
      </c>
      <c r="CI13" s="308">
        <v>100</v>
      </c>
      <c r="CJ13" s="310">
        <f>IF(CG14=0,"-",(CG13/CG14)*CI13)</f>
        <v>5.5832860816103462</v>
      </c>
      <c r="CK13" s="304"/>
      <c r="CL13" s="10">
        <f>+PL!AB42</f>
        <v>27089.759092260432</v>
      </c>
      <c r="CM13" s="306" t="s">
        <v>111</v>
      </c>
      <c r="CN13" s="308">
        <v>100</v>
      </c>
      <c r="CO13" s="310">
        <f>IF(CL14=0,"-",(CL13/CL14)*CN13)</f>
        <v>4.9016796937501317</v>
      </c>
      <c r="CP13" s="304"/>
      <c r="CQ13" s="10">
        <f>+PL!AC42</f>
        <v>22698.368270275609</v>
      </c>
      <c r="CR13" s="306" t="s">
        <v>111</v>
      </c>
      <c r="CS13" s="308">
        <v>100</v>
      </c>
      <c r="CT13" s="310">
        <f>IF(CQ14=0,"-",(CQ13/CQ14)*CS13)</f>
        <v>4.1348457999690051</v>
      </c>
    </row>
    <row r="14" spans="1:98" ht="18" customHeight="1" x14ac:dyDescent="0.2">
      <c r="A14" s="17"/>
      <c r="B14" s="321"/>
      <c r="C14" s="323"/>
      <c r="D14" s="305"/>
      <c r="E14" s="12">
        <f>+E12</f>
        <v>476566.84718686901</v>
      </c>
      <c r="F14" s="307"/>
      <c r="G14" s="309"/>
      <c r="H14" s="311"/>
      <c r="I14" s="305"/>
      <c r="J14" s="12">
        <f>+J12</f>
        <v>431883.95550527907</v>
      </c>
      <c r="K14" s="307"/>
      <c r="L14" s="309"/>
      <c r="M14" s="311"/>
      <c r="N14" s="305"/>
      <c r="O14" s="12">
        <f>+O12</f>
        <v>470276.95833658014</v>
      </c>
      <c r="P14" s="307"/>
      <c r="Q14" s="309"/>
      <c r="R14" s="311"/>
      <c r="S14" s="305"/>
      <c r="T14" s="12">
        <f>+T12</f>
        <v>382317.10699519957</v>
      </c>
      <c r="U14" s="307"/>
      <c r="V14" s="309"/>
      <c r="W14" s="311"/>
      <c r="X14" s="305"/>
      <c r="Y14" s="12">
        <f>+Y12</f>
        <v>444717.01417659037</v>
      </c>
      <c r="Z14" s="307"/>
      <c r="AA14" s="309"/>
      <c r="AB14" s="311"/>
      <c r="AC14" s="305"/>
      <c r="AD14" s="12">
        <f>+AD12</f>
        <v>466028.2715769179</v>
      </c>
      <c r="AE14" s="307"/>
      <c r="AF14" s="309"/>
      <c r="AG14" s="311"/>
      <c r="AH14" s="305"/>
      <c r="AI14" s="12">
        <f>+AI12</f>
        <v>571062.94556079933</v>
      </c>
      <c r="AJ14" s="307"/>
      <c r="AK14" s="309"/>
      <c r="AL14" s="311"/>
      <c r="AM14" s="305"/>
      <c r="AN14" s="12">
        <f>+AN12</f>
        <v>380712.29461116524</v>
      </c>
      <c r="AO14" s="307"/>
      <c r="AP14" s="309"/>
      <c r="AQ14" s="311"/>
      <c r="AR14" s="305"/>
      <c r="AS14" s="12">
        <f>+AS12</f>
        <v>481641.09597770061</v>
      </c>
      <c r="AT14" s="307"/>
      <c r="AU14" s="309"/>
      <c r="AV14" s="311"/>
      <c r="AW14" s="305"/>
      <c r="AX14" s="12">
        <f>+AX12</f>
        <v>399147.49110443954</v>
      </c>
      <c r="AY14" s="307"/>
      <c r="AZ14" s="309"/>
      <c r="BA14" s="311"/>
      <c r="BB14" s="305"/>
      <c r="BC14" s="12">
        <f>+BC12</f>
        <v>466318.69523454586</v>
      </c>
      <c r="BD14" s="307"/>
      <c r="BE14" s="309"/>
      <c r="BF14" s="311"/>
      <c r="BG14" s="305"/>
      <c r="BH14" s="12">
        <f>+BH12</f>
        <v>401930.379131675</v>
      </c>
      <c r="BI14" s="307"/>
      <c r="BJ14" s="309"/>
      <c r="BK14" s="311"/>
      <c r="BL14" s="305"/>
      <c r="BM14" s="12">
        <f>+BM12</f>
        <v>420952.65570839075</v>
      </c>
      <c r="BN14" s="307"/>
      <c r="BO14" s="309"/>
      <c r="BP14" s="311"/>
      <c r="BQ14" s="305"/>
      <c r="BR14" s="12">
        <f>+BR12</f>
        <v>433716.8601081805</v>
      </c>
      <c r="BS14" s="307"/>
      <c r="BT14" s="309"/>
      <c r="BU14" s="311"/>
      <c r="BV14" s="305"/>
      <c r="BW14" s="12">
        <f>+BW12</f>
        <v>610593.27578583988</v>
      </c>
      <c r="BX14" s="307"/>
      <c r="BY14" s="309"/>
      <c r="BZ14" s="311"/>
      <c r="CA14" s="305"/>
      <c r="CB14" s="12">
        <f>+CB12</f>
        <v>497242.65165447723</v>
      </c>
      <c r="CC14" s="307"/>
      <c r="CD14" s="309"/>
      <c r="CE14" s="311"/>
      <c r="CF14" s="305"/>
      <c r="CG14" s="12">
        <f>+CG12</f>
        <v>509828.00504650705</v>
      </c>
      <c r="CH14" s="307"/>
      <c r="CI14" s="309"/>
      <c r="CJ14" s="311"/>
      <c r="CK14" s="305"/>
      <c r="CL14" s="12">
        <f>+CL12</f>
        <v>552662.77653354476</v>
      </c>
      <c r="CM14" s="307"/>
      <c r="CN14" s="309"/>
      <c r="CO14" s="311"/>
      <c r="CP14" s="305"/>
      <c r="CQ14" s="12">
        <f>+CQ12</f>
        <v>548953.19845895481</v>
      </c>
      <c r="CR14" s="307"/>
      <c r="CS14" s="309"/>
      <c r="CT14" s="311"/>
    </row>
    <row r="15" spans="1:98" ht="18" customHeight="1" x14ac:dyDescent="0.2">
      <c r="A15" s="17"/>
      <c r="B15" s="320" t="s">
        <v>122</v>
      </c>
      <c r="C15" s="322" t="s">
        <v>117</v>
      </c>
      <c r="D15" s="304"/>
      <c r="E15" s="10">
        <f>+PL!K34</f>
        <v>13674.265777231602</v>
      </c>
      <c r="F15" s="306" t="s">
        <v>123</v>
      </c>
      <c r="G15" s="308">
        <v>100</v>
      </c>
      <c r="H15" s="310">
        <f>IF(E16=0,"-",(E15/E16)*G15)</f>
        <v>2.8693279563925933</v>
      </c>
      <c r="I15" s="304"/>
      <c r="J15" s="10">
        <f>+PL!L34</f>
        <v>16694.570135746606</v>
      </c>
      <c r="K15" s="306" t="s">
        <v>111</v>
      </c>
      <c r="L15" s="308">
        <v>100</v>
      </c>
      <c r="M15" s="310">
        <f>IF(J16=0,"-",(J15/J16)*L15)</f>
        <v>3.8655221901482615</v>
      </c>
      <c r="N15" s="304"/>
      <c r="O15" s="10">
        <f>+PL!M34</f>
        <v>9079.0707428644273</v>
      </c>
      <c r="P15" s="306" t="s">
        <v>111</v>
      </c>
      <c r="Q15" s="308">
        <v>100</v>
      </c>
      <c r="R15" s="310">
        <f>IF(O16=0,"-",(O15/O16)*Q15)</f>
        <v>1.930579540825915</v>
      </c>
      <c r="S15" s="304"/>
      <c r="T15" s="10">
        <f>+PL!N34</f>
        <v>3082.2768024796655</v>
      </c>
      <c r="U15" s="306" t="s">
        <v>111</v>
      </c>
      <c r="V15" s="308">
        <v>100</v>
      </c>
      <c r="W15" s="310">
        <f>IF(T16=0,"-",(T15/T16)*V15)</f>
        <v>0.80620949104387496</v>
      </c>
      <c r="X15" s="304"/>
      <c r="Y15" s="10">
        <f>+PL!O34</f>
        <v>6865.6097148884965</v>
      </c>
      <c r="Z15" s="306" t="s">
        <v>111</v>
      </c>
      <c r="AA15" s="308">
        <v>100</v>
      </c>
      <c r="AB15" s="310">
        <f>IF(Y16=0,"-",(Y15/Y16)*AA15)</f>
        <v>1.5438153918172932</v>
      </c>
      <c r="AC15" s="304"/>
      <c r="AD15" s="10">
        <f>+PL!P34</f>
        <v>1369.1385894512221</v>
      </c>
      <c r="AE15" s="306" t="s">
        <v>111</v>
      </c>
      <c r="AF15" s="308">
        <v>100</v>
      </c>
      <c r="AG15" s="310">
        <f>IF(AD16=0,"-",(AD15/AD16)*AF15)</f>
        <v>0.2937887405024624</v>
      </c>
      <c r="AH15" s="304"/>
      <c r="AI15" s="10">
        <f>+PL!Q34</f>
        <v>2702.8496897490108</v>
      </c>
      <c r="AJ15" s="306" t="s">
        <v>123</v>
      </c>
      <c r="AK15" s="308">
        <v>100</v>
      </c>
      <c r="AL15" s="310">
        <f>IF(AI16=0,"-",(AI15/AI16)*AK15)</f>
        <v>0.47330153545415887</v>
      </c>
      <c r="AM15" s="304"/>
      <c r="AN15" s="10">
        <f>+PL!R34</f>
        <v>6234.1960336807178</v>
      </c>
      <c r="AO15" s="306" t="s">
        <v>123</v>
      </c>
      <c r="AP15" s="308">
        <v>100</v>
      </c>
      <c r="AQ15" s="310">
        <f>IF(AN16=0,"-",(AN15/AN16)*AP15)</f>
        <v>1.6375084603054177</v>
      </c>
      <c r="AR15" s="304"/>
      <c r="AS15" s="10">
        <f>+PL!S34</f>
        <v>6262.6598008963583</v>
      </c>
      <c r="AT15" s="306" t="s">
        <v>111</v>
      </c>
      <c r="AU15" s="308">
        <v>100</v>
      </c>
      <c r="AV15" s="310">
        <f>IF(AS16=0,"-",(AS15/AS16)*AU15)</f>
        <v>1.3002752159641942</v>
      </c>
      <c r="AW15" s="304"/>
      <c r="AX15" s="10">
        <f>+PL!T34</f>
        <v>13732.672359275977</v>
      </c>
      <c r="AY15" s="306" t="s">
        <v>111</v>
      </c>
      <c r="AZ15" s="308">
        <v>100</v>
      </c>
      <c r="BA15" s="310">
        <f>IF(AX16=0,"-",(AX15/AX16)*AZ15)</f>
        <v>3.4405007335202651</v>
      </c>
      <c r="BB15" s="304"/>
      <c r="BC15" s="10">
        <f>+PL!U34</f>
        <v>19225.646491871281</v>
      </c>
      <c r="BD15" s="306" t="s">
        <v>111</v>
      </c>
      <c r="BE15" s="308">
        <v>100</v>
      </c>
      <c r="BF15" s="310">
        <f>IF(BC16=0,"-",(BC15/BC16)*BE15)</f>
        <v>4.1228556110540016</v>
      </c>
      <c r="BG15" s="304"/>
      <c r="BH15" s="10">
        <f>+PL!V34</f>
        <v>16776.347528637059</v>
      </c>
      <c r="BI15" s="306" t="s">
        <v>111</v>
      </c>
      <c r="BJ15" s="308">
        <v>100</v>
      </c>
      <c r="BK15" s="310">
        <f>IF(BH16=0,"-",(BH15/BH16)*BJ15)</f>
        <v>4.1739436478726626</v>
      </c>
      <c r="BL15" s="304"/>
      <c r="BM15" s="10">
        <f>+PL!W34</f>
        <v>15000.913303005145</v>
      </c>
      <c r="BN15" s="306" t="s">
        <v>111</v>
      </c>
      <c r="BO15" s="308">
        <v>100</v>
      </c>
      <c r="BP15" s="310">
        <f>IF(BM16=0,"-",(BM15/BM16)*BO15)</f>
        <v>3.5635630514698131</v>
      </c>
      <c r="BQ15" s="304"/>
      <c r="BR15" s="10">
        <f>+PL!X34</f>
        <v>21976.353230743764</v>
      </c>
      <c r="BS15" s="306" t="s">
        <v>111</v>
      </c>
      <c r="BT15" s="308">
        <v>100</v>
      </c>
      <c r="BU15" s="310">
        <f>IF(BR16=0,"-",(BR15/BR16)*BT15)</f>
        <v>5.0669815384309196</v>
      </c>
      <c r="BV15" s="304"/>
      <c r="BW15" s="10">
        <f>+PL!Y34</f>
        <v>34865.859400268091</v>
      </c>
      <c r="BX15" s="306" t="s">
        <v>111</v>
      </c>
      <c r="BY15" s="308">
        <v>100</v>
      </c>
      <c r="BZ15" s="310">
        <f>IF(BW16=0,"-",(BW15/BW16)*BY15)</f>
        <v>5.7101610487595638</v>
      </c>
      <c r="CA15" s="304"/>
      <c r="CB15" s="10">
        <f>+PL!Z34</f>
        <v>26373.395206001584</v>
      </c>
      <c r="CC15" s="306" t="s">
        <v>111</v>
      </c>
      <c r="CD15" s="308">
        <v>100</v>
      </c>
      <c r="CE15" s="310">
        <f>IF(CB16=0,"-",(CB15/CB16)*CD15)</f>
        <v>5.3039285986930711</v>
      </c>
      <c r="CF15" s="304"/>
      <c r="CG15" s="10">
        <f>+PL!AA34</f>
        <v>32709.981100336434</v>
      </c>
      <c r="CH15" s="306" t="s">
        <v>121</v>
      </c>
      <c r="CI15" s="308">
        <v>100</v>
      </c>
      <c r="CJ15" s="310">
        <f>IF(CG16=0,"-",(CG15/CG16)*CI15)</f>
        <v>6.415885509732365</v>
      </c>
      <c r="CK15" s="304"/>
      <c r="CL15" s="10">
        <f>+PL!AB34</f>
        <v>31117.694282033495</v>
      </c>
      <c r="CM15" s="306" t="s">
        <v>111</v>
      </c>
      <c r="CN15" s="308">
        <v>100</v>
      </c>
      <c r="CO15" s="310">
        <f>IF(CL16=0,"-",(CL15/CL16)*CN15)</f>
        <v>5.6305030125626265</v>
      </c>
      <c r="CP15" s="304"/>
      <c r="CQ15" s="10">
        <f>+PL!AC34</f>
        <v>28642.931542032995</v>
      </c>
      <c r="CR15" s="306" t="s">
        <v>111</v>
      </c>
      <c r="CS15" s="308">
        <v>100</v>
      </c>
      <c r="CT15" s="310">
        <f>IF(CQ16=0,"-",(CQ15/CQ16)*CS15)</f>
        <v>5.2177365251611016</v>
      </c>
    </row>
    <row r="16" spans="1:98" ht="18" customHeight="1" x14ac:dyDescent="0.2">
      <c r="A16" s="17"/>
      <c r="B16" s="321"/>
      <c r="C16" s="323"/>
      <c r="D16" s="305"/>
      <c r="E16" s="12">
        <f>+E12</f>
        <v>476566.84718686901</v>
      </c>
      <c r="F16" s="307"/>
      <c r="G16" s="309"/>
      <c r="H16" s="311"/>
      <c r="I16" s="305"/>
      <c r="J16" s="12">
        <f>+J12</f>
        <v>431883.95550527907</v>
      </c>
      <c r="K16" s="307"/>
      <c r="L16" s="309"/>
      <c r="M16" s="311"/>
      <c r="N16" s="305"/>
      <c r="O16" s="12">
        <f>+O12</f>
        <v>470276.95833658014</v>
      </c>
      <c r="P16" s="307"/>
      <c r="Q16" s="309"/>
      <c r="R16" s="311"/>
      <c r="S16" s="305"/>
      <c r="T16" s="12">
        <f>+T12</f>
        <v>382317.10699519957</v>
      </c>
      <c r="U16" s="307"/>
      <c r="V16" s="309"/>
      <c r="W16" s="311"/>
      <c r="X16" s="305"/>
      <c r="Y16" s="12">
        <f>+Y12</f>
        <v>444717.01417659037</v>
      </c>
      <c r="Z16" s="307"/>
      <c r="AA16" s="309"/>
      <c r="AB16" s="311"/>
      <c r="AC16" s="305"/>
      <c r="AD16" s="12">
        <f>+AD12</f>
        <v>466028.2715769179</v>
      </c>
      <c r="AE16" s="307"/>
      <c r="AF16" s="309"/>
      <c r="AG16" s="311"/>
      <c r="AH16" s="305"/>
      <c r="AI16" s="12">
        <f>+AI12</f>
        <v>571062.94556079933</v>
      </c>
      <c r="AJ16" s="307"/>
      <c r="AK16" s="309"/>
      <c r="AL16" s="311"/>
      <c r="AM16" s="305"/>
      <c r="AN16" s="12">
        <f>+AN12</f>
        <v>380712.29461116524</v>
      </c>
      <c r="AO16" s="307"/>
      <c r="AP16" s="309"/>
      <c r="AQ16" s="311"/>
      <c r="AR16" s="305"/>
      <c r="AS16" s="12">
        <f>+AS12</f>
        <v>481641.09597770061</v>
      </c>
      <c r="AT16" s="307"/>
      <c r="AU16" s="309"/>
      <c r="AV16" s="311"/>
      <c r="AW16" s="305"/>
      <c r="AX16" s="12">
        <f>+AX12</f>
        <v>399147.49110443954</v>
      </c>
      <c r="AY16" s="307"/>
      <c r="AZ16" s="309"/>
      <c r="BA16" s="311"/>
      <c r="BB16" s="305"/>
      <c r="BC16" s="12">
        <f>+BC12</f>
        <v>466318.69523454586</v>
      </c>
      <c r="BD16" s="307"/>
      <c r="BE16" s="309"/>
      <c r="BF16" s="311"/>
      <c r="BG16" s="305"/>
      <c r="BH16" s="12">
        <f>+BH12</f>
        <v>401930.379131675</v>
      </c>
      <c r="BI16" s="307"/>
      <c r="BJ16" s="309"/>
      <c r="BK16" s="311"/>
      <c r="BL16" s="305"/>
      <c r="BM16" s="12">
        <f>+BM12</f>
        <v>420952.65570839075</v>
      </c>
      <c r="BN16" s="307"/>
      <c r="BO16" s="309"/>
      <c r="BP16" s="311"/>
      <c r="BQ16" s="305"/>
      <c r="BR16" s="12">
        <f>+BR12</f>
        <v>433716.8601081805</v>
      </c>
      <c r="BS16" s="307"/>
      <c r="BT16" s="309"/>
      <c r="BU16" s="311"/>
      <c r="BV16" s="305"/>
      <c r="BW16" s="12">
        <f>+BW12</f>
        <v>610593.27578583988</v>
      </c>
      <c r="BX16" s="307"/>
      <c r="BY16" s="309"/>
      <c r="BZ16" s="311"/>
      <c r="CA16" s="305"/>
      <c r="CB16" s="12">
        <f>+CB12</f>
        <v>497242.65165447723</v>
      </c>
      <c r="CC16" s="307"/>
      <c r="CD16" s="309"/>
      <c r="CE16" s="311"/>
      <c r="CF16" s="305"/>
      <c r="CG16" s="12">
        <f>+CG12</f>
        <v>509828.00504650705</v>
      </c>
      <c r="CH16" s="307"/>
      <c r="CI16" s="309"/>
      <c r="CJ16" s="311"/>
      <c r="CK16" s="305"/>
      <c r="CL16" s="12">
        <f>+CL12</f>
        <v>552662.77653354476</v>
      </c>
      <c r="CM16" s="307"/>
      <c r="CN16" s="309"/>
      <c r="CO16" s="311"/>
      <c r="CP16" s="305"/>
      <c r="CQ16" s="12">
        <f>+CQ12</f>
        <v>548953.19845895481</v>
      </c>
      <c r="CR16" s="307"/>
      <c r="CS16" s="309"/>
      <c r="CT16" s="311"/>
    </row>
    <row r="17" spans="1:98" ht="18" customHeight="1" x14ac:dyDescent="0.2">
      <c r="A17" s="17"/>
      <c r="B17" s="320" t="s">
        <v>124</v>
      </c>
      <c r="C17" s="322" t="s">
        <v>117</v>
      </c>
      <c r="D17" s="304"/>
      <c r="E17" s="10">
        <f>+E6</f>
        <v>8068.5359431229699</v>
      </c>
      <c r="F17" s="306" t="s">
        <v>123</v>
      </c>
      <c r="G17" s="308">
        <v>100</v>
      </c>
      <c r="H17" s="310">
        <f>IF(E18=0,"-",(E17/E18)*G17)</f>
        <v>1.693054393261052</v>
      </c>
      <c r="I17" s="304"/>
      <c r="J17" s="10">
        <f>+J6</f>
        <v>3795.9087481146307</v>
      </c>
      <c r="K17" s="306" t="s">
        <v>111</v>
      </c>
      <c r="L17" s="308">
        <v>100</v>
      </c>
      <c r="M17" s="310">
        <f>IF(J18=0,"-",(J17/J18)*L17)</f>
        <v>0.87891867704917126</v>
      </c>
      <c r="N17" s="304"/>
      <c r="O17" s="10">
        <f>+O6</f>
        <v>1941.7759394961477</v>
      </c>
      <c r="P17" s="306" t="s">
        <v>111</v>
      </c>
      <c r="Q17" s="308">
        <v>100</v>
      </c>
      <c r="R17" s="310">
        <f>IF(O18=0,"-",(O17/O18)*Q17)</f>
        <v>0.41290050577098586</v>
      </c>
      <c r="S17" s="304"/>
      <c r="T17" s="10">
        <f>+T6</f>
        <v>-840.99770914266651</v>
      </c>
      <c r="U17" s="306" t="s">
        <v>111</v>
      </c>
      <c r="V17" s="308">
        <v>100</v>
      </c>
      <c r="W17" s="310">
        <f>IF(T18=0,"-",(T17/T18)*V17)</f>
        <v>-0.21997386299358718</v>
      </c>
      <c r="X17" s="304"/>
      <c r="Y17" s="10">
        <f>+Y6</f>
        <v>2483.6581056210766</v>
      </c>
      <c r="Z17" s="306" t="s">
        <v>111</v>
      </c>
      <c r="AA17" s="308">
        <v>100</v>
      </c>
      <c r="AB17" s="310">
        <f>IF(Y18=0,"-",(Y17/Y18)*AA17)</f>
        <v>0.55848056774253607</v>
      </c>
      <c r="AC17" s="304"/>
      <c r="AD17" s="10">
        <f>+AD6</f>
        <v>-777.02789697397793</v>
      </c>
      <c r="AE17" s="306" t="s">
        <v>111</v>
      </c>
      <c r="AF17" s="308">
        <v>100</v>
      </c>
      <c r="AG17" s="310">
        <f>IF(AD18=0,"-",(AD17/AD18)*AF17)</f>
        <v>-0.16673406837416077</v>
      </c>
      <c r="AH17" s="304"/>
      <c r="AI17" s="10">
        <f>+AI6</f>
        <v>-1550.9490888707821</v>
      </c>
      <c r="AJ17" s="306" t="s">
        <v>123</v>
      </c>
      <c r="AK17" s="308">
        <v>100</v>
      </c>
      <c r="AL17" s="310">
        <f>IF(AI18=0,"-",(AI17/AI18)*AK17)</f>
        <v>-0.27158986604317464</v>
      </c>
      <c r="AM17" s="304"/>
      <c r="AN17" s="10">
        <f>+AN6</f>
        <v>1148.6573494731438</v>
      </c>
      <c r="AO17" s="306" t="s">
        <v>125</v>
      </c>
      <c r="AP17" s="308">
        <v>100</v>
      </c>
      <c r="AQ17" s="310">
        <f>IF(AN18=0,"-",(AN17/AN18)*AP17)</f>
        <v>0.30171270162060504</v>
      </c>
      <c r="AR17" s="304"/>
      <c r="AS17" s="10">
        <f>+AS6</f>
        <v>-4829.2269687239641</v>
      </c>
      <c r="AT17" s="306" t="s">
        <v>111</v>
      </c>
      <c r="AU17" s="308">
        <v>100</v>
      </c>
      <c r="AV17" s="310">
        <f>IF(AS18=0,"-",(AS17/AS18)*AU17)</f>
        <v>-1.002660904365094</v>
      </c>
      <c r="AW17" s="304"/>
      <c r="AX17" s="10">
        <f>+AX6</f>
        <v>8879.5262784086972</v>
      </c>
      <c r="AY17" s="306" t="s">
        <v>111</v>
      </c>
      <c r="AZ17" s="308">
        <v>100</v>
      </c>
      <c r="BA17" s="310">
        <f>IF(AX18=0,"-",(AX17/AX18)*AZ17)</f>
        <v>2.2246228465169811</v>
      </c>
      <c r="BB17" s="304"/>
      <c r="BC17" s="10">
        <f>+BC6</f>
        <v>10769.538842515687</v>
      </c>
      <c r="BD17" s="306" t="s">
        <v>111</v>
      </c>
      <c r="BE17" s="308">
        <v>100</v>
      </c>
      <c r="BF17" s="310">
        <f>IF(BC18=0,"-",(BC17/BC18)*BE17)</f>
        <v>2.3094803945398108</v>
      </c>
      <c r="BG17" s="304"/>
      <c r="BH17" s="10">
        <f>+BH6</f>
        <v>9945.3613190129781</v>
      </c>
      <c r="BI17" s="306" t="s">
        <v>111</v>
      </c>
      <c r="BJ17" s="308">
        <v>100</v>
      </c>
      <c r="BK17" s="310">
        <f>IF(BH18=0,"-",(BH17/BH18)*BJ17)</f>
        <v>2.4743990092261261</v>
      </c>
      <c r="BL17" s="304"/>
      <c r="BM17" s="10">
        <f>+BM6</f>
        <v>8727.024691697301</v>
      </c>
      <c r="BN17" s="306" t="s">
        <v>111</v>
      </c>
      <c r="BO17" s="308">
        <v>100</v>
      </c>
      <c r="BP17" s="310">
        <f>IF(BM18=0,"-",(BM17/BM18)*BO17)</f>
        <v>2.0731606211181215</v>
      </c>
      <c r="BQ17" s="304"/>
      <c r="BR17" s="10">
        <f>+BR6</f>
        <v>14663.948992896116</v>
      </c>
      <c r="BS17" s="306" t="s">
        <v>111</v>
      </c>
      <c r="BT17" s="308">
        <v>100</v>
      </c>
      <c r="BU17" s="310">
        <f>IF(BR18=0,"-",(BR17/BR18)*BT17)</f>
        <v>3.3809958389071011</v>
      </c>
      <c r="BV17" s="304"/>
      <c r="BW17" s="10">
        <f>+BW6</f>
        <v>26813.732660714802</v>
      </c>
      <c r="BX17" s="306" t="s">
        <v>111</v>
      </c>
      <c r="BY17" s="308">
        <v>100</v>
      </c>
      <c r="BZ17" s="310">
        <f>IF(BW18=0,"-",(BW17/BW18)*BY17)</f>
        <v>4.3914228544697371</v>
      </c>
      <c r="CA17" s="304"/>
      <c r="CB17" s="10">
        <f>+CB6</f>
        <v>15306.307977942914</v>
      </c>
      <c r="CC17" s="306" t="s">
        <v>111</v>
      </c>
      <c r="CD17" s="308">
        <v>100</v>
      </c>
      <c r="CE17" s="310">
        <f>IF(CB18=0,"-",(CB17/CB18)*CD17)</f>
        <v>3.0782371397574568</v>
      </c>
      <c r="CF17" s="304"/>
      <c r="CG17" s="10">
        <f>+CG6</f>
        <v>21779.970017811203</v>
      </c>
      <c r="CH17" s="306" t="s">
        <v>126</v>
      </c>
      <c r="CI17" s="308">
        <v>100</v>
      </c>
      <c r="CJ17" s="310">
        <f>IF(CG18=0,"-",(CG17/CG18)*CI17)</f>
        <v>4.2720230748847179</v>
      </c>
      <c r="CK17" s="304"/>
      <c r="CL17" s="10">
        <f>+CL6</f>
        <v>18426.199484689329</v>
      </c>
      <c r="CM17" s="306" t="s">
        <v>111</v>
      </c>
      <c r="CN17" s="308">
        <v>100</v>
      </c>
      <c r="CO17" s="310">
        <f>IF(CL18=0,"-",(CL17/CL18)*CN17)</f>
        <v>3.3340764507904073</v>
      </c>
      <c r="CP17" s="304"/>
      <c r="CQ17" s="10">
        <f>+CQ6</f>
        <v>18104.31176528697</v>
      </c>
      <c r="CR17" s="306" t="s">
        <v>111</v>
      </c>
      <c r="CS17" s="308">
        <v>100</v>
      </c>
      <c r="CT17" s="310">
        <f>IF(CQ18=0,"-",(CQ17/CQ18)*CS17)</f>
        <v>3.2979699938191773</v>
      </c>
    </row>
    <row r="18" spans="1:98" ht="18" customHeight="1" x14ac:dyDescent="0.2">
      <c r="A18" s="17"/>
      <c r="B18" s="321"/>
      <c r="C18" s="323"/>
      <c r="D18" s="305"/>
      <c r="E18" s="12">
        <f>+E12</f>
        <v>476566.84718686901</v>
      </c>
      <c r="F18" s="307"/>
      <c r="G18" s="309"/>
      <c r="H18" s="311"/>
      <c r="I18" s="305"/>
      <c r="J18" s="12">
        <f>+J12</f>
        <v>431883.95550527907</v>
      </c>
      <c r="K18" s="307"/>
      <c r="L18" s="309"/>
      <c r="M18" s="311"/>
      <c r="N18" s="305"/>
      <c r="O18" s="12">
        <f>+O12</f>
        <v>470276.95833658014</v>
      </c>
      <c r="P18" s="307"/>
      <c r="Q18" s="309"/>
      <c r="R18" s="311"/>
      <c r="S18" s="305"/>
      <c r="T18" s="12">
        <f>+T12</f>
        <v>382317.10699519957</v>
      </c>
      <c r="U18" s="307"/>
      <c r="V18" s="309"/>
      <c r="W18" s="311"/>
      <c r="X18" s="305"/>
      <c r="Y18" s="12">
        <f>+Y12</f>
        <v>444717.01417659037</v>
      </c>
      <c r="Z18" s="307"/>
      <c r="AA18" s="309"/>
      <c r="AB18" s="311"/>
      <c r="AC18" s="305"/>
      <c r="AD18" s="12">
        <f>+AD12</f>
        <v>466028.2715769179</v>
      </c>
      <c r="AE18" s="307"/>
      <c r="AF18" s="309"/>
      <c r="AG18" s="311"/>
      <c r="AH18" s="305"/>
      <c r="AI18" s="12">
        <f>+AI12</f>
        <v>571062.94556079933</v>
      </c>
      <c r="AJ18" s="307"/>
      <c r="AK18" s="309"/>
      <c r="AL18" s="311"/>
      <c r="AM18" s="305"/>
      <c r="AN18" s="12">
        <f>+AN12</f>
        <v>380712.29461116524</v>
      </c>
      <c r="AO18" s="307"/>
      <c r="AP18" s="309"/>
      <c r="AQ18" s="311"/>
      <c r="AR18" s="305"/>
      <c r="AS18" s="12">
        <f>+AS12</f>
        <v>481641.09597770061</v>
      </c>
      <c r="AT18" s="307"/>
      <c r="AU18" s="309"/>
      <c r="AV18" s="311"/>
      <c r="AW18" s="305"/>
      <c r="AX18" s="12">
        <f>+AX12</f>
        <v>399147.49110443954</v>
      </c>
      <c r="AY18" s="307"/>
      <c r="AZ18" s="309"/>
      <c r="BA18" s="311"/>
      <c r="BB18" s="305"/>
      <c r="BC18" s="12">
        <f>+BC12</f>
        <v>466318.69523454586</v>
      </c>
      <c r="BD18" s="307"/>
      <c r="BE18" s="309"/>
      <c r="BF18" s="311"/>
      <c r="BG18" s="305"/>
      <c r="BH18" s="12">
        <f>+BH12</f>
        <v>401930.379131675</v>
      </c>
      <c r="BI18" s="307"/>
      <c r="BJ18" s="309"/>
      <c r="BK18" s="311"/>
      <c r="BL18" s="305"/>
      <c r="BM18" s="12">
        <f>+BM12</f>
        <v>420952.65570839075</v>
      </c>
      <c r="BN18" s="307"/>
      <c r="BO18" s="309"/>
      <c r="BP18" s="311"/>
      <c r="BQ18" s="305"/>
      <c r="BR18" s="12">
        <f>+BR12</f>
        <v>433716.8601081805</v>
      </c>
      <c r="BS18" s="307"/>
      <c r="BT18" s="309"/>
      <c r="BU18" s="311"/>
      <c r="BV18" s="305"/>
      <c r="BW18" s="12">
        <f>+BW12</f>
        <v>610593.27578583988</v>
      </c>
      <c r="BX18" s="307"/>
      <c r="BY18" s="309"/>
      <c r="BZ18" s="311"/>
      <c r="CA18" s="305"/>
      <c r="CB18" s="12">
        <f>+CB12</f>
        <v>497242.65165447723</v>
      </c>
      <c r="CC18" s="307"/>
      <c r="CD18" s="309"/>
      <c r="CE18" s="311"/>
      <c r="CF18" s="305"/>
      <c r="CG18" s="12">
        <f>+CG12</f>
        <v>509828.00504650705</v>
      </c>
      <c r="CH18" s="307"/>
      <c r="CI18" s="309"/>
      <c r="CJ18" s="311"/>
      <c r="CK18" s="305"/>
      <c r="CL18" s="12">
        <f>+CL12</f>
        <v>552662.77653354476</v>
      </c>
      <c r="CM18" s="307"/>
      <c r="CN18" s="309"/>
      <c r="CO18" s="311"/>
      <c r="CP18" s="305"/>
      <c r="CQ18" s="12">
        <f>+CQ12</f>
        <v>548953.19845895481</v>
      </c>
      <c r="CR18" s="307"/>
      <c r="CS18" s="309"/>
      <c r="CT18" s="311"/>
    </row>
    <row r="19" spans="1:98" ht="18" customHeight="1" x14ac:dyDescent="0.2">
      <c r="A19" s="17"/>
      <c r="B19" s="320" t="s">
        <v>127</v>
      </c>
      <c r="C19" s="322" t="s">
        <v>117</v>
      </c>
      <c r="D19" s="304"/>
      <c r="E19" s="10">
        <f>+PL!K16</f>
        <v>99549.589221451693</v>
      </c>
      <c r="F19" s="306" t="s">
        <v>123</v>
      </c>
      <c r="G19" s="308">
        <v>100</v>
      </c>
      <c r="H19" s="310">
        <f>IF(E20=0,"-",(E19/E20)*G19)</f>
        <v>20.888903583848499</v>
      </c>
      <c r="I19" s="304"/>
      <c r="J19" s="10">
        <f>+PL!L16</f>
        <v>85839.55505279034</v>
      </c>
      <c r="K19" s="306" t="s">
        <v>111</v>
      </c>
      <c r="L19" s="308">
        <v>100</v>
      </c>
      <c r="M19" s="310">
        <f>IF(J20=0,"-",(J19/J20)*L19)</f>
        <v>19.875606388841895</v>
      </c>
      <c r="N19" s="304"/>
      <c r="O19" s="10">
        <f>+PL!M16</f>
        <v>107584.43746800703</v>
      </c>
      <c r="P19" s="306" t="s">
        <v>111</v>
      </c>
      <c r="Q19" s="308">
        <v>100</v>
      </c>
      <c r="R19" s="310">
        <f>IF(O20=0,"-",(O19/O20)*Q19)</f>
        <v>22.876825147577861</v>
      </c>
      <c r="S19" s="304"/>
      <c r="T19" s="10">
        <f>+PL!N16</f>
        <v>79543.602167638324</v>
      </c>
      <c r="U19" s="306" t="s">
        <v>111</v>
      </c>
      <c r="V19" s="308">
        <v>100</v>
      </c>
      <c r="W19" s="310">
        <f>IF(T20=0,"-",(T19/T20)*V19)</f>
        <v>20.80566124618564</v>
      </c>
      <c r="X19" s="304"/>
      <c r="Y19" s="10">
        <f>+PL!O16</f>
        <v>81821.922796087732</v>
      </c>
      <c r="Z19" s="306" t="s">
        <v>111</v>
      </c>
      <c r="AA19" s="308">
        <v>100</v>
      </c>
      <c r="AB19" s="310">
        <f>IF(Y20=0,"-",(Y19/Y20)*AA19)</f>
        <v>18.398649070709379</v>
      </c>
      <c r="AC19" s="304"/>
      <c r="AD19" s="10">
        <f>+PL!P16</f>
        <v>86998.071134443773</v>
      </c>
      <c r="AE19" s="306" t="s">
        <v>111</v>
      </c>
      <c r="AF19" s="308">
        <v>100</v>
      </c>
      <c r="AG19" s="310">
        <f>IF(AD20=0,"-",(AD19/AD20)*AF19)</f>
        <v>18.667981416677797</v>
      </c>
      <c r="AH19" s="304"/>
      <c r="AI19" s="10">
        <f>+PL!Q16</f>
        <v>98475.849255471185</v>
      </c>
      <c r="AJ19" s="306" t="s">
        <v>123</v>
      </c>
      <c r="AK19" s="308">
        <v>100</v>
      </c>
      <c r="AL19" s="310">
        <f>IF(AI20=0,"-",(AI19/AI20)*AK19)</f>
        <v>17.244307308148883</v>
      </c>
      <c r="AM19" s="304"/>
      <c r="AN19" s="10">
        <f>+PL!R16</f>
        <v>71843.699618983999</v>
      </c>
      <c r="AO19" s="306" t="s">
        <v>123</v>
      </c>
      <c r="AP19" s="308">
        <v>100</v>
      </c>
      <c r="AQ19" s="310">
        <f>IF(AN20=0,"-",(AN19/AN20)*AP19)</f>
        <v>18.870864071348279</v>
      </c>
      <c r="AR19" s="304"/>
      <c r="AS19" s="10">
        <f>+PL!S16</f>
        <v>84519.338002639823</v>
      </c>
      <c r="AT19" s="306" t="s">
        <v>111</v>
      </c>
      <c r="AU19" s="308">
        <v>100</v>
      </c>
      <c r="AV19" s="310">
        <f>IF(AS20=0,"-",(AS19/AS20)*AU19)</f>
        <v>17.548199003050389</v>
      </c>
      <c r="AW19" s="304"/>
      <c r="AX19" s="10">
        <f>+PL!T16</f>
        <v>79275.085463942072</v>
      </c>
      <c r="AY19" s="306" t="s">
        <v>111</v>
      </c>
      <c r="AZ19" s="308">
        <v>100</v>
      </c>
      <c r="BA19" s="310">
        <f>IF(AX20=0,"-",(AX19/AX20)*AZ19)</f>
        <v>19.861100778709197</v>
      </c>
      <c r="BB19" s="304"/>
      <c r="BC19" s="10">
        <f>+PL!U16</f>
        <v>80225.878308991159</v>
      </c>
      <c r="BD19" s="306" t="s">
        <v>111</v>
      </c>
      <c r="BE19" s="308">
        <v>100</v>
      </c>
      <c r="BF19" s="310">
        <f>IF(BC20=0,"-",(BC19/BC20)*BE19)</f>
        <v>17.204087918593888</v>
      </c>
      <c r="BG19" s="304"/>
      <c r="BH19" s="10">
        <f>+PL!V16</f>
        <v>61761.050474064534</v>
      </c>
      <c r="BI19" s="306" t="s">
        <v>111</v>
      </c>
      <c r="BJ19" s="308">
        <v>100</v>
      </c>
      <c r="BK19" s="310">
        <f>IF(BH20=0,"-",(BH19/BH20)*BJ19)</f>
        <v>15.366106589776141</v>
      </c>
      <c r="BL19" s="304"/>
      <c r="BM19" s="10">
        <f>+PL!W16</f>
        <v>77361.714816644424</v>
      </c>
      <c r="BN19" s="306" t="s">
        <v>111</v>
      </c>
      <c r="BO19" s="308">
        <v>100</v>
      </c>
      <c r="BP19" s="310">
        <f>IF(BM20=0,"-",(BM19/BM20)*BO19)</f>
        <v>18.37777093636765</v>
      </c>
      <c r="BQ19" s="304"/>
      <c r="BR19" s="10">
        <f>+PL!X16</f>
        <v>80402.676891421768</v>
      </c>
      <c r="BS19" s="306" t="s">
        <v>111</v>
      </c>
      <c r="BT19" s="308">
        <v>100</v>
      </c>
      <c r="BU19" s="310">
        <f>IF(BR20=0,"-",(BR19/BR20)*BT19)</f>
        <v>18.538056572522269</v>
      </c>
      <c r="BV19" s="304"/>
      <c r="BW19" s="10">
        <f>+PL!Y16</f>
        <v>120238.99575166455</v>
      </c>
      <c r="BX19" s="306" t="s">
        <v>111</v>
      </c>
      <c r="BY19" s="308">
        <v>100</v>
      </c>
      <c r="BZ19" s="310">
        <f>IF(BW20=0,"-",(BW19/BW20)*BY19)</f>
        <v>19.692158515325232</v>
      </c>
      <c r="CA19" s="304"/>
      <c r="CB19" s="10">
        <f>+PL!Z16</f>
        <v>98978.290030563978</v>
      </c>
      <c r="CC19" s="306" t="s">
        <v>111</v>
      </c>
      <c r="CD19" s="308">
        <v>100</v>
      </c>
      <c r="CE19" s="310">
        <f>IF(CB20=0,"-",(CB19/CB20)*CD19)</f>
        <v>19.905430417369299</v>
      </c>
      <c r="CF19" s="304"/>
      <c r="CG19" s="10">
        <f>+PL!AA16</f>
        <v>97647.413318820501</v>
      </c>
      <c r="CH19" s="306" t="s">
        <v>123</v>
      </c>
      <c r="CI19" s="308">
        <v>100</v>
      </c>
      <c r="CJ19" s="310">
        <f>IF(CG20=0,"-",(CG19/CG20)*CI19)</f>
        <v>19.15301088842952</v>
      </c>
      <c r="CK19" s="304"/>
      <c r="CL19" s="10">
        <f>+PL!AB16</f>
        <v>108721.6553364384</v>
      </c>
      <c r="CM19" s="306" t="s">
        <v>111</v>
      </c>
      <c r="CN19" s="308">
        <v>100</v>
      </c>
      <c r="CO19" s="310">
        <f>IF(CL20=0,"-",(CL19/CL20)*CN19)</f>
        <v>19.672331836490052</v>
      </c>
      <c r="CP19" s="304"/>
      <c r="CQ19" s="10">
        <f>+PL!AC16</f>
        <v>103253.6337054233</v>
      </c>
      <c r="CR19" s="306" t="s">
        <v>111</v>
      </c>
      <c r="CS19" s="308">
        <v>100</v>
      </c>
      <c r="CT19" s="310">
        <f>IF(CQ20=0,"-",(CQ19/CQ20)*CS19)</f>
        <v>18.809187011803807</v>
      </c>
    </row>
    <row r="20" spans="1:98" ht="18" customHeight="1" x14ac:dyDescent="0.2">
      <c r="A20" s="17"/>
      <c r="B20" s="321"/>
      <c r="C20" s="323"/>
      <c r="D20" s="305"/>
      <c r="E20" s="12">
        <f>+E12</f>
        <v>476566.84718686901</v>
      </c>
      <c r="F20" s="307"/>
      <c r="G20" s="309"/>
      <c r="H20" s="311"/>
      <c r="I20" s="305"/>
      <c r="J20" s="12">
        <f>+J12</f>
        <v>431883.95550527907</v>
      </c>
      <c r="K20" s="307"/>
      <c r="L20" s="309"/>
      <c r="M20" s="311"/>
      <c r="N20" s="305"/>
      <c r="O20" s="12">
        <f>+O12</f>
        <v>470276.95833658014</v>
      </c>
      <c r="P20" s="307"/>
      <c r="Q20" s="309"/>
      <c r="R20" s="311"/>
      <c r="S20" s="305"/>
      <c r="T20" s="12">
        <f>+T12</f>
        <v>382317.10699519957</v>
      </c>
      <c r="U20" s="307"/>
      <c r="V20" s="309"/>
      <c r="W20" s="311"/>
      <c r="X20" s="305"/>
      <c r="Y20" s="12">
        <f>+Y12</f>
        <v>444717.01417659037</v>
      </c>
      <c r="Z20" s="307"/>
      <c r="AA20" s="309"/>
      <c r="AB20" s="311"/>
      <c r="AC20" s="305"/>
      <c r="AD20" s="12">
        <f>+AD12</f>
        <v>466028.2715769179</v>
      </c>
      <c r="AE20" s="307"/>
      <c r="AF20" s="309"/>
      <c r="AG20" s="311"/>
      <c r="AH20" s="305"/>
      <c r="AI20" s="12">
        <f>+AI12</f>
        <v>571062.94556079933</v>
      </c>
      <c r="AJ20" s="307"/>
      <c r="AK20" s="309"/>
      <c r="AL20" s="311"/>
      <c r="AM20" s="305"/>
      <c r="AN20" s="12">
        <f>+AN12</f>
        <v>380712.29461116524</v>
      </c>
      <c r="AO20" s="307"/>
      <c r="AP20" s="309"/>
      <c r="AQ20" s="311"/>
      <c r="AR20" s="305"/>
      <c r="AS20" s="12">
        <f>+AS12</f>
        <v>481641.09597770061</v>
      </c>
      <c r="AT20" s="307"/>
      <c r="AU20" s="309"/>
      <c r="AV20" s="311"/>
      <c r="AW20" s="305"/>
      <c r="AX20" s="12">
        <f>+AX12</f>
        <v>399147.49110443954</v>
      </c>
      <c r="AY20" s="307"/>
      <c r="AZ20" s="309"/>
      <c r="BA20" s="311"/>
      <c r="BB20" s="305"/>
      <c r="BC20" s="12">
        <f>+BC12</f>
        <v>466318.69523454586</v>
      </c>
      <c r="BD20" s="307"/>
      <c r="BE20" s="309"/>
      <c r="BF20" s="311"/>
      <c r="BG20" s="305"/>
      <c r="BH20" s="12">
        <f>+BH12</f>
        <v>401930.379131675</v>
      </c>
      <c r="BI20" s="307"/>
      <c r="BJ20" s="309"/>
      <c r="BK20" s="311"/>
      <c r="BL20" s="305"/>
      <c r="BM20" s="12">
        <f>+BM12</f>
        <v>420952.65570839075</v>
      </c>
      <c r="BN20" s="307"/>
      <c r="BO20" s="309"/>
      <c r="BP20" s="311"/>
      <c r="BQ20" s="305"/>
      <c r="BR20" s="12">
        <f>+BR12</f>
        <v>433716.8601081805</v>
      </c>
      <c r="BS20" s="307"/>
      <c r="BT20" s="309"/>
      <c r="BU20" s="311"/>
      <c r="BV20" s="305"/>
      <c r="BW20" s="12">
        <f>+BW12</f>
        <v>610593.27578583988</v>
      </c>
      <c r="BX20" s="307"/>
      <c r="BY20" s="309"/>
      <c r="BZ20" s="311"/>
      <c r="CA20" s="305"/>
      <c r="CB20" s="12">
        <f>+CB12</f>
        <v>497242.65165447723</v>
      </c>
      <c r="CC20" s="307"/>
      <c r="CD20" s="309"/>
      <c r="CE20" s="311"/>
      <c r="CF20" s="305"/>
      <c r="CG20" s="12">
        <f>+CG12</f>
        <v>509828.00504650705</v>
      </c>
      <c r="CH20" s="307"/>
      <c r="CI20" s="309"/>
      <c r="CJ20" s="311"/>
      <c r="CK20" s="305"/>
      <c r="CL20" s="12">
        <f>+CL12</f>
        <v>552662.77653354476</v>
      </c>
      <c r="CM20" s="307"/>
      <c r="CN20" s="309"/>
      <c r="CO20" s="311"/>
      <c r="CP20" s="305"/>
      <c r="CQ20" s="12">
        <f>+CQ12</f>
        <v>548953.19845895481</v>
      </c>
      <c r="CR20" s="307"/>
      <c r="CS20" s="309"/>
      <c r="CT20" s="311"/>
    </row>
    <row r="21" spans="1:98"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row>
    <row r="22" spans="1:98" ht="18" customHeight="1" x14ac:dyDescent="0.2">
      <c r="A22" s="11"/>
      <c r="B22" s="320" t="s">
        <v>129</v>
      </c>
      <c r="C22" s="322" t="s">
        <v>130</v>
      </c>
      <c r="D22" s="304"/>
      <c r="E22" s="10">
        <f>+PL!K45</f>
        <v>210326.53383656629</v>
      </c>
      <c r="F22" s="306"/>
      <c r="G22" s="308"/>
      <c r="H22" s="314">
        <f>IF(E23=0,"-",(E22/E23))</f>
        <v>446685.13436596096</v>
      </c>
      <c r="I22" s="304"/>
      <c r="J22" s="10">
        <f>+PL!L45</f>
        <v>198736.51960784313</v>
      </c>
      <c r="K22" s="306"/>
      <c r="L22" s="308"/>
      <c r="M22" s="314">
        <f>IF(J23=0,"-",(J22/J23))</f>
        <v>406070.63887998217</v>
      </c>
      <c r="N22" s="304"/>
      <c r="O22" s="10">
        <f>+PL!M45</f>
        <v>236419.66551960865</v>
      </c>
      <c r="P22" s="306"/>
      <c r="Q22" s="308"/>
      <c r="R22" s="314">
        <f>IF(O23=0,"-",(O22/O23))</f>
        <v>454512.54257776955</v>
      </c>
      <c r="S22" s="304"/>
      <c r="T22" s="10">
        <f>+PL!N45</f>
        <v>194977.55672804208</v>
      </c>
      <c r="U22" s="306"/>
      <c r="V22" s="308"/>
      <c r="W22" s="314">
        <f>IF(T23=0,"-",(T22/T23))</f>
        <v>384388.8864698176</v>
      </c>
      <c r="X22" s="304"/>
      <c r="Y22" s="10">
        <f>+PL!O45</f>
        <v>196958.91028360583</v>
      </c>
      <c r="Z22" s="306"/>
      <c r="AA22" s="308"/>
      <c r="AB22" s="314">
        <f>IF(Y23=0,"-",(Y22/Y23))</f>
        <v>431898.5107253833</v>
      </c>
      <c r="AC22" s="304"/>
      <c r="AD22" s="10">
        <f>+PL!P45</f>
        <v>214812.7669283803</v>
      </c>
      <c r="AE22" s="306"/>
      <c r="AF22" s="308"/>
      <c r="AG22" s="314">
        <f>IF(AD23=0,"-",(AD22/AD23))</f>
        <v>462616.55278053624</v>
      </c>
      <c r="AH22" s="304"/>
      <c r="AI22" s="10">
        <f>+PL!Q45</f>
        <v>285651.82917840959</v>
      </c>
      <c r="AJ22" s="306"/>
      <c r="AK22" s="308"/>
      <c r="AL22" s="314">
        <f>IF(AI23=0,"-",(AI22/AI23))</f>
        <v>570731.04033700156</v>
      </c>
      <c r="AM22" s="304"/>
      <c r="AN22" s="10">
        <f>+PL!R45</f>
        <v>184349.65531527874</v>
      </c>
      <c r="AO22" s="306"/>
      <c r="AP22" s="308"/>
      <c r="AQ22" s="314">
        <f>IF(AN23=0,"-",(AN22/AN23))</f>
        <v>366811.18329159106</v>
      </c>
      <c r="AR22" s="304"/>
      <c r="AS22" s="10">
        <f>+PL!S45</f>
        <v>228159.01852368761</v>
      </c>
      <c r="AT22" s="306"/>
      <c r="AU22" s="308"/>
      <c r="AV22" s="314">
        <f>IF(AS23=0,"-",(AS22/AS23))</f>
        <v>473997.26640564715</v>
      </c>
      <c r="AW22" s="304"/>
      <c r="AX22" s="10">
        <f>+PL!T45</f>
        <v>197159.7253551241</v>
      </c>
      <c r="AY22" s="306"/>
      <c r="AZ22" s="308"/>
      <c r="BA22" s="314">
        <f>IF(AX23=0,"-",(AX22/AX23))</f>
        <v>376623.90613554145</v>
      </c>
      <c r="BB22" s="304"/>
      <c r="BC22" s="10">
        <f>+PL!U45</f>
        <v>241888.87045146705</v>
      </c>
      <c r="BD22" s="306"/>
      <c r="BE22" s="308"/>
      <c r="BF22" s="314">
        <f>IF(BC23=0,"-",(BC22/BC23))</f>
        <v>434498.15748813789</v>
      </c>
      <c r="BG22" s="304"/>
      <c r="BH22" s="10">
        <f>+PL!V45</f>
        <v>191640.54795140578</v>
      </c>
      <c r="BI22" s="306"/>
      <c r="BJ22" s="308"/>
      <c r="BK22" s="314">
        <f>IF(BH23=0,"-",(BH22/BH23))</f>
        <v>371807.62957159354</v>
      </c>
      <c r="BL22" s="304"/>
      <c r="BM22" s="10">
        <f>+PL!W45</f>
        <v>193411.67295258387</v>
      </c>
      <c r="BN22" s="306"/>
      <c r="BO22" s="308"/>
      <c r="BP22" s="314">
        <f>IF(BM23=0,"-",(BM22/BM23))</f>
        <v>394781.68986566237</v>
      </c>
      <c r="BQ22" s="304"/>
      <c r="BR22" s="10">
        <f>+PL!X45</f>
        <v>194177.33955924615</v>
      </c>
      <c r="BS22" s="306"/>
      <c r="BT22" s="308"/>
      <c r="BU22" s="314">
        <f>IF(BR23=0,"-",(BR22/BR23))</f>
        <v>392689.8592668373</v>
      </c>
      <c r="BV22" s="304"/>
      <c r="BW22" s="10">
        <f>+PL!Y45</f>
        <v>277707.26827845053</v>
      </c>
      <c r="BX22" s="306"/>
      <c r="BY22" s="308"/>
      <c r="BZ22" s="314">
        <f>IF(BW23=0,"-",(BW22/BW23))</f>
        <v>543115.72275878</v>
      </c>
      <c r="CA22" s="304"/>
      <c r="CB22" s="10">
        <f>+PL!Z45</f>
        <v>262547.32583904965</v>
      </c>
      <c r="CC22" s="306"/>
      <c r="CD22" s="308"/>
      <c r="CE22" s="314">
        <f>IF(CB23=0,"-",(CB22/CB23))</f>
        <v>467138.56105439545</v>
      </c>
      <c r="CF22" s="304"/>
      <c r="CG22" s="10">
        <f>+PL!AA45</f>
        <v>254792.8847219474</v>
      </c>
      <c r="CH22" s="306"/>
      <c r="CI22" s="308"/>
      <c r="CJ22" s="314">
        <f>IF(CG23=0,"-",(CG22/CG23))</f>
        <v>458594.3889384339</v>
      </c>
      <c r="CK22" s="304"/>
      <c r="CL22" s="10">
        <f>+PL!AB45</f>
        <v>276051.33316816966</v>
      </c>
      <c r="CM22" s="306"/>
      <c r="CN22" s="308"/>
      <c r="CO22" s="314">
        <f>IF(CL23=0,"-",(CL22/CL23))</f>
        <v>503274.87793560402</v>
      </c>
      <c r="CP22" s="304"/>
      <c r="CQ22" s="10">
        <f>+PL!AC45</f>
        <v>273991.60061246657</v>
      </c>
      <c r="CR22" s="306"/>
      <c r="CS22" s="308"/>
      <c r="CT22" s="314">
        <f>IF(CQ23=0,"-",(CQ22/CQ23))</f>
        <v>506955.34491274465</v>
      </c>
    </row>
    <row r="23" spans="1:98" ht="18" customHeight="1" x14ac:dyDescent="0.2">
      <c r="A23" s="11"/>
      <c r="B23" s="321"/>
      <c r="C23" s="323"/>
      <c r="D23" s="305"/>
      <c r="E23" s="19">
        <f>PL!K44/PL!K6</f>
        <v>0.47086083161265357</v>
      </c>
      <c r="F23" s="307"/>
      <c r="G23" s="309"/>
      <c r="H23" s="315"/>
      <c r="I23" s="305"/>
      <c r="J23" s="19">
        <f>PL!L44/PL!L6</f>
        <v>0.48941366496232075</v>
      </c>
      <c r="K23" s="307"/>
      <c r="L23" s="309"/>
      <c r="M23" s="315"/>
      <c r="N23" s="305"/>
      <c r="O23" s="19">
        <f>PL!M44/PL!M6</f>
        <v>0.52016092708631023</v>
      </c>
      <c r="P23" s="307"/>
      <c r="Q23" s="309"/>
      <c r="R23" s="315"/>
      <c r="S23" s="305"/>
      <c r="T23" s="19">
        <f>PL!N44/PL!N6</f>
        <v>0.50724035889458996</v>
      </c>
      <c r="U23" s="307"/>
      <c r="V23" s="309"/>
      <c r="W23" s="315"/>
      <c r="X23" s="305"/>
      <c r="Y23" s="19">
        <f>PL!O44/PL!O6</f>
        <v>0.45603053817622313</v>
      </c>
      <c r="Z23" s="307"/>
      <c r="AA23" s="309"/>
      <c r="AB23" s="315"/>
      <c r="AC23" s="305"/>
      <c r="AD23" s="19">
        <f>PL!P44/PL!P6</f>
        <v>0.46434301936940586</v>
      </c>
      <c r="AE23" s="307"/>
      <c r="AF23" s="309"/>
      <c r="AG23" s="315"/>
      <c r="AH23" s="305"/>
      <c r="AI23" s="19">
        <f>PL!Q44/PL!Q6</f>
        <v>0.50050165312498118</v>
      </c>
      <c r="AJ23" s="307"/>
      <c r="AK23" s="309"/>
      <c r="AL23" s="315"/>
      <c r="AM23" s="305"/>
      <c r="AN23" s="19">
        <f>PL!R44/PL!R6</f>
        <v>0.50257370470826879</v>
      </c>
      <c r="AO23" s="307"/>
      <c r="AP23" s="309"/>
      <c r="AQ23" s="315"/>
      <c r="AR23" s="305"/>
      <c r="AS23" s="19">
        <f>PL!S44/PL!S6</f>
        <v>0.4813509163329836</v>
      </c>
      <c r="AT23" s="307"/>
      <c r="AU23" s="309"/>
      <c r="AV23" s="315"/>
      <c r="AW23" s="305"/>
      <c r="AX23" s="19">
        <f>PL!T44/PL!T6</f>
        <v>0.52349232787195721</v>
      </c>
      <c r="AY23" s="307"/>
      <c r="AZ23" s="309"/>
      <c r="BA23" s="315"/>
      <c r="BB23" s="305"/>
      <c r="BC23" s="19">
        <f>PL!U44/PL!U6</f>
        <v>0.55670862184972736</v>
      </c>
      <c r="BD23" s="307"/>
      <c r="BE23" s="309"/>
      <c r="BF23" s="315"/>
      <c r="BG23" s="305"/>
      <c r="BH23" s="19">
        <f>PL!V44/PL!V6</f>
        <v>0.51542930459016945</v>
      </c>
      <c r="BI23" s="307"/>
      <c r="BJ23" s="309"/>
      <c r="BK23" s="315"/>
      <c r="BL23" s="305"/>
      <c r="BM23" s="19">
        <f>PL!W44/PL!W6</f>
        <v>0.48992057615032414</v>
      </c>
      <c r="BN23" s="307"/>
      <c r="BO23" s="309"/>
      <c r="BP23" s="315"/>
      <c r="BQ23" s="305"/>
      <c r="BR23" s="19">
        <f>PL!X44/PL!X6</f>
        <v>0.49448014756933256</v>
      </c>
      <c r="BS23" s="307"/>
      <c r="BT23" s="309"/>
      <c r="BU23" s="315"/>
      <c r="BV23" s="305"/>
      <c r="BW23" s="19">
        <f>PL!Y44/PL!Y6</f>
        <v>0.51132246157011318</v>
      </c>
      <c r="BX23" s="307"/>
      <c r="BY23" s="309"/>
      <c r="BZ23" s="315"/>
      <c r="CA23" s="305"/>
      <c r="CB23" s="19">
        <f>PL!Z44/PL!Z6</f>
        <v>0.5620330833884587</v>
      </c>
      <c r="CC23" s="307"/>
      <c r="CD23" s="309"/>
      <c r="CE23" s="315"/>
      <c r="CF23" s="305"/>
      <c r="CG23" s="19">
        <f>PL!AA44/PL!AA6</f>
        <v>0.55559529481324121</v>
      </c>
      <c r="CH23" s="307"/>
      <c r="CI23" s="309"/>
      <c r="CJ23" s="315"/>
      <c r="CK23" s="305"/>
      <c r="CL23" s="19">
        <f>PL!AB44/PL!AB6</f>
        <v>0.54851005935466446</v>
      </c>
      <c r="CM23" s="307"/>
      <c r="CN23" s="309"/>
      <c r="CO23" s="315"/>
      <c r="CP23" s="305"/>
      <c r="CQ23" s="19">
        <f>PL!AC44/PL!AC6</f>
        <v>0.54046496079378559</v>
      </c>
      <c r="CR23" s="307"/>
      <c r="CS23" s="309"/>
      <c r="CT23" s="315"/>
    </row>
    <row r="24" spans="1:98" ht="18" customHeight="1" x14ac:dyDescent="0.2">
      <c r="A24" s="20"/>
      <c r="B24" s="320" t="s">
        <v>131</v>
      </c>
      <c r="C24" s="322" t="s">
        <v>132</v>
      </c>
      <c r="D24" s="304"/>
      <c r="E24" s="10">
        <f>+H22</f>
        <v>446685.13436596096</v>
      </c>
      <c r="F24" s="306" t="s">
        <v>133</v>
      </c>
      <c r="G24" s="308">
        <v>100</v>
      </c>
      <c r="H24" s="310">
        <f>IF(E25=0,"-",(E24/E25)*G24)</f>
        <v>93.729796145641032</v>
      </c>
      <c r="I24" s="304"/>
      <c r="J24" s="10">
        <f>+M22</f>
        <v>406070.63887998217</v>
      </c>
      <c r="K24" s="306" t="s">
        <v>111</v>
      </c>
      <c r="L24" s="308">
        <v>100</v>
      </c>
      <c r="M24" s="310">
        <f>IF(J25=0,"-",(J24/J25)*L24)</f>
        <v>94.023089698922291</v>
      </c>
      <c r="N24" s="304"/>
      <c r="O24" s="10">
        <f>+R22</f>
        <v>454512.54257776955</v>
      </c>
      <c r="P24" s="306" t="s">
        <v>111</v>
      </c>
      <c r="Q24" s="308">
        <v>100</v>
      </c>
      <c r="R24" s="310">
        <f>IF(O25=0,"-",(O24/O25)*Q24)</f>
        <v>96.647844322509229</v>
      </c>
      <c r="S24" s="304"/>
      <c r="T24" s="10">
        <f>+W22</f>
        <v>384388.8864698176</v>
      </c>
      <c r="U24" s="306" t="s">
        <v>111</v>
      </c>
      <c r="V24" s="308">
        <v>100</v>
      </c>
      <c r="W24" s="310">
        <f>IF(T25=0,"-",(T24/T25)*V24)</f>
        <v>100.54190080347203</v>
      </c>
      <c r="X24" s="304"/>
      <c r="Y24" s="10">
        <f>+AB22</f>
        <v>431898.5107253833</v>
      </c>
      <c r="Z24" s="306" t="s">
        <v>111</v>
      </c>
      <c r="AA24" s="308">
        <v>100</v>
      </c>
      <c r="AB24" s="310">
        <f>IF(Y25=0,"-",(Y24/Y25)*AA24)</f>
        <v>97.117604444493537</v>
      </c>
      <c r="AC24" s="304"/>
      <c r="AD24" s="10">
        <f>+AG22</f>
        <v>462616.55278053624</v>
      </c>
      <c r="AE24" s="306" t="s">
        <v>111</v>
      </c>
      <c r="AF24" s="308">
        <v>100</v>
      </c>
      <c r="AG24" s="310">
        <f>IF(AD25=0,"-",(AD24/AD25)*AF24)</f>
        <v>99.267915917453394</v>
      </c>
      <c r="AH24" s="304"/>
      <c r="AI24" s="10">
        <f>+AL22</f>
        <v>570731.04033700156</v>
      </c>
      <c r="AJ24" s="306" t="s">
        <v>133</v>
      </c>
      <c r="AK24" s="308">
        <v>100</v>
      </c>
      <c r="AL24" s="310">
        <f>IF(AI25=0,"-",(AI24/AI25)*AK24)</f>
        <v>99.941879397642964</v>
      </c>
      <c r="AM24" s="304"/>
      <c r="AN24" s="10">
        <f>+AQ22</f>
        <v>366811.18329159106</v>
      </c>
      <c r="AO24" s="306" t="s">
        <v>133</v>
      </c>
      <c r="AP24" s="308">
        <v>100</v>
      </c>
      <c r="AQ24" s="310">
        <f>IF(AN25=0,"-",(AN24/AN25)*AP24)</f>
        <v>96.348657105026817</v>
      </c>
      <c r="AR24" s="304"/>
      <c r="AS24" s="10">
        <f>+AV22</f>
        <v>473997.26640564715</v>
      </c>
      <c r="AT24" s="306" t="s">
        <v>111</v>
      </c>
      <c r="AU24" s="308">
        <v>100</v>
      </c>
      <c r="AV24" s="310">
        <f>IF(AS25=0,"-",(AS24/AS25)*AU24)</f>
        <v>98.412961510990471</v>
      </c>
      <c r="AW24" s="304"/>
      <c r="AX24" s="10">
        <f>+BA22</f>
        <v>376623.90613554145</v>
      </c>
      <c r="AY24" s="306" t="s">
        <v>111</v>
      </c>
      <c r="AZ24" s="308">
        <v>100</v>
      </c>
      <c r="BA24" s="310">
        <f>IF(AX25=0,"-",(AX24/AX25)*AZ24)</f>
        <v>94.357077152965331</v>
      </c>
      <c r="BB24" s="304"/>
      <c r="BC24" s="10">
        <f>+BF22</f>
        <v>434498.15748813789</v>
      </c>
      <c r="BD24" s="306" t="s">
        <v>111</v>
      </c>
      <c r="BE24" s="308">
        <v>100</v>
      </c>
      <c r="BF24" s="310">
        <f>IF(BC25=0,"-",(BC24/BC25)*BE24)</f>
        <v>93.176225171413492</v>
      </c>
      <c r="BG24" s="304"/>
      <c r="BH24" s="10">
        <f>+BK22</f>
        <v>371807.62957159354</v>
      </c>
      <c r="BI24" s="306" t="s">
        <v>111</v>
      </c>
      <c r="BJ24" s="308">
        <v>100</v>
      </c>
      <c r="BK24" s="310">
        <f>IF(BH25=0,"-",(BH24/BH25)*BJ24)</f>
        <v>92.505480768794285</v>
      </c>
      <c r="BL24" s="304"/>
      <c r="BM24" s="10">
        <f>+BP22</f>
        <v>394781.68986566237</v>
      </c>
      <c r="BN24" s="306" t="s">
        <v>111</v>
      </c>
      <c r="BO24" s="308">
        <v>100</v>
      </c>
      <c r="BP24" s="310">
        <f>IF(BM25=0,"-",(BM24/BM25)*BO24)</f>
        <v>93.782919411997256</v>
      </c>
      <c r="BQ24" s="304"/>
      <c r="BR24" s="10">
        <f>+BU22</f>
        <v>392689.8592668373</v>
      </c>
      <c r="BS24" s="306" t="s">
        <v>111</v>
      </c>
      <c r="BT24" s="308">
        <v>100</v>
      </c>
      <c r="BU24" s="310">
        <f>IF(BR25=0,"-",(BR24/BR25)*BT24)</f>
        <v>90.540602726140278</v>
      </c>
      <c r="BV24" s="304"/>
      <c r="BW24" s="10">
        <f>+BZ22</f>
        <v>543115.72275878</v>
      </c>
      <c r="BX24" s="306" t="s">
        <v>111</v>
      </c>
      <c r="BY24" s="308">
        <v>100</v>
      </c>
      <c r="BZ24" s="310">
        <f>IF(BW25=0,"-",(BW24/BW25)*BY24)</f>
        <v>88.948854220476704</v>
      </c>
      <c r="CA24" s="304"/>
      <c r="CB24" s="10">
        <f>+CE22</f>
        <v>467138.56105439545</v>
      </c>
      <c r="CC24" s="306" t="s">
        <v>111</v>
      </c>
      <c r="CD24" s="308">
        <v>100</v>
      </c>
      <c r="CE24" s="310">
        <f>IF(CB25=0,"-",(CB24/CB25)*CD24)</f>
        <v>93.945794774459443</v>
      </c>
      <c r="CF24" s="304"/>
      <c r="CG24" s="10">
        <f>+CJ22</f>
        <v>458594.3889384339</v>
      </c>
      <c r="CH24" s="306" t="s">
        <v>126</v>
      </c>
      <c r="CI24" s="308">
        <v>100</v>
      </c>
      <c r="CJ24" s="310">
        <f>IF(CG25=0,"-",(CG24/CG25)*CI24)</f>
        <v>89.950803878770927</v>
      </c>
      <c r="CK24" s="304"/>
      <c r="CL24" s="10">
        <f>+CO22</f>
        <v>503274.87793560402</v>
      </c>
      <c r="CM24" s="306" t="s">
        <v>111</v>
      </c>
      <c r="CN24" s="308">
        <v>100</v>
      </c>
      <c r="CO24" s="310">
        <f>IF(CL25=0,"-",(CL24/CL25)*CN24)</f>
        <v>91.063646640413268</v>
      </c>
      <c r="CP24" s="304"/>
      <c r="CQ24" s="10">
        <f>+CT22</f>
        <v>506955.34491274465</v>
      </c>
      <c r="CR24" s="306" t="s">
        <v>111</v>
      </c>
      <c r="CS24" s="308">
        <v>100</v>
      </c>
      <c r="CT24" s="310">
        <f>IF(CQ25=0,"-",(CQ24/CQ25)*CS24)</f>
        <v>92.34946555296365</v>
      </c>
    </row>
    <row r="25" spans="1:98" ht="18" customHeight="1" x14ac:dyDescent="0.2">
      <c r="A25" s="20"/>
      <c r="B25" s="321"/>
      <c r="C25" s="323"/>
      <c r="D25" s="305"/>
      <c r="E25" s="12">
        <f>+E12</f>
        <v>476566.84718686901</v>
      </c>
      <c r="F25" s="307"/>
      <c r="G25" s="309"/>
      <c r="H25" s="311"/>
      <c r="I25" s="305"/>
      <c r="J25" s="12">
        <f>+J12</f>
        <v>431883.95550527907</v>
      </c>
      <c r="K25" s="307"/>
      <c r="L25" s="309"/>
      <c r="M25" s="311"/>
      <c r="N25" s="305"/>
      <c r="O25" s="12">
        <f>+O12</f>
        <v>470276.95833658014</v>
      </c>
      <c r="P25" s="307"/>
      <c r="Q25" s="309"/>
      <c r="R25" s="311"/>
      <c r="S25" s="305"/>
      <c r="T25" s="12">
        <f>+T12</f>
        <v>382317.10699519957</v>
      </c>
      <c r="U25" s="307"/>
      <c r="V25" s="309"/>
      <c r="W25" s="311"/>
      <c r="X25" s="305"/>
      <c r="Y25" s="12">
        <f>+Y12</f>
        <v>444717.01417659037</v>
      </c>
      <c r="Z25" s="307"/>
      <c r="AA25" s="309"/>
      <c r="AB25" s="311"/>
      <c r="AC25" s="305"/>
      <c r="AD25" s="12">
        <f>+AD12</f>
        <v>466028.2715769179</v>
      </c>
      <c r="AE25" s="307"/>
      <c r="AF25" s="309"/>
      <c r="AG25" s="311"/>
      <c r="AH25" s="305"/>
      <c r="AI25" s="12">
        <f>+AI12</f>
        <v>571062.94556079933</v>
      </c>
      <c r="AJ25" s="307"/>
      <c r="AK25" s="309"/>
      <c r="AL25" s="311"/>
      <c r="AM25" s="305"/>
      <c r="AN25" s="12">
        <f>+AN12</f>
        <v>380712.29461116524</v>
      </c>
      <c r="AO25" s="307"/>
      <c r="AP25" s="309"/>
      <c r="AQ25" s="311"/>
      <c r="AR25" s="305"/>
      <c r="AS25" s="12">
        <f>+AS12</f>
        <v>481641.09597770061</v>
      </c>
      <c r="AT25" s="307"/>
      <c r="AU25" s="309"/>
      <c r="AV25" s="311"/>
      <c r="AW25" s="305"/>
      <c r="AX25" s="12">
        <f>+AX12</f>
        <v>399147.49110443954</v>
      </c>
      <c r="AY25" s="307"/>
      <c r="AZ25" s="309"/>
      <c r="BA25" s="311"/>
      <c r="BB25" s="305"/>
      <c r="BC25" s="12">
        <f>+BC12</f>
        <v>466318.69523454586</v>
      </c>
      <c r="BD25" s="307"/>
      <c r="BE25" s="309"/>
      <c r="BF25" s="311"/>
      <c r="BG25" s="305"/>
      <c r="BH25" s="12">
        <f>+BH12</f>
        <v>401930.379131675</v>
      </c>
      <c r="BI25" s="307"/>
      <c r="BJ25" s="309"/>
      <c r="BK25" s="311"/>
      <c r="BL25" s="305"/>
      <c r="BM25" s="12">
        <f>+BM12</f>
        <v>420952.65570839075</v>
      </c>
      <c r="BN25" s="307"/>
      <c r="BO25" s="309"/>
      <c r="BP25" s="311"/>
      <c r="BQ25" s="305"/>
      <c r="BR25" s="12">
        <f>+BR12</f>
        <v>433716.8601081805</v>
      </c>
      <c r="BS25" s="307"/>
      <c r="BT25" s="309"/>
      <c r="BU25" s="311"/>
      <c r="BV25" s="305"/>
      <c r="BW25" s="12">
        <f>+BW12</f>
        <v>610593.27578583988</v>
      </c>
      <c r="BX25" s="307"/>
      <c r="BY25" s="309"/>
      <c r="BZ25" s="311"/>
      <c r="CA25" s="305"/>
      <c r="CB25" s="12">
        <f>+CB12</f>
        <v>497242.65165447723</v>
      </c>
      <c r="CC25" s="307"/>
      <c r="CD25" s="309"/>
      <c r="CE25" s="311"/>
      <c r="CF25" s="305"/>
      <c r="CG25" s="12">
        <f>+CG12</f>
        <v>509828.00504650705</v>
      </c>
      <c r="CH25" s="307"/>
      <c r="CI25" s="309"/>
      <c r="CJ25" s="311"/>
      <c r="CK25" s="305"/>
      <c r="CL25" s="12">
        <f>+CL12</f>
        <v>552662.77653354476</v>
      </c>
      <c r="CM25" s="307"/>
      <c r="CN25" s="309"/>
      <c r="CO25" s="311"/>
      <c r="CP25" s="305"/>
      <c r="CQ25" s="12">
        <f>+CQ12</f>
        <v>548953.19845895481</v>
      </c>
      <c r="CR25" s="307"/>
      <c r="CS25" s="309"/>
      <c r="CT25" s="311"/>
    </row>
    <row r="26" spans="1:98"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row>
    <row r="27" spans="1:98" ht="18" customHeight="1" x14ac:dyDescent="0.2">
      <c r="A27" s="17"/>
      <c r="B27" s="320" t="s">
        <v>135</v>
      </c>
      <c r="C27" s="322" t="s">
        <v>136</v>
      </c>
      <c r="D27" s="304"/>
      <c r="E27" s="10">
        <f>+E12</f>
        <v>476566.84718686901</v>
      </c>
      <c r="F27" s="306"/>
      <c r="G27" s="308"/>
      <c r="H27" s="310">
        <f>IF(E28=0,"-",(E27/E28))</f>
        <v>0.89371134258188645</v>
      </c>
      <c r="I27" s="304"/>
      <c r="J27" s="10">
        <f>+J12</f>
        <v>431883.95550527907</v>
      </c>
      <c r="K27" s="306"/>
      <c r="L27" s="308"/>
      <c r="M27" s="310">
        <f>IF(J28=0,"-",(J27/J28))</f>
        <v>0.95769236155981718</v>
      </c>
      <c r="N27" s="304"/>
      <c r="O27" s="10">
        <f>+O12</f>
        <v>470276.95833658014</v>
      </c>
      <c r="P27" s="306"/>
      <c r="Q27" s="308"/>
      <c r="R27" s="310">
        <f>IF(O28=0,"-",(O27/O28))</f>
        <v>0.81102492832382911</v>
      </c>
      <c r="S27" s="304"/>
      <c r="T27" s="10">
        <f>+T12</f>
        <v>382317.10699519957</v>
      </c>
      <c r="U27" s="306"/>
      <c r="V27" s="308"/>
      <c r="W27" s="310">
        <f>IF(T28=0,"-",(T27/T28))</f>
        <v>0.87718595660334364</v>
      </c>
      <c r="X27" s="304"/>
      <c r="Y27" s="10">
        <f>+Y12</f>
        <v>444717.01417659037</v>
      </c>
      <c r="Z27" s="306"/>
      <c r="AA27" s="308"/>
      <c r="AB27" s="310">
        <f>IF(Y28=0,"-",(Y27/Y28))</f>
        <v>0.97604175154831929</v>
      </c>
      <c r="AC27" s="304"/>
      <c r="AD27" s="10">
        <f>+AD12</f>
        <v>466028.2715769179</v>
      </c>
      <c r="AE27" s="306"/>
      <c r="AF27" s="308"/>
      <c r="AG27" s="310">
        <f>IF(AD28=0,"-",(AD27/AD28))</f>
        <v>0.90768091527845718</v>
      </c>
      <c r="AH27" s="304"/>
      <c r="AI27" s="10">
        <f>+AI12</f>
        <v>571062.94556079933</v>
      </c>
      <c r="AJ27" s="306"/>
      <c r="AK27" s="308"/>
      <c r="AL27" s="310">
        <f>IF(AI28=0,"-",(AI27/AI28))</f>
        <v>0.90222992315436157</v>
      </c>
      <c r="AM27" s="304"/>
      <c r="AN27" s="10">
        <f>+AN12</f>
        <v>380712.29461116524</v>
      </c>
      <c r="AO27" s="306"/>
      <c r="AP27" s="308"/>
      <c r="AQ27" s="310">
        <f>IF(AN28=0,"-",(AN27/AN28))</f>
        <v>0.84064524445389666</v>
      </c>
      <c r="AR27" s="304"/>
      <c r="AS27" s="10">
        <f>+AS12</f>
        <v>481641.09597770061</v>
      </c>
      <c r="AT27" s="306"/>
      <c r="AU27" s="308"/>
      <c r="AV27" s="310">
        <f>IF(AS28=0,"-",(AS27/AS28))</f>
        <v>1.0234295123868287</v>
      </c>
      <c r="AW27" s="304"/>
      <c r="AX27" s="10">
        <f>+AX12</f>
        <v>399147.49110443954</v>
      </c>
      <c r="AY27" s="306"/>
      <c r="AZ27" s="308"/>
      <c r="BA27" s="310">
        <f>IF(AX28=0,"-",(AX27/AX28))</f>
        <v>0.92871226081727454</v>
      </c>
      <c r="BB27" s="304"/>
      <c r="BC27" s="10">
        <f>+BC12</f>
        <v>466318.69523454586</v>
      </c>
      <c r="BD27" s="306"/>
      <c r="BE27" s="308"/>
      <c r="BF27" s="310">
        <f>IF(BC28=0,"-",(BC27/BC28))</f>
        <v>0.98561703949288637</v>
      </c>
      <c r="BG27" s="304"/>
      <c r="BH27" s="10">
        <f>+BH12</f>
        <v>401930.379131675</v>
      </c>
      <c r="BI27" s="306"/>
      <c r="BJ27" s="308"/>
      <c r="BK27" s="310">
        <f>IF(BH28=0,"-",(BH27/BH28))</f>
        <v>1.0690930275538646</v>
      </c>
      <c r="BL27" s="304"/>
      <c r="BM27" s="10">
        <f>+BM12</f>
        <v>420952.65570839075</v>
      </c>
      <c r="BN27" s="306"/>
      <c r="BO27" s="308"/>
      <c r="BP27" s="310">
        <f>IF(BM28=0,"-",(BM27/BM28))</f>
        <v>0.93066369984066988</v>
      </c>
      <c r="BQ27" s="304"/>
      <c r="BR27" s="10">
        <f>+BR12</f>
        <v>433716.8601081805</v>
      </c>
      <c r="BS27" s="306"/>
      <c r="BT27" s="308"/>
      <c r="BU27" s="310">
        <f>IF(BR28=0,"-",(BR27/BR28))</f>
        <v>1.0071512300826262</v>
      </c>
      <c r="BV27" s="304"/>
      <c r="BW27" s="10">
        <f>+BW12</f>
        <v>610593.27578583988</v>
      </c>
      <c r="BX27" s="306"/>
      <c r="BY27" s="308"/>
      <c r="BZ27" s="310">
        <f>IF(BW28=0,"-",(BW27/BW28))</f>
        <v>1.10627393596693</v>
      </c>
      <c r="CA27" s="304"/>
      <c r="CB27" s="10">
        <f>+CB12</f>
        <v>497242.65165447723</v>
      </c>
      <c r="CC27" s="306"/>
      <c r="CD27" s="308"/>
      <c r="CE27" s="310">
        <f>IF(CB28=0,"-",(CB27/CB28))</f>
        <v>0.92304493794737108</v>
      </c>
      <c r="CF27" s="304"/>
      <c r="CG27" s="10">
        <f>+CG12</f>
        <v>509828.00504650705</v>
      </c>
      <c r="CH27" s="306"/>
      <c r="CI27" s="308"/>
      <c r="CJ27" s="310">
        <f>IF(CG28=0,"-",(CG27/CG28))</f>
        <v>0.87084857984244213</v>
      </c>
      <c r="CK27" s="304"/>
      <c r="CL27" s="10">
        <f>+CL12</f>
        <v>552662.77653354476</v>
      </c>
      <c r="CM27" s="306"/>
      <c r="CN27" s="308"/>
      <c r="CO27" s="310">
        <f>IF(CL28=0,"-",(CL27/CL28))</f>
        <v>0.86640572539535532</v>
      </c>
      <c r="CP27" s="304"/>
      <c r="CQ27" s="10">
        <f>+CQ12</f>
        <v>548953.19845895481</v>
      </c>
      <c r="CR27" s="306"/>
      <c r="CS27" s="308"/>
      <c r="CT27" s="310">
        <f>IF(CQ28=0,"-",(CQ27/CQ28))</f>
        <v>0.89089759749720077</v>
      </c>
    </row>
    <row r="28" spans="1:98" ht="18" customHeight="1" x14ac:dyDescent="0.2">
      <c r="A28" s="17"/>
      <c r="B28" s="321"/>
      <c r="C28" s="323"/>
      <c r="D28" s="305"/>
      <c r="E28" s="12">
        <f>+E7</f>
        <v>533244.711665057</v>
      </c>
      <c r="F28" s="307"/>
      <c r="G28" s="309"/>
      <c r="H28" s="311"/>
      <c r="I28" s="305"/>
      <c r="J28" s="12">
        <f>+J7</f>
        <v>450963.14102564106</v>
      </c>
      <c r="K28" s="307"/>
      <c r="L28" s="309"/>
      <c r="M28" s="311"/>
      <c r="N28" s="305"/>
      <c r="O28" s="12">
        <f>+O7</f>
        <v>579855.12148007145</v>
      </c>
      <c r="P28" s="307"/>
      <c r="Q28" s="309"/>
      <c r="R28" s="311"/>
      <c r="S28" s="305"/>
      <c r="T28" s="12">
        <f>+T7</f>
        <v>435844.99286287621</v>
      </c>
      <c r="U28" s="307"/>
      <c r="V28" s="309"/>
      <c r="W28" s="311"/>
      <c r="X28" s="305"/>
      <c r="Y28" s="12">
        <f>+Y7</f>
        <v>455633.18728028255</v>
      </c>
      <c r="Z28" s="307"/>
      <c r="AA28" s="309"/>
      <c r="AB28" s="311"/>
      <c r="AC28" s="305"/>
      <c r="AD28" s="12">
        <f>+AD7</f>
        <v>513427.42117030232</v>
      </c>
      <c r="AE28" s="307"/>
      <c r="AF28" s="309"/>
      <c r="AG28" s="311"/>
      <c r="AH28" s="305"/>
      <c r="AI28" s="12">
        <f>+AI7</f>
        <v>632946.13812436897</v>
      </c>
      <c r="AJ28" s="307"/>
      <c r="AK28" s="309"/>
      <c r="AL28" s="311"/>
      <c r="AM28" s="305"/>
      <c r="AN28" s="12">
        <f>+AN7</f>
        <v>452881.04241698899</v>
      </c>
      <c r="AO28" s="307"/>
      <c r="AP28" s="309"/>
      <c r="AQ28" s="311"/>
      <c r="AR28" s="305"/>
      <c r="AS28" s="12">
        <f>+AS7</f>
        <v>470614.82021797838</v>
      </c>
      <c r="AT28" s="307"/>
      <c r="AU28" s="309"/>
      <c r="AV28" s="311"/>
      <c r="AW28" s="305"/>
      <c r="AX28" s="12">
        <f>+AX7</f>
        <v>429785.96056564001</v>
      </c>
      <c r="AY28" s="307"/>
      <c r="AZ28" s="309"/>
      <c r="BA28" s="311"/>
      <c r="BB28" s="305"/>
      <c r="BC28" s="12">
        <f>+BC7</f>
        <v>473123.61348224385</v>
      </c>
      <c r="BD28" s="307"/>
      <c r="BE28" s="309"/>
      <c r="BF28" s="311"/>
      <c r="BG28" s="305"/>
      <c r="BH28" s="12">
        <f>+BH7</f>
        <v>375954.54162797297</v>
      </c>
      <c r="BI28" s="307"/>
      <c r="BJ28" s="309"/>
      <c r="BK28" s="311"/>
      <c r="BL28" s="305"/>
      <c r="BM28" s="12">
        <f>+BM7</f>
        <v>452314.46738543478</v>
      </c>
      <c r="BN28" s="307"/>
      <c r="BO28" s="309"/>
      <c r="BP28" s="311"/>
      <c r="BQ28" s="305"/>
      <c r="BR28" s="12">
        <f>+BR7</f>
        <v>430637.27388050605</v>
      </c>
      <c r="BS28" s="307"/>
      <c r="BT28" s="309"/>
      <c r="BU28" s="311"/>
      <c r="BV28" s="305"/>
      <c r="BW28" s="12">
        <f>+BW7</f>
        <v>551936.78160026041</v>
      </c>
      <c r="BX28" s="307"/>
      <c r="BY28" s="309"/>
      <c r="BZ28" s="311"/>
      <c r="CA28" s="305"/>
      <c r="CB28" s="12">
        <f>+CB7</f>
        <v>538698.20548523322</v>
      </c>
      <c r="CC28" s="307"/>
      <c r="CD28" s="309"/>
      <c r="CE28" s="311"/>
      <c r="CF28" s="305"/>
      <c r="CG28" s="12">
        <f>+CG7</f>
        <v>585438.17702355038</v>
      </c>
      <c r="CH28" s="307"/>
      <c r="CI28" s="309"/>
      <c r="CJ28" s="311"/>
      <c r="CK28" s="305"/>
      <c r="CL28" s="12">
        <f>+CL7</f>
        <v>637879.87582994741</v>
      </c>
      <c r="CM28" s="307"/>
      <c r="CN28" s="309"/>
      <c r="CO28" s="311"/>
      <c r="CP28" s="305"/>
      <c r="CQ28" s="12">
        <f>+CQ7</f>
        <v>616179.9066482269</v>
      </c>
      <c r="CR28" s="307"/>
      <c r="CS28" s="309"/>
      <c r="CT28" s="311"/>
    </row>
    <row r="29" spans="1:98" ht="18" customHeight="1" x14ac:dyDescent="0.2">
      <c r="A29" s="17"/>
      <c r="B29" s="320" t="s">
        <v>137</v>
      </c>
      <c r="C29" s="322" t="s">
        <v>136</v>
      </c>
      <c r="D29" s="304"/>
      <c r="E29" s="10">
        <f>+E12</f>
        <v>476566.84718686901</v>
      </c>
      <c r="F29" s="306"/>
      <c r="G29" s="308"/>
      <c r="H29" s="310">
        <f>IF(E30=0,"-",(E29/E30))</f>
        <v>1.8740332923633238</v>
      </c>
      <c r="I29" s="304"/>
      <c r="J29" s="10">
        <f>+J12</f>
        <v>431883.95550527907</v>
      </c>
      <c r="K29" s="306"/>
      <c r="L29" s="308"/>
      <c r="M29" s="310">
        <f>IF(J30=0,"-",(J29/J30))</f>
        <v>2.1106799435361419</v>
      </c>
      <c r="N29" s="304"/>
      <c r="O29" s="10">
        <f>+O12</f>
        <v>470276.95833658014</v>
      </c>
      <c r="P29" s="306"/>
      <c r="Q29" s="308"/>
      <c r="R29" s="310">
        <f>IF(O30=0,"-",(O29/O30))</f>
        <v>2.0088771289944729</v>
      </c>
      <c r="S29" s="304"/>
      <c r="T29" s="10">
        <f>+T12</f>
        <v>382317.10699519957</v>
      </c>
      <c r="U29" s="306"/>
      <c r="V29" s="308"/>
      <c r="W29" s="310">
        <f>IF(T30=0,"-",(T29/T30))</f>
        <v>1.9254592911831405</v>
      </c>
      <c r="X29" s="304"/>
      <c r="Y29" s="10">
        <f>+Y12</f>
        <v>444717.01417659037</v>
      </c>
      <c r="Z29" s="306"/>
      <c r="AA29" s="308"/>
      <c r="AB29" s="310">
        <f>IF(Y30=0,"-",(Y29/Y30))</f>
        <v>1.7812296535201313</v>
      </c>
      <c r="AC29" s="304"/>
      <c r="AD29" s="10">
        <f>+AD12</f>
        <v>466028.2715769179</v>
      </c>
      <c r="AE29" s="306"/>
      <c r="AF29" s="308"/>
      <c r="AG29" s="310">
        <f>IF(AD30=0,"-",(AD29/AD30))</f>
        <v>1.8332943058779143</v>
      </c>
      <c r="AH29" s="304"/>
      <c r="AI29" s="10">
        <f>+AI12</f>
        <v>571062.94556079933</v>
      </c>
      <c r="AJ29" s="306"/>
      <c r="AK29" s="308"/>
      <c r="AL29" s="310">
        <f>IF(AI30=0,"-",(AI29/AI30))</f>
        <v>1.8885801783621181</v>
      </c>
      <c r="AM29" s="304"/>
      <c r="AN29" s="10">
        <f>+AN12</f>
        <v>380712.29461116524</v>
      </c>
      <c r="AO29" s="306"/>
      <c r="AP29" s="308"/>
      <c r="AQ29" s="310">
        <f>IF(AN30=0,"-",(AN29/AN30))</f>
        <v>1.8910404588787442</v>
      </c>
      <c r="AR29" s="304"/>
      <c r="AS29" s="10">
        <f>+AS12</f>
        <v>481641.09597770061</v>
      </c>
      <c r="AT29" s="306"/>
      <c r="AU29" s="308"/>
      <c r="AV29" s="310">
        <f>IF(AS30=0,"-",(AS29/AS30))</f>
        <v>2.3753031515908556</v>
      </c>
      <c r="AW29" s="304"/>
      <c r="AX29" s="10">
        <f>+AX12</f>
        <v>399147.49110443954</v>
      </c>
      <c r="AY29" s="306"/>
      <c r="AZ29" s="308"/>
      <c r="BA29" s="310">
        <f>IF(AX30=0,"-",(AX29/AX30))</f>
        <v>2.0129618595685796</v>
      </c>
      <c r="BB29" s="304"/>
      <c r="BC29" s="10">
        <f>+BC12</f>
        <v>466318.69523454586</v>
      </c>
      <c r="BD29" s="306"/>
      <c r="BE29" s="308"/>
      <c r="BF29" s="310">
        <f>IF(BC30=0,"-",(BC29/BC30))</f>
        <v>2.0152354152511678</v>
      </c>
      <c r="BG29" s="304"/>
      <c r="BH29" s="10">
        <f>+BH12</f>
        <v>401930.379131675</v>
      </c>
      <c r="BI29" s="306"/>
      <c r="BJ29" s="308"/>
      <c r="BK29" s="310">
        <f>IF(BH30=0,"-",(BH29/BH30))</f>
        <v>2.4234763211536468</v>
      </c>
      <c r="BL29" s="304"/>
      <c r="BM29" s="10">
        <f>+BM12</f>
        <v>420952.65570839075</v>
      </c>
      <c r="BN29" s="306"/>
      <c r="BO29" s="308"/>
      <c r="BP29" s="310">
        <f>IF(BM30=0,"-",(BM29/BM30))</f>
        <v>2.0324417313672494</v>
      </c>
      <c r="BQ29" s="304"/>
      <c r="BR29" s="10">
        <f>+BR12</f>
        <v>433716.8601081805</v>
      </c>
      <c r="BS29" s="306"/>
      <c r="BT29" s="308"/>
      <c r="BU29" s="310">
        <f>IF(BR30=0,"-",(BR29/BR30))</f>
        <v>2.1182571577634004</v>
      </c>
      <c r="BV29" s="304"/>
      <c r="BW29" s="10">
        <f>+BW12</f>
        <v>610593.27578583988</v>
      </c>
      <c r="BX29" s="306"/>
      <c r="BY29" s="308"/>
      <c r="BZ29" s="310">
        <f>IF(BW30=0,"-",(BW29/BW30))</f>
        <v>2.3669545961417104</v>
      </c>
      <c r="CA29" s="304"/>
      <c r="CB29" s="10">
        <f>+CB12</f>
        <v>497242.65165447723</v>
      </c>
      <c r="CC29" s="306"/>
      <c r="CD29" s="308"/>
      <c r="CE29" s="310">
        <f>IF(CB30=0,"-",(CB29/CB30))</f>
        <v>2.0356537509287445</v>
      </c>
      <c r="CF29" s="304"/>
      <c r="CG29" s="10">
        <f>+CG12</f>
        <v>509828.00504650705</v>
      </c>
      <c r="CH29" s="306"/>
      <c r="CI29" s="308"/>
      <c r="CJ29" s="310">
        <f>IF(CG30=0,"-",(CG29/CG30))</f>
        <v>2.1103764569370456</v>
      </c>
      <c r="CK29" s="304"/>
      <c r="CL29" s="10">
        <f>+CL12</f>
        <v>552662.77653354476</v>
      </c>
      <c r="CM29" s="306"/>
      <c r="CN29" s="308"/>
      <c r="CO29" s="310">
        <f>IF(CL30=0,"-",(CL29/CL30))</f>
        <v>2.0179177548517377</v>
      </c>
      <c r="CP29" s="304"/>
      <c r="CQ29" s="10">
        <f>+CQ12</f>
        <v>548953.19845895481</v>
      </c>
      <c r="CR29" s="306"/>
      <c r="CS29" s="308"/>
      <c r="CT29" s="310">
        <f>IF(CQ30=0,"-",(CQ29/CQ30))</f>
        <v>2.0858422752107266</v>
      </c>
    </row>
    <row r="30" spans="1:98" ht="18" customHeight="1" x14ac:dyDescent="0.2">
      <c r="A30" s="17"/>
      <c r="B30" s="321"/>
      <c r="C30" s="323"/>
      <c r="D30" s="305"/>
      <c r="E30" s="12">
        <f>+BS!K15</f>
        <v>254300.096550513</v>
      </c>
      <c r="F30" s="307"/>
      <c r="G30" s="309"/>
      <c r="H30" s="311"/>
      <c r="I30" s="305"/>
      <c r="J30" s="12">
        <f>+BS!L15</f>
        <v>204618.40120663648</v>
      </c>
      <c r="K30" s="307"/>
      <c r="L30" s="309"/>
      <c r="M30" s="311"/>
      <c r="N30" s="305"/>
      <c r="O30" s="12">
        <f>+BS!M15</f>
        <v>234099.41382127907</v>
      </c>
      <c r="P30" s="307"/>
      <c r="Q30" s="309"/>
      <c r="R30" s="311"/>
      <c r="S30" s="305"/>
      <c r="T30" s="12">
        <f>+BS!N15</f>
        <v>198558.91461630253</v>
      </c>
      <c r="U30" s="307"/>
      <c r="V30" s="309"/>
      <c r="W30" s="311"/>
      <c r="X30" s="305"/>
      <c r="Y30" s="12">
        <f>+BS!O15</f>
        <v>249668.5440295272</v>
      </c>
      <c r="Z30" s="307"/>
      <c r="AA30" s="309"/>
      <c r="AB30" s="311"/>
      <c r="AC30" s="305"/>
      <c r="AD30" s="12">
        <f>+BS!P15</f>
        <v>254202.65043246822</v>
      </c>
      <c r="AE30" s="307"/>
      <c r="AF30" s="309"/>
      <c r="AG30" s="311"/>
      <c r="AH30" s="305"/>
      <c r="AI30" s="12">
        <f>+BS!Q15</f>
        <v>302376.86072510667</v>
      </c>
      <c r="AJ30" s="307"/>
      <c r="AK30" s="309"/>
      <c r="AL30" s="311"/>
      <c r="AM30" s="305"/>
      <c r="AN30" s="12">
        <f>+BS!R15</f>
        <v>201324.24603802565</v>
      </c>
      <c r="AO30" s="307"/>
      <c r="AP30" s="309"/>
      <c r="AQ30" s="311"/>
      <c r="AR30" s="305"/>
      <c r="AS30" s="12">
        <f>+BS!S15</f>
        <v>202770.36876540253</v>
      </c>
      <c r="AT30" s="307"/>
      <c r="AU30" s="309"/>
      <c r="AV30" s="311"/>
      <c r="AW30" s="305"/>
      <c r="AX30" s="12">
        <f>+BS!T15</f>
        <v>198288.65072981827</v>
      </c>
      <c r="AY30" s="307"/>
      <c r="AZ30" s="309"/>
      <c r="BA30" s="311"/>
      <c r="BB30" s="305"/>
      <c r="BC30" s="12">
        <f>+BS!U15</f>
        <v>231396.63570095928</v>
      </c>
      <c r="BD30" s="307"/>
      <c r="BE30" s="309"/>
      <c r="BF30" s="311"/>
      <c r="BG30" s="305"/>
      <c r="BH30" s="12">
        <f>+BS!V15</f>
        <v>165848.69248499369</v>
      </c>
      <c r="BI30" s="307"/>
      <c r="BJ30" s="309"/>
      <c r="BK30" s="311"/>
      <c r="BL30" s="305"/>
      <c r="BM30" s="12">
        <f>+BS!W15</f>
        <v>207116.71543233399</v>
      </c>
      <c r="BN30" s="307"/>
      <c r="BO30" s="309"/>
      <c r="BP30" s="311"/>
      <c r="BQ30" s="305"/>
      <c r="BR30" s="12">
        <f>+BS!X15</f>
        <v>204751.75005008749</v>
      </c>
      <c r="BS30" s="307"/>
      <c r="BT30" s="309"/>
      <c r="BU30" s="311"/>
      <c r="BV30" s="305"/>
      <c r="BW30" s="12">
        <f>+BS!Y15</f>
        <v>257965.77457850124</v>
      </c>
      <c r="BX30" s="307"/>
      <c r="BY30" s="309"/>
      <c r="BZ30" s="311"/>
      <c r="CA30" s="305"/>
      <c r="CB30" s="12">
        <f>+BS!Z15</f>
        <v>244266.81179331985</v>
      </c>
      <c r="CC30" s="307"/>
      <c r="CD30" s="309"/>
      <c r="CE30" s="311"/>
      <c r="CF30" s="305"/>
      <c r="CG30" s="12">
        <f>+BS!AA15</f>
        <v>241581.54502275877</v>
      </c>
      <c r="CH30" s="307"/>
      <c r="CI30" s="309"/>
      <c r="CJ30" s="311"/>
      <c r="CK30" s="305"/>
      <c r="CL30" s="12">
        <f>+BS!AB15</f>
        <v>273877.75106530567</v>
      </c>
      <c r="CM30" s="307"/>
      <c r="CN30" s="309"/>
      <c r="CO30" s="311"/>
      <c r="CP30" s="305"/>
      <c r="CQ30" s="12">
        <f>+BS!AC15</f>
        <v>263180.58895584312</v>
      </c>
      <c r="CR30" s="307"/>
      <c r="CS30" s="309"/>
      <c r="CT30" s="311"/>
    </row>
    <row r="31" spans="1:98" ht="18" customHeight="1" x14ac:dyDescent="0.2">
      <c r="A31" s="17"/>
      <c r="B31" s="320" t="s">
        <v>138</v>
      </c>
      <c r="C31" s="322" t="s">
        <v>139</v>
      </c>
      <c r="D31" s="304"/>
      <c r="E31" s="10">
        <f>+BS!K11</f>
        <v>110724.83103660101</v>
      </c>
      <c r="F31" s="306" t="s">
        <v>121</v>
      </c>
      <c r="G31" s="308">
        <v>365</v>
      </c>
      <c r="H31" s="310">
        <f>IF(E32=0,"-",(E31/E32)*G31)</f>
        <v>84.803556031903781</v>
      </c>
      <c r="I31" s="304"/>
      <c r="J31" s="10">
        <f>+BS!L11</f>
        <v>112234.72850678733</v>
      </c>
      <c r="K31" s="306" t="s">
        <v>111</v>
      </c>
      <c r="L31" s="308">
        <v>365</v>
      </c>
      <c r="M31" s="310">
        <f>IF(J32=0,"-",(J31/J32)*L31)</f>
        <v>94.853433156714331</v>
      </c>
      <c r="N31" s="304"/>
      <c r="O31" s="10">
        <f>+BS!M11</f>
        <v>113129.82669761361</v>
      </c>
      <c r="P31" s="306" t="s">
        <v>111</v>
      </c>
      <c r="Q31" s="308">
        <v>365</v>
      </c>
      <c r="R31" s="310">
        <f>IF(O32=0,"-",(O31/O32)*Q31)</f>
        <v>87.804401241950174</v>
      </c>
      <c r="S31" s="304"/>
      <c r="T31" s="10">
        <f>+BS!N11</f>
        <v>81055.982402472582</v>
      </c>
      <c r="U31" s="306" t="s">
        <v>111</v>
      </c>
      <c r="V31" s="308">
        <v>365</v>
      </c>
      <c r="W31" s="310">
        <f>IF(T32=0,"-",(T31/T32)*V31)</f>
        <v>77.38454030850879</v>
      </c>
      <c r="X31" s="304"/>
      <c r="Y31" s="10">
        <f>+BS!O11</f>
        <v>72077.335869778995</v>
      </c>
      <c r="Z31" s="306" t="s">
        <v>111</v>
      </c>
      <c r="AA31" s="308">
        <v>365</v>
      </c>
      <c r="AB31" s="310">
        <f>IF(Y32=0,"-",(Y31/Y32)*AA31)</f>
        <v>59.157232023559899</v>
      </c>
      <c r="AC31" s="304"/>
      <c r="AD31" s="10">
        <f>+BS!P11</f>
        <v>82091.025348305862</v>
      </c>
      <c r="AE31" s="306" t="s">
        <v>111</v>
      </c>
      <c r="AF31" s="308">
        <v>365</v>
      </c>
      <c r="AG31" s="310">
        <f>IF(AD32=0,"-",(AD31/AD32)*AF31)</f>
        <v>64.294863808892785</v>
      </c>
      <c r="AH31" s="304"/>
      <c r="AI31" s="10">
        <f>+BS!Q11</f>
        <v>122273.07610768492</v>
      </c>
      <c r="AJ31" s="306" t="s">
        <v>121</v>
      </c>
      <c r="AK31" s="308">
        <v>365</v>
      </c>
      <c r="AL31" s="310">
        <f>IF(AI32=0,"-",(AI31/AI32)*AK31)</f>
        <v>78.151932508031038</v>
      </c>
      <c r="AM31" s="304"/>
      <c r="AN31" s="10">
        <f>+BS!R11</f>
        <v>88751.438960171159</v>
      </c>
      <c r="AO31" s="306" t="s">
        <v>118</v>
      </c>
      <c r="AP31" s="308">
        <v>365</v>
      </c>
      <c r="AQ31" s="310">
        <f>IF(AN32=0,"-",(AN31/AN32)*AP31)</f>
        <v>85.088597555137738</v>
      </c>
      <c r="AR31" s="304"/>
      <c r="AS31" s="10">
        <f>+BS!S11</f>
        <v>97975.442577597962</v>
      </c>
      <c r="AT31" s="306" t="s">
        <v>111</v>
      </c>
      <c r="AU31" s="308">
        <v>365</v>
      </c>
      <c r="AV31" s="310">
        <f>IF(AS32=0,"-",(AS31/AS32)*AU31)</f>
        <v>74.248308210142753</v>
      </c>
      <c r="AW31" s="304"/>
      <c r="AX31" s="10">
        <f>+BS!T11</f>
        <v>78994.307940751474</v>
      </c>
      <c r="AY31" s="306" t="s">
        <v>111</v>
      </c>
      <c r="AZ31" s="308">
        <v>365</v>
      </c>
      <c r="BA31" s="310">
        <f>IF(AX32=0,"-",(AX31/AX32)*AZ31)</f>
        <v>72.236261133932487</v>
      </c>
      <c r="BB31" s="304"/>
      <c r="BC31" s="10">
        <f>+BS!U11</f>
        <v>82316.328070791598</v>
      </c>
      <c r="BD31" s="306" t="s">
        <v>111</v>
      </c>
      <c r="BE31" s="308">
        <v>365</v>
      </c>
      <c r="BF31" s="310">
        <f>IF(BC32=0,"-",(BC31/BC32)*BE31)</f>
        <v>64.431171327426341</v>
      </c>
      <c r="BG31" s="304"/>
      <c r="BH31" s="10">
        <f>+BS!V11</f>
        <v>82376.316404059471</v>
      </c>
      <c r="BI31" s="306" t="s">
        <v>111</v>
      </c>
      <c r="BJ31" s="308">
        <v>365</v>
      </c>
      <c r="BK31" s="310">
        <f>IF(BH32=0,"-",(BH31/BH32)*BJ31)</f>
        <v>74.807372243020836</v>
      </c>
      <c r="BL31" s="304"/>
      <c r="BM31" s="10">
        <f>+BS!W11</f>
        <v>84750.176932175367</v>
      </c>
      <c r="BN31" s="306" t="s">
        <v>111</v>
      </c>
      <c r="BO31" s="308">
        <v>365</v>
      </c>
      <c r="BP31" s="310">
        <f>IF(BM32=0,"-",(BM31/BM32)*BO31)</f>
        <v>73.485258165642719</v>
      </c>
      <c r="BQ31" s="304"/>
      <c r="BR31" s="10">
        <f>+BS!X11</f>
        <v>92400.194975317616</v>
      </c>
      <c r="BS31" s="306" t="s">
        <v>111</v>
      </c>
      <c r="BT31" s="308">
        <v>365</v>
      </c>
      <c r="BU31" s="310">
        <f>IF(BR32=0,"-",(BR31/BR32)*BT31)</f>
        <v>77.76057208746451</v>
      </c>
      <c r="BV31" s="304"/>
      <c r="BW31" s="10">
        <f>+BS!Y11</f>
        <v>112127.33027848689</v>
      </c>
      <c r="BX31" s="306" t="s">
        <v>111</v>
      </c>
      <c r="BY31" s="308">
        <v>365</v>
      </c>
      <c r="BZ31" s="310">
        <f>IF(BW32=0,"-",(BW31/BW32)*BY31)</f>
        <v>67.027393151316502</v>
      </c>
      <c r="CA31" s="304"/>
      <c r="CB31" s="10">
        <f>+BS!Z11</f>
        <v>105004.85532481076</v>
      </c>
      <c r="CC31" s="306" t="s">
        <v>111</v>
      </c>
      <c r="CD31" s="308">
        <v>365</v>
      </c>
      <c r="CE31" s="310">
        <f>IF(CB32=0,"-",(CB31/CB32)*CD31)</f>
        <v>77.078609540092998</v>
      </c>
      <c r="CF31" s="304"/>
      <c r="CG31" s="10">
        <f>+BS!AA11</f>
        <v>106984.66564417176</v>
      </c>
      <c r="CH31" s="306" t="s">
        <v>111</v>
      </c>
      <c r="CI31" s="308">
        <v>365</v>
      </c>
      <c r="CJ31" s="310">
        <f>IF(CG32=0,"-",(CG31/CG32)*CI31)</f>
        <v>76.59328748831787</v>
      </c>
      <c r="CK31" s="304"/>
      <c r="CL31" s="10">
        <f>+BS!AB11</f>
        <v>97083.098800911714</v>
      </c>
      <c r="CM31" s="306" t="s">
        <v>111</v>
      </c>
      <c r="CN31" s="308">
        <v>365</v>
      </c>
      <c r="CO31" s="310">
        <f>IF(CL32=0,"-",(CL31/CL32)*CN31)</f>
        <v>64.117455647353466</v>
      </c>
      <c r="CP31" s="304"/>
      <c r="CQ31" s="10">
        <f>+BS!AC11</f>
        <v>108999.11735651486</v>
      </c>
      <c r="CR31" s="306" t="s">
        <v>111</v>
      </c>
      <c r="CS31" s="308">
        <v>365</v>
      </c>
      <c r="CT31" s="310">
        <f>IF(CQ32=0,"-",(CQ31/CQ32)*CS31)</f>
        <v>72.473715330948423</v>
      </c>
    </row>
    <row r="32" spans="1:98" ht="18" customHeight="1" x14ac:dyDescent="0.2">
      <c r="A32" s="17"/>
      <c r="B32" s="321"/>
      <c r="C32" s="323"/>
      <c r="D32" s="305"/>
      <c r="E32" s="12">
        <f>+E12</f>
        <v>476566.84718686901</v>
      </c>
      <c r="F32" s="307"/>
      <c r="G32" s="309"/>
      <c r="H32" s="311"/>
      <c r="I32" s="305"/>
      <c r="J32" s="12">
        <f>+J12</f>
        <v>431883.95550527907</v>
      </c>
      <c r="K32" s="307"/>
      <c r="L32" s="309"/>
      <c r="M32" s="311"/>
      <c r="N32" s="305"/>
      <c r="O32" s="12">
        <f>+O12</f>
        <v>470276.95833658014</v>
      </c>
      <c r="P32" s="307"/>
      <c r="Q32" s="309"/>
      <c r="R32" s="311"/>
      <c r="S32" s="305"/>
      <c r="T32" s="12">
        <f>+T12</f>
        <v>382317.10699519957</v>
      </c>
      <c r="U32" s="307"/>
      <c r="V32" s="309"/>
      <c r="W32" s="311"/>
      <c r="X32" s="305"/>
      <c r="Y32" s="12">
        <f>+Y12</f>
        <v>444717.01417659037</v>
      </c>
      <c r="Z32" s="307"/>
      <c r="AA32" s="309"/>
      <c r="AB32" s="311"/>
      <c r="AC32" s="305"/>
      <c r="AD32" s="12">
        <f>+AD12</f>
        <v>466028.2715769179</v>
      </c>
      <c r="AE32" s="307"/>
      <c r="AF32" s="309"/>
      <c r="AG32" s="311"/>
      <c r="AH32" s="305"/>
      <c r="AI32" s="12">
        <f>+AI12</f>
        <v>571062.94556079933</v>
      </c>
      <c r="AJ32" s="307"/>
      <c r="AK32" s="309"/>
      <c r="AL32" s="311"/>
      <c r="AM32" s="305"/>
      <c r="AN32" s="12">
        <f>+AN12</f>
        <v>380712.29461116524</v>
      </c>
      <c r="AO32" s="307"/>
      <c r="AP32" s="309"/>
      <c r="AQ32" s="311"/>
      <c r="AR32" s="305"/>
      <c r="AS32" s="12">
        <f>+AS12</f>
        <v>481641.09597770061</v>
      </c>
      <c r="AT32" s="307"/>
      <c r="AU32" s="309"/>
      <c r="AV32" s="311"/>
      <c r="AW32" s="305"/>
      <c r="AX32" s="12">
        <f>+AX12</f>
        <v>399147.49110443954</v>
      </c>
      <c r="AY32" s="307"/>
      <c r="AZ32" s="309"/>
      <c r="BA32" s="311"/>
      <c r="BB32" s="305"/>
      <c r="BC32" s="12">
        <f>+BC12</f>
        <v>466318.69523454586</v>
      </c>
      <c r="BD32" s="307"/>
      <c r="BE32" s="309"/>
      <c r="BF32" s="311"/>
      <c r="BG32" s="305"/>
      <c r="BH32" s="12">
        <f>+BH12</f>
        <v>401930.379131675</v>
      </c>
      <c r="BI32" s="307"/>
      <c r="BJ32" s="309"/>
      <c r="BK32" s="311"/>
      <c r="BL32" s="305"/>
      <c r="BM32" s="12">
        <f>+BM12</f>
        <v>420952.65570839075</v>
      </c>
      <c r="BN32" s="307"/>
      <c r="BO32" s="309"/>
      <c r="BP32" s="311"/>
      <c r="BQ32" s="305"/>
      <c r="BR32" s="12">
        <f>+BR12</f>
        <v>433716.8601081805</v>
      </c>
      <c r="BS32" s="307"/>
      <c r="BT32" s="309"/>
      <c r="BU32" s="311"/>
      <c r="BV32" s="305"/>
      <c r="BW32" s="12">
        <f>+BW12</f>
        <v>610593.27578583988</v>
      </c>
      <c r="BX32" s="307"/>
      <c r="BY32" s="309"/>
      <c r="BZ32" s="311"/>
      <c r="CA32" s="305"/>
      <c r="CB32" s="12">
        <f>+CB12</f>
        <v>497242.65165447723</v>
      </c>
      <c r="CC32" s="307"/>
      <c r="CD32" s="309"/>
      <c r="CE32" s="311"/>
      <c r="CF32" s="305"/>
      <c r="CG32" s="12">
        <f>+CG12</f>
        <v>509828.00504650705</v>
      </c>
      <c r="CH32" s="307"/>
      <c r="CI32" s="309"/>
      <c r="CJ32" s="311"/>
      <c r="CK32" s="305"/>
      <c r="CL32" s="12">
        <f>+CL12</f>
        <v>552662.77653354476</v>
      </c>
      <c r="CM32" s="307"/>
      <c r="CN32" s="309"/>
      <c r="CO32" s="311"/>
      <c r="CP32" s="305"/>
      <c r="CQ32" s="12">
        <f>+CQ12</f>
        <v>548953.19845895481</v>
      </c>
      <c r="CR32" s="307"/>
      <c r="CS32" s="309"/>
      <c r="CT32" s="311"/>
    </row>
    <row r="33" spans="1:98" ht="18" customHeight="1" x14ac:dyDescent="0.2">
      <c r="A33" s="17"/>
      <c r="B33" s="320" t="s">
        <v>140</v>
      </c>
      <c r="C33" s="322" t="s">
        <v>139</v>
      </c>
      <c r="D33" s="304"/>
      <c r="E33" s="10">
        <f>+BS!K13</f>
        <v>44965.505134731902</v>
      </c>
      <c r="F33" s="306" t="s">
        <v>111</v>
      </c>
      <c r="G33" s="308">
        <v>365</v>
      </c>
      <c r="H33" s="310">
        <f>IF(E34=0,"-",(E33/E34)*G33)</f>
        <v>34.438839946710758</v>
      </c>
      <c r="I33" s="304"/>
      <c r="J33" s="10">
        <f>+BS!L13</f>
        <v>25335.312971342384</v>
      </c>
      <c r="K33" s="306" t="s">
        <v>111</v>
      </c>
      <c r="L33" s="308">
        <v>365</v>
      </c>
      <c r="M33" s="310">
        <f>IF(J34=0,"-",(J33/J34)*L33)</f>
        <v>21.411745253932999</v>
      </c>
      <c r="N33" s="304"/>
      <c r="O33" s="10">
        <f>+BS!M13</f>
        <v>59441.483558610824</v>
      </c>
      <c r="P33" s="306" t="s">
        <v>111</v>
      </c>
      <c r="Q33" s="308">
        <v>365</v>
      </c>
      <c r="R33" s="310">
        <f>IF(O34=0,"-",(O33/O34)*Q33)</f>
        <v>46.134817184398152</v>
      </c>
      <c r="S33" s="304"/>
      <c r="T33" s="10">
        <f>+BS!N13</f>
        <v>46935.863323197016</v>
      </c>
      <c r="U33" s="306" t="s">
        <v>111</v>
      </c>
      <c r="V33" s="308">
        <v>365</v>
      </c>
      <c r="W33" s="310">
        <f>IF(T34=0,"-",(T33/T34)*V33)</f>
        <v>44.80989680951425</v>
      </c>
      <c r="X33" s="304"/>
      <c r="Y33" s="10">
        <f>+BS!O13</f>
        <v>34696.770187812399</v>
      </c>
      <c r="Z33" s="306" t="s">
        <v>111</v>
      </c>
      <c r="AA33" s="308">
        <v>365</v>
      </c>
      <c r="AB33" s="310">
        <f>IF(Y34=0,"-",(Y33/Y34)*AA33)</f>
        <v>28.477257929966932</v>
      </c>
      <c r="AC33" s="304"/>
      <c r="AD33" s="10">
        <f>+BS!P13</f>
        <v>38495.83377616066</v>
      </c>
      <c r="AE33" s="306" t="s">
        <v>111</v>
      </c>
      <c r="AF33" s="308">
        <v>365</v>
      </c>
      <c r="AG33" s="310">
        <f>IF(AD34=0,"-",(AD33/AD34)*AF33)</f>
        <v>30.150486966710837</v>
      </c>
      <c r="AH33" s="304"/>
      <c r="AI33" s="10">
        <f>+BS!Q13</f>
        <v>48672.877991005786</v>
      </c>
      <c r="AJ33" s="306" t="s">
        <v>111</v>
      </c>
      <c r="AK33" s="308">
        <v>365</v>
      </c>
      <c r="AL33" s="310">
        <f>IF(AI34=0,"-",(AI33/AI34)*AK33)</f>
        <v>31.109706215084241</v>
      </c>
      <c r="AM33" s="304"/>
      <c r="AN33" s="10">
        <f>+BS!R13</f>
        <v>40495.052144724352</v>
      </c>
      <c r="AO33" s="306" t="s">
        <v>141</v>
      </c>
      <c r="AP33" s="308">
        <v>365</v>
      </c>
      <c r="AQ33" s="310">
        <f>IF(AN34=0,"-",(AN33/AN34)*AP33)</f>
        <v>38.823789622871061</v>
      </c>
      <c r="AR33" s="304"/>
      <c r="AS33" s="10">
        <f>+BS!S13</f>
        <v>55867.424129803716</v>
      </c>
      <c r="AT33" s="306" t="s">
        <v>111</v>
      </c>
      <c r="AU33" s="308">
        <v>365</v>
      </c>
      <c r="AV33" s="310">
        <f>IF(AS34=0,"-",(AS33/AS34)*AU33)</f>
        <v>42.337769716233815</v>
      </c>
      <c r="AW33" s="304"/>
      <c r="AX33" s="10">
        <f>+BS!T13</f>
        <v>40716.627334719902</v>
      </c>
      <c r="AY33" s="306" t="s">
        <v>111</v>
      </c>
      <c r="AZ33" s="308">
        <v>365</v>
      </c>
      <c r="BA33" s="310">
        <f>IF(AX34=0,"-",(AX33/AX34)*AZ33)</f>
        <v>37.233276691908706</v>
      </c>
      <c r="BB33" s="304"/>
      <c r="BC33" s="10">
        <f>+BS!U13</f>
        <v>44509.089061989318</v>
      </c>
      <c r="BD33" s="306" t="s">
        <v>111</v>
      </c>
      <c r="BE33" s="308">
        <v>365</v>
      </c>
      <c r="BF33" s="310">
        <f>IF(BC34=0,"-",(BC33/BC34)*BE33)</f>
        <v>34.838443480064399</v>
      </c>
      <c r="BG33" s="304"/>
      <c r="BH33" s="10">
        <f>+BS!V13</f>
        <v>41820.01561064861</v>
      </c>
      <c r="BI33" s="306" t="s">
        <v>111</v>
      </c>
      <c r="BJ33" s="308">
        <v>365</v>
      </c>
      <c r="BK33" s="310">
        <f>IF(BH34=0,"-",(BH33/BH34)*BJ33)</f>
        <v>37.977486874377455</v>
      </c>
      <c r="BL33" s="304"/>
      <c r="BM33" s="10">
        <f>+BS!W13</f>
        <v>33752.349336853782</v>
      </c>
      <c r="BN33" s="306" t="s">
        <v>111</v>
      </c>
      <c r="BO33" s="308">
        <v>365</v>
      </c>
      <c r="BP33" s="310">
        <f>IF(BM34=0,"-",(BM33/BM34)*BO33)</f>
        <v>29.26601683322286</v>
      </c>
      <c r="BQ33" s="304"/>
      <c r="BR33" s="10">
        <f>+BS!X13</f>
        <v>36866.133199523079</v>
      </c>
      <c r="BS33" s="306" t="s">
        <v>111</v>
      </c>
      <c r="BT33" s="308">
        <v>365</v>
      </c>
      <c r="BU33" s="310">
        <f>IF(BR34=0,"-",(BR33/BR34)*BT33)</f>
        <v>31.025168388587904</v>
      </c>
      <c r="BV33" s="304"/>
      <c r="BW33" s="10">
        <f>+BS!Y13</f>
        <v>49686.872269260755</v>
      </c>
      <c r="BX33" s="306" t="s">
        <v>111</v>
      </c>
      <c r="BY33" s="308">
        <v>365</v>
      </c>
      <c r="BZ33" s="310">
        <f>IF(BW34=0,"-",(BW33/BW34)*BY33)</f>
        <v>29.701782016743195</v>
      </c>
      <c r="CA33" s="304"/>
      <c r="CB33" s="10">
        <f>+BS!Z13</f>
        <v>52916.485304682072</v>
      </c>
      <c r="CC33" s="306" t="s">
        <v>111</v>
      </c>
      <c r="CD33" s="308">
        <v>365</v>
      </c>
      <c r="CE33" s="310">
        <f>IF(CB34=0,"-",(CB33/CB34)*CD33)</f>
        <v>38.843242975926735</v>
      </c>
      <c r="CF33" s="304"/>
      <c r="CG33" s="10">
        <f>+BS!AA13</f>
        <v>55028.615673857108</v>
      </c>
      <c r="CH33" s="306" t="s">
        <v>126</v>
      </c>
      <c r="CI33" s="308">
        <v>365</v>
      </c>
      <c r="CJ33" s="310">
        <f>IF(CG34=0,"-",(CG33/CG34)*CI33)</f>
        <v>39.396511219750721</v>
      </c>
      <c r="CK33" s="304"/>
      <c r="CL33" s="10">
        <f>+BS!AB13</f>
        <v>49974.132593400056</v>
      </c>
      <c r="CM33" s="306" t="s">
        <v>111</v>
      </c>
      <c r="CN33" s="308">
        <v>365</v>
      </c>
      <c r="CO33" s="310">
        <f>IF(CL34=0,"-",(CL33/CL34)*CN33)</f>
        <v>33.004861501621107</v>
      </c>
      <c r="CP33" s="304"/>
      <c r="CQ33" s="10">
        <f>+BS!AC13</f>
        <v>59883.053343870393</v>
      </c>
      <c r="CR33" s="306" t="s">
        <v>111</v>
      </c>
      <c r="CS33" s="308">
        <v>365</v>
      </c>
      <c r="CT33" s="310">
        <f>IF(CQ34=0,"-",(CQ33/CQ34)*CS33)</f>
        <v>39.816353255380413</v>
      </c>
    </row>
    <row r="34" spans="1:98" ht="18" customHeight="1" x14ac:dyDescent="0.2">
      <c r="A34" s="17"/>
      <c r="B34" s="321"/>
      <c r="C34" s="323"/>
      <c r="D34" s="305"/>
      <c r="E34" s="12">
        <f>+E12</f>
        <v>476566.84718686901</v>
      </c>
      <c r="F34" s="307"/>
      <c r="G34" s="309"/>
      <c r="H34" s="311"/>
      <c r="I34" s="305"/>
      <c r="J34" s="12">
        <f>+J12</f>
        <v>431883.95550527907</v>
      </c>
      <c r="K34" s="307"/>
      <c r="L34" s="309"/>
      <c r="M34" s="311"/>
      <c r="N34" s="305"/>
      <c r="O34" s="12">
        <f>+O12</f>
        <v>470276.95833658014</v>
      </c>
      <c r="P34" s="307"/>
      <c r="Q34" s="309"/>
      <c r="R34" s="311"/>
      <c r="S34" s="305"/>
      <c r="T34" s="12">
        <f>+T12</f>
        <v>382317.10699519957</v>
      </c>
      <c r="U34" s="307"/>
      <c r="V34" s="309"/>
      <c r="W34" s="311"/>
      <c r="X34" s="305"/>
      <c r="Y34" s="12">
        <f>+Y12</f>
        <v>444717.01417659037</v>
      </c>
      <c r="Z34" s="307"/>
      <c r="AA34" s="309"/>
      <c r="AB34" s="311"/>
      <c r="AC34" s="305"/>
      <c r="AD34" s="12">
        <f>+AD12</f>
        <v>466028.2715769179</v>
      </c>
      <c r="AE34" s="307"/>
      <c r="AF34" s="309"/>
      <c r="AG34" s="311"/>
      <c r="AH34" s="305"/>
      <c r="AI34" s="12">
        <f>+AI12</f>
        <v>571062.94556079933</v>
      </c>
      <c r="AJ34" s="307"/>
      <c r="AK34" s="309"/>
      <c r="AL34" s="311"/>
      <c r="AM34" s="305"/>
      <c r="AN34" s="12">
        <f>+AN12</f>
        <v>380712.29461116524</v>
      </c>
      <c r="AO34" s="307"/>
      <c r="AP34" s="309"/>
      <c r="AQ34" s="311"/>
      <c r="AR34" s="305"/>
      <c r="AS34" s="12">
        <f>+AS12</f>
        <v>481641.09597770061</v>
      </c>
      <c r="AT34" s="307"/>
      <c r="AU34" s="309"/>
      <c r="AV34" s="311"/>
      <c r="AW34" s="305"/>
      <c r="AX34" s="12">
        <f>+AX12</f>
        <v>399147.49110443954</v>
      </c>
      <c r="AY34" s="307"/>
      <c r="AZ34" s="309"/>
      <c r="BA34" s="311"/>
      <c r="BB34" s="305"/>
      <c r="BC34" s="12">
        <f>+BC12</f>
        <v>466318.69523454586</v>
      </c>
      <c r="BD34" s="307"/>
      <c r="BE34" s="309"/>
      <c r="BF34" s="311"/>
      <c r="BG34" s="305"/>
      <c r="BH34" s="12">
        <f>+BH12</f>
        <v>401930.379131675</v>
      </c>
      <c r="BI34" s="307"/>
      <c r="BJ34" s="309"/>
      <c r="BK34" s="311"/>
      <c r="BL34" s="305"/>
      <c r="BM34" s="12">
        <f>+BM12</f>
        <v>420952.65570839075</v>
      </c>
      <c r="BN34" s="307"/>
      <c r="BO34" s="309"/>
      <c r="BP34" s="311"/>
      <c r="BQ34" s="305"/>
      <c r="BR34" s="12">
        <f>+BR12</f>
        <v>433716.8601081805</v>
      </c>
      <c r="BS34" s="307"/>
      <c r="BT34" s="309"/>
      <c r="BU34" s="311"/>
      <c r="BV34" s="305"/>
      <c r="BW34" s="12">
        <f>+BW12</f>
        <v>610593.27578583988</v>
      </c>
      <c r="BX34" s="307"/>
      <c r="BY34" s="309"/>
      <c r="BZ34" s="311"/>
      <c r="CA34" s="305"/>
      <c r="CB34" s="12">
        <f>+CB12</f>
        <v>497242.65165447723</v>
      </c>
      <c r="CC34" s="307"/>
      <c r="CD34" s="309"/>
      <c r="CE34" s="311"/>
      <c r="CF34" s="305"/>
      <c r="CG34" s="12">
        <f>+CG12</f>
        <v>509828.00504650705</v>
      </c>
      <c r="CH34" s="307"/>
      <c r="CI34" s="309"/>
      <c r="CJ34" s="311"/>
      <c r="CK34" s="305"/>
      <c r="CL34" s="12">
        <f>+CL12</f>
        <v>552662.77653354476</v>
      </c>
      <c r="CM34" s="307"/>
      <c r="CN34" s="309"/>
      <c r="CO34" s="311"/>
      <c r="CP34" s="305"/>
      <c r="CQ34" s="12">
        <f>+CQ12</f>
        <v>548953.19845895481</v>
      </c>
      <c r="CR34" s="307"/>
      <c r="CS34" s="309"/>
      <c r="CT34" s="311"/>
    </row>
    <row r="35" spans="1:98" ht="18" customHeight="1" x14ac:dyDescent="0.2">
      <c r="A35" s="17"/>
      <c r="B35" s="320" t="s">
        <v>142</v>
      </c>
      <c r="C35" s="322" t="s">
        <v>139</v>
      </c>
      <c r="D35" s="304"/>
      <c r="E35" s="10">
        <f>+BS!K32</f>
        <v>81706.574212235602</v>
      </c>
      <c r="F35" s="306" t="s">
        <v>143</v>
      </c>
      <c r="G35" s="308">
        <v>365</v>
      </c>
      <c r="H35" s="310">
        <f>IF(E36=0,"-",(E35/E36)*G35)</f>
        <v>62.578628294242193</v>
      </c>
      <c r="I35" s="304"/>
      <c r="J35" s="10">
        <f>+BS!L32</f>
        <v>70567.119155354449</v>
      </c>
      <c r="K35" s="306" t="s">
        <v>111</v>
      </c>
      <c r="L35" s="308">
        <v>365</v>
      </c>
      <c r="M35" s="310">
        <f>IF(J36=0,"-",(J35/J36)*L35)</f>
        <v>59.638701932259067</v>
      </c>
      <c r="N35" s="304"/>
      <c r="O35" s="10">
        <f>+BS!M32</f>
        <v>83271.031743403582</v>
      </c>
      <c r="P35" s="306" t="s">
        <v>111</v>
      </c>
      <c r="Q35" s="308">
        <v>365</v>
      </c>
      <c r="R35" s="310">
        <f>IF(O36=0,"-",(O35/O36)*Q35)</f>
        <v>64.629844281227122</v>
      </c>
      <c r="S35" s="304"/>
      <c r="T35" s="10">
        <f>+BS!N32</f>
        <v>65197.228922441594</v>
      </c>
      <c r="U35" s="306" t="s">
        <v>111</v>
      </c>
      <c r="V35" s="308">
        <v>365</v>
      </c>
      <c r="W35" s="310">
        <f>IF(T36=0,"-",(T35/T36)*V35)</f>
        <v>62.244111292121652</v>
      </c>
      <c r="X35" s="304"/>
      <c r="Y35" s="10">
        <f>+BS!O32</f>
        <v>62919.536032985256</v>
      </c>
      <c r="Z35" s="306" t="s">
        <v>111</v>
      </c>
      <c r="AA35" s="308">
        <v>365</v>
      </c>
      <c r="AB35" s="310">
        <f>IF(Y36=0,"-",(Y35/Y36)*AA35)</f>
        <v>51.640998477562896</v>
      </c>
      <c r="AC35" s="304"/>
      <c r="AD35" s="10">
        <f>+BS!P32</f>
        <v>58066.606346215602</v>
      </c>
      <c r="AE35" s="306" t="s">
        <v>111</v>
      </c>
      <c r="AF35" s="308">
        <v>365</v>
      </c>
      <c r="AG35" s="310">
        <f>IF(AD36=0,"-",(AD35/AD36)*AF35)</f>
        <v>45.478595632519635</v>
      </c>
      <c r="AH35" s="304"/>
      <c r="AI35" s="10">
        <f>+BS!Q32</f>
        <v>91202.461981727974</v>
      </c>
      <c r="AJ35" s="306" t="s">
        <v>143</v>
      </c>
      <c r="AK35" s="308">
        <v>365</v>
      </c>
      <c r="AL35" s="310">
        <f>IF(AI36=0,"-",(AI35/AI36)*AK35)</f>
        <v>58.292871008536729</v>
      </c>
      <c r="AM35" s="304"/>
      <c r="AN35" s="10">
        <f>+BS!R32</f>
        <v>55978.347209041101</v>
      </c>
      <c r="AO35" s="306" t="s">
        <v>143</v>
      </c>
      <c r="AP35" s="308">
        <v>365</v>
      </c>
      <c r="AQ35" s="310">
        <f>IF(AN36=0,"-",(AN35/AN36)*AP35)</f>
        <v>53.668076971793134</v>
      </c>
      <c r="AR35" s="304"/>
      <c r="AS35" s="10">
        <f>+BS!S32</f>
        <v>63839.651176012609</v>
      </c>
      <c r="AT35" s="306" t="s">
        <v>111</v>
      </c>
      <c r="AU35" s="308">
        <v>365</v>
      </c>
      <c r="AV35" s="310">
        <f>IF(AS36=0,"-",(AS35/AS36)*AU35)</f>
        <v>48.379328246365901</v>
      </c>
      <c r="AW35" s="304"/>
      <c r="AX35" s="10">
        <f>+BS!T32</f>
        <v>56390.662090524216</v>
      </c>
      <c r="AY35" s="306" t="s">
        <v>111</v>
      </c>
      <c r="AZ35" s="308">
        <v>365</v>
      </c>
      <c r="BA35" s="310">
        <f>IF(AX36=0,"-",(AX35/AX36)*AZ35)</f>
        <v>51.566381154217922</v>
      </c>
      <c r="BB35" s="304"/>
      <c r="BC35" s="10">
        <f>+BS!U32</f>
        <v>55525.12938616192</v>
      </c>
      <c r="BD35" s="306" t="s">
        <v>111</v>
      </c>
      <c r="BE35" s="308">
        <v>365</v>
      </c>
      <c r="BF35" s="310">
        <f>IF(BC36=0,"-",(BC35/BC36)*BE35)</f>
        <v>43.460990162008201</v>
      </c>
      <c r="BG35" s="304"/>
      <c r="BH35" s="10">
        <f>+BS!V32</f>
        <v>49876.578993154719</v>
      </c>
      <c r="BI35" s="306" t="s">
        <v>111</v>
      </c>
      <c r="BJ35" s="308">
        <v>365</v>
      </c>
      <c r="BK35" s="310">
        <f>IF(BH36=0,"-",(BH35/BH36)*BJ35)</f>
        <v>45.293792849973684</v>
      </c>
      <c r="BL35" s="304"/>
      <c r="BM35" s="10">
        <f>+BS!W32</f>
        <v>52969.360789005841</v>
      </c>
      <c r="BN35" s="306" t="s">
        <v>111</v>
      </c>
      <c r="BO35" s="308">
        <v>365</v>
      </c>
      <c r="BP35" s="310">
        <f>IF(BM36=0,"-",(BM35/BM36)*BO35)</f>
        <v>45.928720072929941</v>
      </c>
      <c r="BQ35" s="304"/>
      <c r="BR35" s="10">
        <f>+BS!X32</f>
        <v>59182.911050414907</v>
      </c>
      <c r="BS35" s="306" t="s">
        <v>111</v>
      </c>
      <c r="BT35" s="308">
        <v>365</v>
      </c>
      <c r="BU35" s="310">
        <f>IF(BR36=0,"-",(BR35/BR36)*BT35)</f>
        <v>49.806139719847152</v>
      </c>
      <c r="BV35" s="304"/>
      <c r="BW35" s="10">
        <f>+BS!Y32</f>
        <v>83852.357949327983</v>
      </c>
      <c r="BX35" s="306" t="s">
        <v>111</v>
      </c>
      <c r="BY35" s="308">
        <v>365</v>
      </c>
      <c r="BZ35" s="310">
        <f>IF(BW36=0,"-",(BW35/BW36)*BY35)</f>
        <v>50.125200956584941</v>
      </c>
      <c r="CA35" s="304"/>
      <c r="CB35" s="10">
        <f>+BS!Z32</f>
        <v>70808.698215586643</v>
      </c>
      <c r="CC35" s="306" t="s">
        <v>111</v>
      </c>
      <c r="CD35" s="308">
        <v>365</v>
      </c>
      <c r="CE35" s="310">
        <f>IF(CB36=0,"-",(CB35/CB36)*CD35)</f>
        <v>51.976987015684159</v>
      </c>
      <c r="CF35" s="304"/>
      <c r="CG35" s="10">
        <f>+BS!AA32</f>
        <v>74036.760439342965</v>
      </c>
      <c r="CH35" s="306" t="s">
        <v>143</v>
      </c>
      <c r="CI35" s="308">
        <v>365</v>
      </c>
      <c r="CJ35" s="310">
        <f>IF(CG36=0,"-",(CG35/CG36)*CI35)</f>
        <v>53.004968916713551</v>
      </c>
      <c r="CK35" s="304"/>
      <c r="CL35" s="10">
        <f>+BS!AB32</f>
        <v>72465.820731344764</v>
      </c>
      <c r="CM35" s="306" t="s">
        <v>111</v>
      </c>
      <c r="CN35" s="308">
        <v>365</v>
      </c>
      <c r="CO35" s="310">
        <f>IF(CL36=0,"-",(CL35/CL36)*CN35)</f>
        <v>47.859247429043037</v>
      </c>
      <c r="CP35" s="304"/>
      <c r="CQ35" s="10">
        <f>+BS!AC32</f>
        <v>81504.762224636957</v>
      </c>
      <c r="CR35" s="306" t="s">
        <v>111</v>
      </c>
      <c r="CS35" s="308">
        <v>365</v>
      </c>
      <c r="CT35" s="310">
        <f>IF(CQ36=0,"-",(CQ35/CQ36)*CS35)</f>
        <v>54.192667599908042</v>
      </c>
    </row>
    <row r="36" spans="1:98" ht="18" customHeight="1" x14ac:dyDescent="0.2">
      <c r="A36" s="21"/>
      <c r="B36" s="321"/>
      <c r="C36" s="323"/>
      <c r="D36" s="305"/>
      <c r="E36" s="12">
        <f>+E12</f>
        <v>476566.84718686901</v>
      </c>
      <c r="F36" s="307"/>
      <c r="G36" s="309"/>
      <c r="H36" s="311"/>
      <c r="I36" s="305"/>
      <c r="J36" s="12">
        <f>+J12</f>
        <v>431883.95550527907</v>
      </c>
      <c r="K36" s="307"/>
      <c r="L36" s="309"/>
      <c r="M36" s="311"/>
      <c r="N36" s="305"/>
      <c r="O36" s="12">
        <f>+O12</f>
        <v>470276.95833658014</v>
      </c>
      <c r="P36" s="307"/>
      <c r="Q36" s="309"/>
      <c r="R36" s="311"/>
      <c r="S36" s="305"/>
      <c r="T36" s="12">
        <f>+T12</f>
        <v>382317.10699519957</v>
      </c>
      <c r="U36" s="307"/>
      <c r="V36" s="309"/>
      <c r="W36" s="311"/>
      <c r="X36" s="305"/>
      <c r="Y36" s="12">
        <f>+Y12</f>
        <v>444717.01417659037</v>
      </c>
      <c r="Z36" s="307"/>
      <c r="AA36" s="309"/>
      <c r="AB36" s="311"/>
      <c r="AC36" s="305"/>
      <c r="AD36" s="12">
        <f>+AD12</f>
        <v>466028.2715769179</v>
      </c>
      <c r="AE36" s="307"/>
      <c r="AF36" s="309"/>
      <c r="AG36" s="311"/>
      <c r="AH36" s="305"/>
      <c r="AI36" s="12">
        <f>+AI12</f>
        <v>571062.94556079933</v>
      </c>
      <c r="AJ36" s="307"/>
      <c r="AK36" s="309"/>
      <c r="AL36" s="311"/>
      <c r="AM36" s="305"/>
      <c r="AN36" s="12">
        <f>+AN12</f>
        <v>380712.29461116524</v>
      </c>
      <c r="AO36" s="307"/>
      <c r="AP36" s="309"/>
      <c r="AQ36" s="311"/>
      <c r="AR36" s="305"/>
      <c r="AS36" s="12">
        <f>+AS12</f>
        <v>481641.09597770061</v>
      </c>
      <c r="AT36" s="307"/>
      <c r="AU36" s="309"/>
      <c r="AV36" s="311"/>
      <c r="AW36" s="305"/>
      <c r="AX36" s="12">
        <f>+AX12</f>
        <v>399147.49110443954</v>
      </c>
      <c r="AY36" s="307"/>
      <c r="AZ36" s="309"/>
      <c r="BA36" s="311"/>
      <c r="BB36" s="305"/>
      <c r="BC36" s="12">
        <f>+BC12</f>
        <v>466318.69523454586</v>
      </c>
      <c r="BD36" s="307"/>
      <c r="BE36" s="309"/>
      <c r="BF36" s="311"/>
      <c r="BG36" s="305"/>
      <c r="BH36" s="12">
        <f>+BH12</f>
        <v>401930.379131675</v>
      </c>
      <c r="BI36" s="307"/>
      <c r="BJ36" s="309"/>
      <c r="BK36" s="311"/>
      <c r="BL36" s="305"/>
      <c r="BM36" s="12">
        <f>+BM12</f>
        <v>420952.65570839075</v>
      </c>
      <c r="BN36" s="307"/>
      <c r="BO36" s="309"/>
      <c r="BP36" s="311"/>
      <c r="BQ36" s="305"/>
      <c r="BR36" s="12">
        <f>+BR12</f>
        <v>433716.8601081805</v>
      </c>
      <c r="BS36" s="307"/>
      <c r="BT36" s="309"/>
      <c r="BU36" s="311"/>
      <c r="BV36" s="305"/>
      <c r="BW36" s="12">
        <f>+BW12</f>
        <v>610593.27578583988</v>
      </c>
      <c r="BX36" s="307"/>
      <c r="BY36" s="309"/>
      <c r="BZ36" s="311"/>
      <c r="CA36" s="305"/>
      <c r="CB36" s="12">
        <f>+CB12</f>
        <v>497242.65165447723</v>
      </c>
      <c r="CC36" s="307"/>
      <c r="CD36" s="309"/>
      <c r="CE36" s="311"/>
      <c r="CF36" s="305"/>
      <c r="CG36" s="12">
        <f>+CG12</f>
        <v>509828.00504650705</v>
      </c>
      <c r="CH36" s="307"/>
      <c r="CI36" s="309"/>
      <c r="CJ36" s="311"/>
      <c r="CK36" s="305"/>
      <c r="CL36" s="12">
        <f>+CL12</f>
        <v>552662.77653354476</v>
      </c>
      <c r="CM36" s="307"/>
      <c r="CN36" s="309"/>
      <c r="CO36" s="311"/>
      <c r="CP36" s="305"/>
      <c r="CQ36" s="12">
        <f>+CQ12</f>
        <v>548953.19845895481</v>
      </c>
      <c r="CR36" s="307"/>
      <c r="CS36" s="309"/>
      <c r="CT36" s="311"/>
    </row>
    <row r="37" spans="1:98"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row>
    <row r="38" spans="1:98" ht="18" customHeight="1" x14ac:dyDescent="0.2">
      <c r="A38" s="20"/>
      <c r="B38" s="320" t="s">
        <v>145</v>
      </c>
      <c r="C38" s="322" t="s">
        <v>130</v>
      </c>
      <c r="D38" s="304"/>
      <c r="E38" s="10">
        <f>+E12</f>
        <v>476566.84718686901</v>
      </c>
      <c r="F38" s="306"/>
      <c r="G38" s="308"/>
      <c r="H38" s="312">
        <f>IF(E39=0,"-",(E38/E39))</f>
        <v>22324.436042925827</v>
      </c>
      <c r="I38" s="304"/>
      <c r="J38" s="10">
        <f>+J12</f>
        <v>431883.95550527907</v>
      </c>
      <c r="K38" s="306"/>
      <c r="L38" s="308"/>
      <c r="M38" s="312">
        <f>IF(J39=0,"-",(J38/J39))</f>
        <v>22201.344265790522</v>
      </c>
      <c r="N38" s="304"/>
      <c r="O38" s="10">
        <f>+O12</f>
        <v>470276.95833658014</v>
      </c>
      <c r="P38" s="306"/>
      <c r="Q38" s="308"/>
      <c r="R38" s="312">
        <f>IF(O39=0,"-",(O38/O39))</f>
        <v>20673.303125695289</v>
      </c>
      <c r="S38" s="304"/>
      <c r="T38" s="10">
        <f>+T12</f>
        <v>382317.10699519957</v>
      </c>
      <c r="U38" s="306"/>
      <c r="V38" s="308"/>
      <c r="W38" s="312">
        <f>IF(T39=0,"-",(T38/T39))</f>
        <v>17498.622533931128</v>
      </c>
      <c r="X38" s="304"/>
      <c r="Y38" s="10">
        <f>+Y12</f>
        <v>444717.01417659037</v>
      </c>
      <c r="Z38" s="306"/>
      <c r="AA38" s="308"/>
      <c r="AB38" s="312">
        <f>IF(Y39=0,"-",(Y38/Y39))</f>
        <v>22009.745296558289</v>
      </c>
      <c r="AC38" s="304"/>
      <c r="AD38" s="10">
        <f>+AD12</f>
        <v>466028.2715769179</v>
      </c>
      <c r="AE38" s="306"/>
      <c r="AF38" s="308"/>
      <c r="AG38" s="312">
        <f>IF(AD39=0,"-",(AD38/AD39))</f>
        <v>23125.453858909561</v>
      </c>
      <c r="AH38" s="304"/>
      <c r="AI38" s="10">
        <f>+AI12</f>
        <v>571062.94556079933</v>
      </c>
      <c r="AJ38" s="306"/>
      <c r="AK38" s="308"/>
      <c r="AL38" s="312">
        <f>IF(AI39=0,"-",(AI38/AI39))</f>
        <v>25022.7644848294</v>
      </c>
      <c r="AM38" s="304"/>
      <c r="AN38" s="10">
        <f>+AN12</f>
        <v>380712.29461116524</v>
      </c>
      <c r="AO38" s="306"/>
      <c r="AP38" s="308"/>
      <c r="AQ38" s="312">
        <f>IF(AN39=0,"-",(AN38/AN39))</f>
        <v>19175.642123498961</v>
      </c>
      <c r="AR38" s="304"/>
      <c r="AS38" s="10">
        <f>+AS12</f>
        <v>481641.09597770061</v>
      </c>
      <c r="AT38" s="306"/>
      <c r="AU38" s="308"/>
      <c r="AV38" s="312">
        <f>IF(AS39=0,"-",(AS38/AS39))</f>
        <v>20812.598250798255</v>
      </c>
      <c r="AW38" s="304"/>
      <c r="AX38" s="10">
        <f>+AX12</f>
        <v>399147.49110443954</v>
      </c>
      <c r="AY38" s="306"/>
      <c r="AZ38" s="308"/>
      <c r="BA38" s="312">
        <f>IF(AX39=0,"-",(AX38/AX39))</f>
        <v>20099.963332515981</v>
      </c>
      <c r="BB38" s="304"/>
      <c r="BC38" s="10">
        <f>+BC12</f>
        <v>466318.69523454586</v>
      </c>
      <c r="BD38" s="306"/>
      <c r="BE38" s="308"/>
      <c r="BF38" s="312">
        <f>IF(BC39=0,"-",(BC38/BC39))</f>
        <v>23231.277787026942</v>
      </c>
      <c r="BG38" s="304"/>
      <c r="BH38" s="10">
        <f>+BH12</f>
        <v>401930.379131675</v>
      </c>
      <c r="BI38" s="306"/>
      <c r="BJ38" s="308"/>
      <c r="BK38" s="312">
        <f>IF(BH39=0,"-",(BH38/BH39))</f>
        <v>22813.28010636209</v>
      </c>
      <c r="BL38" s="304"/>
      <c r="BM38" s="10">
        <f>+BM12</f>
        <v>420952.65570839075</v>
      </c>
      <c r="BN38" s="306"/>
      <c r="BO38" s="308"/>
      <c r="BP38" s="312">
        <f>IF(BM39=0,"-",(BM38/BM39))</f>
        <v>21586.248916090448</v>
      </c>
      <c r="BQ38" s="304"/>
      <c r="BR38" s="10">
        <f>+BR12</f>
        <v>433716.8601081805</v>
      </c>
      <c r="BS38" s="306"/>
      <c r="BT38" s="308"/>
      <c r="BU38" s="312">
        <f>IF(BR39=0,"-",(BR38/BR39))</f>
        <v>21737.842606863589</v>
      </c>
      <c r="BV38" s="304"/>
      <c r="BW38" s="10">
        <f>+BW12</f>
        <v>610593.27578583988</v>
      </c>
      <c r="BX38" s="306"/>
      <c r="BY38" s="308"/>
      <c r="BZ38" s="312">
        <f>IF(BW39=0,"-",(BW38/BW39))</f>
        <v>23976.843960369242</v>
      </c>
      <c r="CA38" s="304"/>
      <c r="CB38" s="10">
        <f>+CB12</f>
        <v>497242.65165447723</v>
      </c>
      <c r="CC38" s="306"/>
      <c r="CD38" s="308"/>
      <c r="CE38" s="312">
        <f>IF(CB39=0,"-",(CB38/CB39))</f>
        <v>20922.614147680928</v>
      </c>
      <c r="CF38" s="304"/>
      <c r="CG38" s="10">
        <f>+CG12</f>
        <v>509828.00504650705</v>
      </c>
      <c r="CH38" s="306"/>
      <c r="CI38" s="308"/>
      <c r="CJ38" s="312">
        <f>IF(CG39=0,"-",(CG38/CG39))</f>
        <v>23898.261635295974</v>
      </c>
      <c r="CK38" s="304"/>
      <c r="CL38" s="10">
        <f>+CL12</f>
        <v>552662.77653354476</v>
      </c>
      <c r="CM38" s="306"/>
      <c r="CN38" s="308"/>
      <c r="CO38" s="312">
        <f>IF(CL39=0,"-",(CL38/CL39))</f>
        <v>24630.645776470486</v>
      </c>
      <c r="CP38" s="304"/>
      <c r="CQ38" s="10">
        <f>+CQ12</f>
        <v>548953.19845895481</v>
      </c>
      <c r="CR38" s="306"/>
      <c r="CS38" s="308"/>
      <c r="CT38" s="312">
        <f>IF(CQ39=0,"-",(CQ38/CQ39))</f>
        <v>23585.912371768478</v>
      </c>
    </row>
    <row r="39" spans="1:98" ht="18" customHeight="1" x14ac:dyDescent="0.2">
      <c r="A39" s="20"/>
      <c r="B39" s="321"/>
      <c r="C39" s="323"/>
      <c r="D39" s="305"/>
      <c r="E39" s="12">
        <f>+PL!K5</f>
        <v>21.347318528921299</v>
      </c>
      <c r="F39" s="307"/>
      <c r="G39" s="309"/>
      <c r="H39" s="313"/>
      <c r="I39" s="305"/>
      <c r="J39" s="12">
        <f>+PL!L5</f>
        <v>19.453054298642535</v>
      </c>
      <c r="K39" s="307"/>
      <c r="L39" s="309"/>
      <c r="M39" s="313"/>
      <c r="N39" s="305"/>
      <c r="O39" s="12">
        <f>+PL!M5</f>
        <v>22.748031868795213</v>
      </c>
      <c r="P39" s="307"/>
      <c r="Q39" s="309"/>
      <c r="R39" s="313"/>
      <c r="S39" s="305"/>
      <c r="T39" s="12">
        <f>+PL!N5</f>
        <v>21.848411568045332</v>
      </c>
      <c r="U39" s="307"/>
      <c r="V39" s="309"/>
      <c r="W39" s="313"/>
      <c r="X39" s="305"/>
      <c r="Y39" s="12">
        <f>+PL!O5</f>
        <v>20.205459362863763</v>
      </c>
      <c r="Z39" s="307"/>
      <c r="AA39" s="309"/>
      <c r="AB39" s="313"/>
      <c r="AC39" s="305"/>
      <c r="AD39" s="12">
        <f>+PL!P5</f>
        <v>20.152178392700858</v>
      </c>
      <c r="AE39" s="307"/>
      <c r="AF39" s="309"/>
      <c r="AG39" s="313"/>
      <c r="AH39" s="305"/>
      <c r="AI39" s="12">
        <f>+PL!Q5</f>
        <v>22.821736819167953</v>
      </c>
      <c r="AJ39" s="307"/>
      <c r="AK39" s="309"/>
      <c r="AL39" s="313"/>
      <c r="AM39" s="305"/>
      <c r="AN39" s="12">
        <f>+PL!R5</f>
        <v>19.853952851186037</v>
      </c>
      <c r="AO39" s="307"/>
      <c r="AP39" s="309"/>
      <c r="AQ39" s="313"/>
      <c r="AR39" s="305"/>
      <c r="AS39" s="12">
        <f>+PL!S5</f>
        <v>23.141805274563811</v>
      </c>
      <c r="AT39" s="307"/>
      <c r="AU39" s="309"/>
      <c r="AV39" s="313"/>
      <c r="AW39" s="305"/>
      <c r="AX39" s="12">
        <f>+PL!T5</f>
        <v>19.858120360783609</v>
      </c>
      <c r="AY39" s="307"/>
      <c r="AZ39" s="309"/>
      <c r="BA39" s="313"/>
      <c r="BB39" s="305"/>
      <c r="BC39" s="12">
        <f>+PL!U5</f>
        <v>20.072881892659066</v>
      </c>
      <c r="BD39" s="307"/>
      <c r="BE39" s="309"/>
      <c r="BF39" s="313"/>
      <c r="BG39" s="305"/>
      <c r="BH39" s="12">
        <f>+PL!V5</f>
        <v>17.618263452592512</v>
      </c>
      <c r="BI39" s="307"/>
      <c r="BJ39" s="309"/>
      <c r="BK39" s="313"/>
      <c r="BL39" s="305"/>
      <c r="BM39" s="12">
        <f>+PL!W5</f>
        <v>19.500963661852872</v>
      </c>
      <c r="BN39" s="307"/>
      <c r="BO39" s="309"/>
      <c r="BP39" s="313"/>
      <c r="BQ39" s="305"/>
      <c r="BR39" s="12">
        <f>+PL!X5</f>
        <v>19.952157532469993</v>
      </c>
      <c r="BS39" s="307"/>
      <c r="BT39" s="309"/>
      <c r="BU39" s="313"/>
      <c r="BV39" s="305"/>
      <c r="BW39" s="12">
        <f>+PL!Y5</f>
        <v>25.465956937246414</v>
      </c>
      <c r="BX39" s="307"/>
      <c r="BY39" s="309"/>
      <c r="BZ39" s="313"/>
      <c r="CA39" s="305"/>
      <c r="CB39" s="12">
        <f>+PL!Z5</f>
        <v>23.765799442876588</v>
      </c>
      <c r="CC39" s="307"/>
      <c r="CD39" s="309"/>
      <c r="CE39" s="313"/>
      <c r="CF39" s="305"/>
      <c r="CG39" s="12">
        <f>+PL!AA5</f>
        <v>21.333267365921234</v>
      </c>
      <c r="CH39" s="307"/>
      <c r="CI39" s="309"/>
      <c r="CJ39" s="313"/>
      <c r="CK39" s="305"/>
      <c r="CL39" s="12">
        <f>+PL!AB5</f>
        <v>22.438014071945297</v>
      </c>
      <c r="CM39" s="307"/>
      <c r="CN39" s="309"/>
      <c r="CO39" s="313"/>
      <c r="CP39" s="305"/>
      <c r="CQ39" s="12">
        <f>+PL!AC5</f>
        <v>23.274622147584708</v>
      </c>
      <c r="CR39" s="307"/>
      <c r="CS39" s="309"/>
      <c r="CT39" s="313"/>
    </row>
    <row r="40" spans="1:98" ht="18" customHeight="1" x14ac:dyDescent="0.2">
      <c r="A40" s="20"/>
      <c r="B40" s="336" t="s">
        <v>146</v>
      </c>
      <c r="C40" s="322" t="s">
        <v>130</v>
      </c>
      <c r="D40" s="304"/>
      <c r="E40" s="10">
        <f>+E6</f>
        <v>8068.5359431229699</v>
      </c>
      <c r="F40" s="306"/>
      <c r="G40" s="308"/>
      <c r="H40" s="312">
        <f>IF(E41=0,"-",(E40/E41))</f>
        <v>377.9648451955095</v>
      </c>
      <c r="I40" s="304"/>
      <c r="J40" s="10">
        <f>+J6</f>
        <v>3795.9087481146307</v>
      </c>
      <c r="K40" s="306"/>
      <c r="L40" s="308"/>
      <c r="M40" s="312">
        <f>IF(J41=0,"-",(J40/J41))</f>
        <v>195.1317613080181</v>
      </c>
      <c r="N40" s="304"/>
      <c r="O40" s="10">
        <f>+O6</f>
        <v>1941.7759394961477</v>
      </c>
      <c r="P40" s="306"/>
      <c r="Q40" s="308"/>
      <c r="R40" s="312">
        <f>IF(O41=0,"-",(O40/O41))</f>
        <v>85.360173165564873</v>
      </c>
      <c r="S40" s="304"/>
      <c r="T40" s="10">
        <f>+T6</f>
        <v>-840.99770914266651</v>
      </c>
      <c r="U40" s="306"/>
      <c r="V40" s="308"/>
      <c r="W40" s="312">
        <f>IF(T41=0,"-",(T40/T41))</f>
        <v>-38.492395958554638</v>
      </c>
      <c r="X40" s="304"/>
      <c r="Y40" s="10">
        <f>+Y6</f>
        <v>2483.6581056210766</v>
      </c>
      <c r="Z40" s="306"/>
      <c r="AA40" s="308"/>
      <c r="AB40" s="312">
        <f>IF(Y41=0,"-",(Y40/Y41))</f>
        <v>122.92015049090487</v>
      </c>
      <c r="AC40" s="304"/>
      <c r="AD40" s="10">
        <f>+AD6</f>
        <v>-777.02789697397793</v>
      </c>
      <c r="AE40" s="306"/>
      <c r="AF40" s="308"/>
      <c r="AG40" s="312">
        <f>IF(AD41=0,"-",(AD40/AD41))</f>
        <v>-38.558010048949264</v>
      </c>
      <c r="AH40" s="304"/>
      <c r="AI40" s="10">
        <f>+AI6</f>
        <v>-1550.9490888707821</v>
      </c>
      <c r="AJ40" s="306"/>
      <c r="AK40" s="308"/>
      <c r="AL40" s="312">
        <f>IF(AI41=0,"-",(AI40/AI41))</f>
        <v>-67.959292544647241</v>
      </c>
      <c r="AM40" s="304"/>
      <c r="AN40" s="10">
        <f>+AN6</f>
        <v>1148.6573494731438</v>
      </c>
      <c r="AO40" s="306"/>
      <c r="AP40" s="308"/>
      <c r="AQ40" s="312">
        <f>IF(AN41=0,"-",(AN40/AN41))</f>
        <v>57.855347903907465</v>
      </c>
      <c r="AR40" s="304"/>
      <c r="AS40" s="10">
        <f>+AS6</f>
        <v>-4829.2269687239641</v>
      </c>
      <c r="AT40" s="306"/>
      <c r="AU40" s="308"/>
      <c r="AV40" s="312">
        <f>IF(AS41=0,"-",(AS40/AS41))</f>
        <v>-208.67978584332755</v>
      </c>
      <c r="AW40" s="304"/>
      <c r="AX40" s="10">
        <f>+AX6</f>
        <v>8879.5262784086972</v>
      </c>
      <c r="AY40" s="306"/>
      <c r="AZ40" s="308"/>
      <c r="BA40" s="312">
        <f>IF(AX41=0,"-",(AX40/AX41))</f>
        <v>447.14837643668648</v>
      </c>
      <c r="BB40" s="304"/>
      <c r="BC40" s="10">
        <f>+BC6</f>
        <v>10769.538842515687</v>
      </c>
      <c r="BD40" s="306"/>
      <c r="BE40" s="308"/>
      <c r="BF40" s="312">
        <f>IF(BC41=0,"-",(BC40/BC41))</f>
        <v>536.52180589246916</v>
      </c>
      <c r="BG40" s="304"/>
      <c r="BH40" s="10">
        <f>+BH6</f>
        <v>9945.3613190129781</v>
      </c>
      <c r="BI40" s="306"/>
      <c r="BJ40" s="308"/>
      <c r="BK40" s="312">
        <f>IF(BH41=0,"-",(BH40/BH41))</f>
        <v>564.49157692380447</v>
      </c>
      <c r="BL40" s="304"/>
      <c r="BM40" s="10">
        <f>+BM6</f>
        <v>8727.024691697301</v>
      </c>
      <c r="BN40" s="306"/>
      <c r="BO40" s="308"/>
      <c r="BP40" s="312">
        <f>IF(BM41=0,"-",(BM40/BM41))</f>
        <v>447.51761210492447</v>
      </c>
      <c r="BQ40" s="304"/>
      <c r="BR40" s="10">
        <f>+BR6</f>
        <v>14663.948992896116</v>
      </c>
      <c r="BS40" s="306"/>
      <c r="BT40" s="308"/>
      <c r="BU40" s="312">
        <f>IF(BR41=0,"-",(BR40/BR41))</f>
        <v>734.95555400623289</v>
      </c>
      <c r="BV40" s="304"/>
      <c r="BW40" s="10">
        <f>+BW6</f>
        <v>26813.732660714802</v>
      </c>
      <c r="BX40" s="306"/>
      <c r="BY40" s="308"/>
      <c r="BZ40" s="312">
        <f>IF(BW41=0,"-",(BW40/BW41))</f>
        <v>1052.9246054562016</v>
      </c>
      <c r="CA40" s="304"/>
      <c r="CB40" s="10">
        <f>+CB6</f>
        <v>15306.307977942914</v>
      </c>
      <c r="CC40" s="306"/>
      <c r="CD40" s="308"/>
      <c r="CE40" s="312">
        <f>IF(CB41=0,"-",(CB40/CB41))</f>
        <v>644.04767930206242</v>
      </c>
      <c r="CF40" s="304"/>
      <c r="CG40" s="10">
        <f>+CG6</f>
        <v>21779.970017811203</v>
      </c>
      <c r="CH40" s="306"/>
      <c r="CI40" s="308"/>
      <c r="CJ40" s="312">
        <f>IF(CG41=0,"-",(CG40/CG41))</f>
        <v>1020.9392515561659</v>
      </c>
      <c r="CK40" s="304"/>
      <c r="CL40" s="10">
        <f>+CL6</f>
        <v>18426.199484689329</v>
      </c>
      <c r="CM40" s="306"/>
      <c r="CN40" s="308"/>
      <c r="CO40" s="312">
        <f>IF(CL41=0,"-",(CL40/CL41))</f>
        <v>821.20456051090457</v>
      </c>
      <c r="CP40" s="304"/>
      <c r="CQ40" s="10">
        <f>+CQ6</f>
        <v>18104.31176528697</v>
      </c>
      <c r="CR40" s="306"/>
      <c r="CS40" s="308"/>
      <c r="CT40" s="312">
        <f>IF(CQ41=0,"-",(CQ40/CQ41))</f>
        <v>777.85631278940957</v>
      </c>
    </row>
    <row r="41" spans="1:98" ht="18" customHeight="1" x14ac:dyDescent="0.2">
      <c r="A41" s="22"/>
      <c r="B41" s="337"/>
      <c r="C41" s="323"/>
      <c r="D41" s="305"/>
      <c r="E41" s="12">
        <f>+E39</f>
        <v>21.347318528921299</v>
      </c>
      <c r="F41" s="307"/>
      <c r="G41" s="309"/>
      <c r="H41" s="313"/>
      <c r="I41" s="305"/>
      <c r="J41" s="12">
        <f>+J39</f>
        <v>19.453054298642535</v>
      </c>
      <c r="K41" s="307"/>
      <c r="L41" s="309"/>
      <c r="M41" s="313"/>
      <c r="N41" s="305"/>
      <c r="O41" s="12">
        <f>+O39</f>
        <v>22.748031868795213</v>
      </c>
      <c r="P41" s="307"/>
      <c r="Q41" s="309"/>
      <c r="R41" s="313"/>
      <c r="S41" s="305"/>
      <c r="T41" s="12">
        <f>+T39</f>
        <v>21.848411568045332</v>
      </c>
      <c r="U41" s="307"/>
      <c r="V41" s="309"/>
      <c r="W41" s="313"/>
      <c r="X41" s="305"/>
      <c r="Y41" s="12">
        <f>+Y39</f>
        <v>20.205459362863763</v>
      </c>
      <c r="Z41" s="307"/>
      <c r="AA41" s="309"/>
      <c r="AB41" s="313"/>
      <c r="AC41" s="305"/>
      <c r="AD41" s="12">
        <f>+AD39</f>
        <v>20.152178392700858</v>
      </c>
      <c r="AE41" s="307"/>
      <c r="AF41" s="309"/>
      <c r="AG41" s="313"/>
      <c r="AH41" s="305"/>
      <c r="AI41" s="12">
        <f>+AI39</f>
        <v>22.821736819167953</v>
      </c>
      <c r="AJ41" s="307"/>
      <c r="AK41" s="309"/>
      <c r="AL41" s="313"/>
      <c r="AM41" s="305"/>
      <c r="AN41" s="12">
        <f>+AN39</f>
        <v>19.853952851186037</v>
      </c>
      <c r="AO41" s="307"/>
      <c r="AP41" s="309"/>
      <c r="AQ41" s="313"/>
      <c r="AR41" s="305"/>
      <c r="AS41" s="12">
        <f>+AS39</f>
        <v>23.141805274563811</v>
      </c>
      <c r="AT41" s="307"/>
      <c r="AU41" s="309"/>
      <c r="AV41" s="313"/>
      <c r="AW41" s="305"/>
      <c r="AX41" s="12">
        <f>+AX39</f>
        <v>19.858120360783609</v>
      </c>
      <c r="AY41" s="307"/>
      <c r="AZ41" s="309"/>
      <c r="BA41" s="313"/>
      <c r="BB41" s="305"/>
      <c r="BC41" s="12">
        <f>+BC39</f>
        <v>20.072881892659066</v>
      </c>
      <c r="BD41" s="307"/>
      <c r="BE41" s="309"/>
      <c r="BF41" s="313"/>
      <c r="BG41" s="305"/>
      <c r="BH41" s="12">
        <f>+BH39</f>
        <v>17.618263452592512</v>
      </c>
      <c r="BI41" s="307"/>
      <c r="BJ41" s="309"/>
      <c r="BK41" s="313"/>
      <c r="BL41" s="305"/>
      <c r="BM41" s="12">
        <f>+BM39</f>
        <v>19.500963661852872</v>
      </c>
      <c r="BN41" s="307"/>
      <c r="BO41" s="309"/>
      <c r="BP41" s="313"/>
      <c r="BQ41" s="305"/>
      <c r="BR41" s="12">
        <f>+BR39</f>
        <v>19.952157532469993</v>
      </c>
      <c r="BS41" s="307"/>
      <c r="BT41" s="309"/>
      <c r="BU41" s="313"/>
      <c r="BV41" s="305"/>
      <c r="BW41" s="12">
        <f>+BW39</f>
        <v>25.465956937246414</v>
      </c>
      <c r="BX41" s="307"/>
      <c r="BY41" s="309"/>
      <c r="BZ41" s="313"/>
      <c r="CA41" s="305"/>
      <c r="CB41" s="12">
        <f>+CB39</f>
        <v>23.765799442876588</v>
      </c>
      <c r="CC41" s="307"/>
      <c r="CD41" s="309"/>
      <c r="CE41" s="313"/>
      <c r="CF41" s="305"/>
      <c r="CG41" s="12">
        <f>+CG39</f>
        <v>21.333267365921234</v>
      </c>
      <c r="CH41" s="307"/>
      <c r="CI41" s="309"/>
      <c r="CJ41" s="313"/>
      <c r="CK41" s="305"/>
      <c r="CL41" s="12">
        <f>+CL39</f>
        <v>22.438014071945297</v>
      </c>
      <c r="CM41" s="307"/>
      <c r="CN41" s="309"/>
      <c r="CO41" s="313"/>
      <c r="CP41" s="305"/>
      <c r="CQ41" s="12">
        <f>+CQ39</f>
        <v>23.274622147584708</v>
      </c>
      <c r="CR41" s="307"/>
      <c r="CS41" s="309"/>
      <c r="CT41" s="313"/>
    </row>
    <row r="42" spans="1:98"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row>
    <row r="43" spans="1:98" ht="18" customHeight="1" x14ac:dyDescent="0.2">
      <c r="A43" s="17"/>
      <c r="B43" s="320" t="s">
        <v>148</v>
      </c>
      <c r="C43" s="322" t="s">
        <v>149</v>
      </c>
      <c r="D43" s="304"/>
      <c r="E43" s="10">
        <f>+BS!K9</f>
        <v>276862.020538927</v>
      </c>
      <c r="F43" s="306" t="s">
        <v>150</v>
      </c>
      <c r="G43" s="308">
        <v>100</v>
      </c>
      <c r="H43" s="310">
        <f>IF(E44=0,"-",(E43/E44)*G43)</f>
        <v>121.33621477234963</v>
      </c>
      <c r="I43" s="304"/>
      <c r="J43" s="10">
        <f>+BS!L9</f>
        <v>244330.97662141779</v>
      </c>
      <c r="K43" s="306" t="s">
        <v>111</v>
      </c>
      <c r="L43" s="308">
        <v>100</v>
      </c>
      <c r="M43" s="310">
        <f>IF(J44=0,"-",(J43/J44)*L43)</f>
        <v>144.07074736759603</v>
      </c>
      <c r="N43" s="304"/>
      <c r="O43" s="10">
        <f>+BS!M9</f>
        <v>343995.03492176341</v>
      </c>
      <c r="P43" s="306" t="s">
        <v>111</v>
      </c>
      <c r="Q43" s="308">
        <v>100</v>
      </c>
      <c r="R43" s="310">
        <f>IF(O44=0,"-",(O43/O44)*Q43)</f>
        <v>159.98488747363893</v>
      </c>
      <c r="S43" s="304"/>
      <c r="T43" s="10">
        <f>+BS!N9</f>
        <v>234726.63715293832</v>
      </c>
      <c r="U43" s="306" t="s">
        <v>111</v>
      </c>
      <c r="V43" s="308">
        <v>100</v>
      </c>
      <c r="W43" s="310">
        <f>IF(T44=0,"-",(T43/T44)*V43)</f>
        <v>146.87520768876874</v>
      </c>
      <c r="X43" s="304"/>
      <c r="Y43" s="10">
        <f>+BS!O9</f>
        <v>203652.24619771284</v>
      </c>
      <c r="Z43" s="306" t="s">
        <v>111</v>
      </c>
      <c r="AA43" s="308">
        <v>100</v>
      </c>
      <c r="AB43" s="310">
        <f>IF(Y44=0,"-",(Y43/Y44)*AA43)</f>
        <v>138.72181818145924</v>
      </c>
      <c r="AC43" s="304"/>
      <c r="AD43" s="10">
        <f>+BS!P9</f>
        <v>257562.12687981984</v>
      </c>
      <c r="AE43" s="306" t="s">
        <v>111</v>
      </c>
      <c r="AF43" s="308">
        <v>100</v>
      </c>
      <c r="AG43" s="310">
        <f>IF(AD44=0,"-",(AD43/AD44)*AF43)</f>
        <v>186.13311821583488</v>
      </c>
      <c r="AH43" s="304"/>
      <c r="AI43" s="10">
        <f>+BS!Q9</f>
        <v>326135.370696545</v>
      </c>
      <c r="AJ43" s="306" t="s">
        <v>150</v>
      </c>
      <c r="AK43" s="308">
        <v>100</v>
      </c>
      <c r="AL43" s="310">
        <f>IF(AI44=0,"-",(AI43/AI44)*AK43)</f>
        <v>179.47100528621985</v>
      </c>
      <c r="AM43" s="304"/>
      <c r="AN43" s="10">
        <f>+BS!R9</f>
        <v>250961.32899370315</v>
      </c>
      <c r="AO43" s="306" t="s">
        <v>126</v>
      </c>
      <c r="AP43" s="308">
        <v>100</v>
      </c>
      <c r="AQ43" s="310">
        <f>IF(AN44=0,"-",(AN43/AN44)*AP43)</f>
        <v>168.40347607411013</v>
      </c>
      <c r="AR43" s="304"/>
      <c r="AS43" s="10">
        <f>+BS!S9</f>
        <v>266762.08772034023</v>
      </c>
      <c r="AT43" s="306" t="s">
        <v>111</v>
      </c>
      <c r="AU43" s="308">
        <v>100</v>
      </c>
      <c r="AV43" s="310">
        <f>IF(AS44=0,"-",(AS43/AS44)*AU43)</f>
        <v>168.7761587924156</v>
      </c>
      <c r="AW43" s="304"/>
      <c r="AX43" s="10">
        <f>+BS!T9</f>
        <v>228968.9537896229</v>
      </c>
      <c r="AY43" s="306" t="s">
        <v>111</v>
      </c>
      <c r="AZ43" s="308">
        <v>100</v>
      </c>
      <c r="BA43" s="310">
        <f>IF(AX44=0,"-",(AX43/AX44)*AZ43)</f>
        <v>158.4208309068182</v>
      </c>
      <c r="BB43" s="304"/>
      <c r="BC43" s="10">
        <f>+BS!U9</f>
        <v>241409.24772314038</v>
      </c>
      <c r="BD43" s="306" t="s">
        <v>111</v>
      </c>
      <c r="BE43" s="308">
        <v>100</v>
      </c>
      <c r="BF43" s="310">
        <f>IF(BC44=0,"-",(BC43/BC44)*BE43)</f>
        <v>151.69182486069892</v>
      </c>
      <c r="BG43" s="304"/>
      <c r="BH43" s="10">
        <f>+BS!V9</f>
        <v>207747.38164270468</v>
      </c>
      <c r="BI43" s="306" t="s">
        <v>111</v>
      </c>
      <c r="BJ43" s="308">
        <v>100</v>
      </c>
      <c r="BK43" s="310">
        <f>IF(BH44=0,"-",(BH43/BH44)*BJ43)</f>
        <v>157.69976007927971</v>
      </c>
      <c r="BL43" s="304"/>
      <c r="BM43" s="10">
        <f>+BS!W9</f>
        <v>244974.17075527442</v>
      </c>
      <c r="BN43" s="306" t="s">
        <v>111</v>
      </c>
      <c r="BO43" s="308">
        <v>100</v>
      </c>
      <c r="BP43" s="310">
        <f>IF(BM44=0,"-",(BM43/BM44)*BO43)</f>
        <v>187.09852280395484</v>
      </c>
      <c r="BQ43" s="304"/>
      <c r="BR43" s="10">
        <f>+BS!X9</f>
        <v>225314.21812867536</v>
      </c>
      <c r="BS43" s="306" t="s">
        <v>111</v>
      </c>
      <c r="BT43" s="308">
        <v>100</v>
      </c>
      <c r="BU43" s="310">
        <f>IF(BR44=0,"-",(BR43/BR44)*BT43)</f>
        <v>169.68953650303558</v>
      </c>
      <c r="BV43" s="304"/>
      <c r="BW43" s="10">
        <f>+BS!Y9</f>
        <v>293582.62179653399</v>
      </c>
      <c r="BX43" s="306" t="s">
        <v>111</v>
      </c>
      <c r="BY43" s="308">
        <v>100</v>
      </c>
      <c r="BZ43" s="310">
        <f>IF(BW44=0,"-",(BW43/BW44)*BY43)</f>
        <v>180.93137191124782</v>
      </c>
      <c r="CA43" s="304"/>
      <c r="CB43" s="10">
        <f>+BS!Z9</f>
        <v>293382.81030096789</v>
      </c>
      <c r="CC43" s="306" t="s">
        <v>111</v>
      </c>
      <c r="CD43" s="308">
        <v>100</v>
      </c>
      <c r="CE43" s="310">
        <f>IF(CB44=0,"-",(CB43/CB44)*CD43)</f>
        <v>188.75322593354065</v>
      </c>
      <c r="CF43" s="304"/>
      <c r="CG43" s="10">
        <f>+BS!AA9</f>
        <v>342968.14991094405</v>
      </c>
      <c r="CH43" s="306" t="s">
        <v>126</v>
      </c>
      <c r="CI43" s="308">
        <v>100</v>
      </c>
      <c r="CJ43" s="310">
        <f>IF(CG44=0,"-",(CG43/CG44)*CI43)</f>
        <v>214.30674717579822</v>
      </c>
      <c r="CK43" s="304"/>
      <c r="CL43" s="10">
        <f>+BS!AB9</f>
        <v>362598.05727876321</v>
      </c>
      <c r="CM43" s="306" t="s">
        <v>111</v>
      </c>
      <c r="CN43" s="308">
        <v>100</v>
      </c>
      <c r="CO43" s="310">
        <f>IF(CL44=0,"-",(CL43/CL44)*CN43)</f>
        <v>200.64195498239604</v>
      </c>
      <c r="CP43" s="304"/>
      <c r="CQ43" s="10">
        <f>+BS!AC9</f>
        <v>350936.29121801839</v>
      </c>
      <c r="CR43" s="306" t="s">
        <v>111</v>
      </c>
      <c r="CS43" s="308">
        <v>100</v>
      </c>
      <c r="CT43" s="310">
        <f>IF(CQ44=0,"-",(CQ43/CQ44)*CS43)</f>
        <v>197.85960925763413</v>
      </c>
    </row>
    <row r="44" spans="1:98" ht="18" customHeight="1" x14ac:dyDescent="0.2">
      <c r="A44" s="17"/>
      <c r="B44" s="321"/>
      <c r="C44" s="323"/>
      <c r="D44" s="305"/>
      <c r="E44" s="12">
        <f>+BS!K31</f>
        <v>228177.565171597</v>
      </c>
      <c r="F44" s="307"/>
      <c r="G44" s="309"/>
      <c r="H44" s="311"/>
      <c r="I44" s="305"/>
      <c r="J44" s="12">
        <f>+BS!L31</f>
        <v>169590.96907993968</v>
      </c>
      <c r="K44" s="307"/>
      <c r="L44" s="309"/>
      <c r="M44" s="311"/>
      <c r="N44" s="305"/>
      <c r="O44" s="12">
        <f>+BS!M31</f>
        <v>215017.20590855449</v>
      </c>
      <c r="P44" s="307"/>
      <c r="Q44" s="309"/>
      <c r="R44" s="311"/>
      <c r="S44" s="305"/>
      <c r="T44" s="12">
        <f>+BS!N31</f>
        <v>159813.65463007777</v>
      </c>
      <c r="U44" s="307"/>
      <c r="V44" s="309"/>
      <c r="W44" s="311"/>
      <c r="X44" s="305"/>
      <c r="Y44" s="12">
        <f>+BS!O31</f>
        <v>146806.21178949616</v>
      </c>
      <c r="Z44" s="307"/>
      <c r="AA44" s="309"/>
      <c r="AB44" s="311"/>
      <c r="AC44" s="305"/>
      <c r="AD44" s="12">
        <f>+BS!P31</f>
        <v>138375.22808872617</v>
      </c>
      <c r="AE44" s="307"/>
      <c r="AF44" s="309"/>
      <c r="AG44" s="311"/>
      <c r="AH44" s="305"/>
      <c r="AI44" s="12">
        <f>+BS!Q31</f>
        <v>181720.36768637097</v>
      </c>
      <c r="AJ44" s="307"/>
      <c r="AK44" s="309"/>
      <c r="AL44" s="311"/>
      <c r="AM44" s="305"/>
      <c r="AN44" s="12">
        <f>+BS!R31</f>
        <v>149023.84133879837</v>
      </c>
      <c r="AO44" s="307"/>
      <c r="AP44" s="309"/>
      <c r="AQ44" s="311"/>
      <c r="AR44" s="305"/>
      <c r="AS44" s="12">
        <f>+BS!S31</f>
        <v>158056.73599222113</v>
      </c>
      <c r="AT44" s="307"/>
      <c r="AU44" s="309"/>
      <c r="AV44" s="311"/>
      <c r="AW44" s="305"/>
      <c r="AX44" s="12">
        <f>+BS!T31</f>
        <v>144532.10002685853</v>
      </c>
      <c r="AY44" s="307"/>
      <c r="AZ44" s="309"/>
      <c r="BA44" s="311"/>
      <c r="BB44" s="305"/>
      <c r="BC44" s="12">
        <f>+BS!U31</f>
        <v>159144.53395549196</v>
      </c>
      <c r="BD44" s="307"/>
      <c r="BE44" s="309"/>
      <c r="BF44" s="311"/>
      <c r="BG44" s="305"/>
      <c r="BH44" s="12">
        <f>+BS!V31</f>
        <v>131736.01629974882</v>
      </c>
      <c r="BI44" s="307"/>
      <c r="BJ44" s="309"/>
      <c r="BK44" s="311"/>
      <c r="BL44" s="305"/>
      <c r="BM44" s="12">
        <f>+BS!W31</f>
        <v>130933.24687120202</v>
      </c>
      <c r="BN44" s="307"/>
      <c r="BO44" s="309"/>
      <c r="BP44" s="311"/>
      <c r="BQ44" s="305"/>
      <c r="BR44" s="12">
        <f>+BS!X31</f>
        <v>132780.2661094809</v>
      </c>
      <c r="BS44" s="307"/>
      <c r="BT44" s="309"/>
      <c r="BU44" s="311"/>
      <c r="BV44" s="305"/>
      <c r="BW44" s="12">
        <f>+BS!Y31</f>
        <v>162261.86685885792</v>
      </c>
      <c r="BX44" s="307"/>
      <c r="BY44" s="309"/>
      <c r="BZ44" s="311"/>
      <c r="CA44" s="305"/>
      <c r="CB44" s="12">
        <f>+BS!Z31</f>
        <v>155431.94499058096</v>
      </c>
      <c r="CC44" s="307"/>
      <c r="CD44" s="309"/>
      <c r="CE44" s="311"/>
      <c r="CF44" s="305"/>
      <c r="CG44" s="12">
        <f>+BS!AA31</f>
        <v>160036.09519097567</v>
      </c>
      <c r="CH44" s="307"/>
      <c r="CI44" s="309"/>
      <c r="CJ44" s="311"/>
      <c r="CK44" s="305"/>
      <c r="CL44" s="12">
        <f>+BS!AB31</f>
        <v>180718.96145079774</v>
      </c>
      <c r="CM44" s="307"/>
      <c r="CN44" s="309"/>
      <c r="CO44" s="311"/>
      <c r="CP44" s="305"/>
      <c r="CQ44" s="12">
        <f>+BS!AC31</f>
        <v>177366.31166650201</v>
      </c>
      <c r="CR44" s="307"/>
      <c r="CS44" s="309"/>
      <c r="CT44" s="311"/>
    </row>
    <row r="45" spans="1:98" ht="18" customHeight="1" x14ac:dyDescent="0.2">
      <c r="A45" s="17"/>
      <c r="B45" s="320" t="s">
        <v>151</v>
      </c>
      <c r="C45" s="322" t="s">
        <v>152</v>
      </c>
      <c r="D45" s="304"/>
      <c r="E45" s="10">
        <f>+BS!K10+BS!K11+BS!K12</f>
        <v>198915.21109453126</v>
      </c>
      <c r="F45" s="306" t="s">
        <v>111</v>
      </c>
      <c r="G45" s="308">
        <v>100</v>
      </c>
      <c r="H45" s="310">
        <f>IF(E46=0,"-",(E45/E46)*G45)</f>
        <v>87.175621733425245</v>
      </c>
      <c r="I45" s="304"/>
      <c r="J45" s="10">
        <f>+BS!L10+BS!L11+BS!L12</f>
        <v>204492.08144796378</v>
      </c>
      <c r="K45" s="306" t="s">
        <v>111</v>
      </c>
      <c r="L45" s="308">
        <v>100</v>
      </c>
      <c r="M45" s="310">
        <f>IF(J46=0,"-",(J45/J46)*L45)</f>
        <v>120.57958189481943</v>
      </c>
      <c r="N45" s="304"/>
      <c r="O45" s="10">
        <f>+BS!M10+BS!M11+BS!M12</f>
        <v>253658.83240171074</v>
      </c>
      <c r="P45" s="306" t="s">
        <v>111</v>
      </c>
      <c r="Q45" s="308">
        <v>100</v>
      </c>
      <c r="R45" s="310">
        <f>IF(O46=0,"-",(O45/O46)*Q45)</f>
        <v>117.97141132491058</v>
      </c>
      <c r="S45" s="304"/>
      <c r="T45" s="10">
        <f>+BS!N10+BS!N11+BS!N12</f>
        <v>165771.59702403072</v>
      </c>
      <c r="U45" s="306" t="s">
        <v>111</v>
      </c>
      <c r="V45" s="308">
        <v>100</v>
      </c>
      <c r="W45" s="310">
        <f>IF(T46=0,"-",(T45/T46)*V45)</f>
        <v>103.72805590845404</v>
      </c>
      <c r="X45" s="304"/>
      <c r="Y45" s="10">
        <f>+BS!O10+BS!O11+BS!O12</f>
        <v>143390.23801236815</v>
      </c>
      <c r="Z45" s="306" t="s">
        <v>111</v>
      </c>
      <c r="AA45" s="308">
        <v>100</v>
      </c>
      <c r="AB45" s="310">
        <f>IF(Y46=0,"-",(Y45/Y46)*AA45)</f>
        <v>97.673140846365456</v>
      </c>
      <c r="AC45" s="304"/>
      <c r="AD45" s="10">
        <f>+BS!P10+BS!P11+BS!P12</f>
        <v>193894.8618111065</v>
      </c>
      <c r="AE45" s="306" t="s">
        <v>111</v>
      </c>
      <c r="AF45" s="308">
        <v>100</v>
      </c>
      <c r="AG45" s="310">
        <f>IF(AD46=0,"-",(AD45/AD46)*AF45)</f>
        <v>140.12252372713789</v>
      </c>
      <c r="AH45" s="304"/>
      <c r="AI45" s="10">
        <f>+BS!Q10+BS!Q11+BS!Q12</f>
        <v>246990.68274932692</v>
      </c>
      <c r="AJ45" s="306" t="s">
        <v>111</v>
      </c>
      <c r="AK45" s="308">
        <v>100</v>
      </c>
      <c r="AL45" s="310">
        <f>IF(AI46=0,"-",(AI45/AI46)*AK45)</f>
        <v>135.91799636659618</v>
      </c>
      <c r="AM45" s="304"/>
      <c r="AN45" s="10">
        <f>+BS!R10+BS!R11+BS!R12</f>
        <v>174960.58723079169</v>
      </c>
      <c r="AO45" s="306" t="s">
        <v>111</v>
      </c>
      <c r="AP45" s="308">
        <v>100</v>
      </c>
      <c r="AQ45" s="310">
        <f>IF(AN46=0,"-",(AN45/AN46)*AP45)</f>
        <v>117.4044271433236</v>
      </c>
      <c r="AR45" s="304"/>
      <c r="AS45" s="10">
        <f>+BS!S10+BS!S11+BS!S12</f>
        <v>186103.48488674333</v>
      </c>
      <c r="AT45" s="306" t="s">
        <v>111</v>
      </c>
      <c r="AU45" s="308">
        <v>100</v>
      </c>
      <c r="AV45" s="310">
        <f>IF(AS46=0,"-",(AS45/AS46)*AU45)</f>
        <v>117.74473496397049</v>
      </c>
      <c r="AW45" s="304"/>
      <c r="AX45" s="10">
        <f>+BS!T10+BS!T11+BS!T12</f>
        <v>159608.96720961964</v>
      </c>
      <c r="AY45" s="306" t="s">
        <v>111</v>
      </c>
      <c r="AZ45" s="308">
        <v>100</v>
      </c>
      <c r="BA45" s="310">
        <f>IF(AX46=0,"-",(AX45/AX46)*AZ45)</f>
        <v>110.43150080844279</v>
      </c>
      <c r="BB45" s="304"/>
      <c r="BC45" s="10">
        <f>+BS!U10+BS!U11+BS!U12</f>
        <v>157521.50749349344</v>
      </c>
      <c r="BD45" s="306" t="s">
        <v>111</v>
      </c>
      <c r="BE45" s="308">
        <v>100</v>
      </c>
      <c r="BF45" s="310">
        <f>IF(BC46=0,"-",(BC45/BC46)*BE45)</f>
        <v>98.980155697680175</v>
      </c>
      <c r="BG45" s="304"/>
      <c r="BH45" s="10">
        <f>+BS!V10+BS!V11+BS!V12</f>
        <v>138330.26905636358</v>
      </c>
      <c r="BI45" s="306" t="s">
        <v>111</v>
      </c>
      <c r="BJ45" s="308">
        <v>100</v>
      </c>
      <c r="BK45" s="310">
        <f>IF(BH46=0,"-",(BH45/BH46)*BJ45)</f>
        <v>105.00565672307135</v>
      </c>
      <c r="BL45" s="304"/>
      <c r="BM45" s="10">
        <f>+BS!W10+BS!W11+BS!W12</f>
        <v>183698.73281703459</v>
      </c>
      <c r="BN45" s="306" t="s">
        <v>111</v>
      </c>
      <c r="BO45" s="308">
        <v>100</v>
      </c>
      <c r="BP45" s="310">
        <f>IF(BM46=0,"-",(BM45/BM46)*BO45)</f>
        <v>140.29953217133425</v>
      </c>
      <c r="BQ45" s="304"/>
      <c r="BR45" s="10">
        <f>+BS!X10+BS!X11+BS!X12</f>
        <v>165674.3812667758</v>
      </c>
      <c r="BS45" s="306" t="s">
        <v>111</v>
      </c>
      <c r="BT45" s="308">
        <v>100</v>
      </c>
      <c r="BU45" s="310">
        <f>IF(BR46=0,"-",(BR45/BR46)*BT45)</f>
        <v>124.77334631199852</v>
      </c>
      <c r="BV45" s="304"/>
      <c r="BW45" s="10">
        <f>+BS!Y10+BS!Y11+BS!Y12</f>
        <v>214866.57815427636</v>
      </c>
      <c r="BX45" s="306" t="s">
        <v>111</v>
      </c>
      <c r="BY45" s="308">
        <v>100</v>
      </c>
      <c r="BZ45" s="310">
        <f>IF(BW46=0,"-",(BW45/BW46)*BY45)</f>
        <v>132.41963889222117</v>
      </c>
      <c r="CA45" s="304"/>
      <c r="CB45" s="10">
        <f>+BS!Z10+BS!Z11+BS!Z12</f>
        <v>208462.10530823341</v>
      </c>
      <c r="CC45" s="306" t="s">
        <v>111</v>
      </c>
      <c r="CD45" s="308">
        <v>100</v>
      </c>
      <c r="CE45" s="310">
        <f>IF(CB46=0,"-",(CB45/CB46)*CD45)</f>
        <v>134.11792879569643</v>
      </c>
      <c r="CF45" s="304"/>
      <c r="CG45" s="10">
        <f>+BS!AA10+BS!AA11+BS!AA12</f>
        <v>237587.15149416187</v>
      </c>
      <c r="CH45" s="306" t="s">
        <v>111</v>
      </c>
      <c r="CI45" s="308">
        <v>100</v>
      </c>
      <c r="CJ45" s="310">
        <f>IF(CG46=0,"-",(CG45/CG46)*CI45)</f>
        <v>148.45847820183459</v>
      </c>
      <c r="CK45" s="304"/>
      <c r="CL45" s="10">
        <f>+BS!AB10+BS!AB11+BS!AB12</f>
        <v>269187.39996036072</v>
      </c>
      <c r="CM45" s="306" t="s">
        <v>111</v>
      </c>
      <c r="CN45" s="308">
        <v>100</v>
      </c>
      <c r="CO45" s="310">
        <f>IF(CL46=0,"-",(CL45/CL46)*CN45)</f>
        <v>148.9536005515665</v>
      </c>
      <c r="CP45" s="304"/>
      <c r="CQ45" s="10">
        <f>+BS!AC10+BS!AC11+BS!AC12</f>
        <v>244011.29013138398</v>
      </c>
      <c r="CR45" s="306" t="s">
        <v>111</v>
      </c>
      <c r="CS45" s="308">
        <v>100</v>
      </c>
      <c r="CT45" s="310">
        <f>IF(CQ46=0,"-",(CQ45/CQ46)*CS45)</f>
        <v>137.57476706748747</v>
      </c>
    </row>
    <row r="46" spans="1:98" ht="18" customHeight="1" x14ac:dyDescent="0.2">
      <c r="A46" s="17"/>
      <c r="B46" s="321"/>
      <c r="C46" s="323"/>
      <c r="D46" s="305"/>
      <c r="E46" s="12">
        <f>+E44</f>
        <v>228177.565171597</v>
      </c>
      <c r="F46" s="307"/>
      <c r="G46" s="309"/>
      <c r="H46" s="311"/>
      <c r="I46" s="305"/>
      <c r="J46" s="12">
        <f>+J44</f>
        <v>169590.96907993968</v>
      </c>
      <c r="K46" s="307"/>
      <c r="L46" s="309"/>
      <c r="M46" s="311"/>
      <c r="N46" s="305"/>
      <c r="O46" s="12">
        <f>+O44</f>
        <v>215017.20590855449</v>
      </c>
      <c r="P46" s="307"/>
      <c r="Q46" s="309"/>
      <c r="R46" s="311"/>
      <c r="S46" s="305"/>
      <c r="T46" s="12">
        <f>+T44</f>
        <v>159813.65463007777</v>
      </c>
      <c r="U46" s="307"/>
      <c r="V46" s="309"/>
      <c r="W46" s="311"/>
      <c r="X46" s="305"/>
      <c r="Y46" s="12">
        <f>+Y44</f>
        <v>146806.21178949616</v>
      </c>
      <c r="Z46" s="307"/>
      <c r="AA46" s="309"/>
      <c r="AB46" s="311"/>
      <c r="AC46" s="305"/>
      <c r="AD46" s="12">
        <f>+AD44</f>
        <v>138375.22808872617</v>
      </c>
      <c r="AE46" s="307"/>
      <c r="AF46" s="309"/>
      <c r="AG46" s="311"/>
      <c r="AH46" s="305"/>
      <c r="AI46" s="12">
        <f>+AI44</f>
        <v>181720.36768637097</v>
      </c>
      <c r="AJ46" s="307"/>
      <c r="AK46" s="309"/>
      <c r="AL46" s="311"/>
      <c r="AM46" s="305"/>
      <c r="AN46" s="12">
        <f>+AN44</f>
        <v>149023.84133879837</v>
      </c>
      <c r="AO46" s="307"/>
      <c r="AP46" s="309"/>
      <c r="AQ46" s="311"/>
      <c r="AR46" s="305"/>
      <c r="AS46" s="12">
        <f>+AS44</f>
        <v>158056.73599222113</v>
      </c>
      <c r="AT46" s="307"/>
      <c r="AU46" s="309"/>
      <c r="AV46" s="311"/>
      <c r="AW46" s="305"/>
      <c r="AX46" s="12">
        <f>+AX44</f>
        <v>144532.10002685853</v>
      </c>
      <c r="AY46" s="307"/>
      <c r="AZ46" s="309"/>
      <c r="BA46" s="311"/>
      <c r="BB46" s="305"/>
      <c r="BC46" s="12">
        <f>+BC44</f>
        <v>159144.53395549196</v>
      </c>
      <c r="BD46" s="307"/>
      <c r="BE46" s="309"/>
      <c r="BF46" s="311"/>
      <c r="BG46" s="305"/>
      <c r="BH46" s="12">
        <f>+BH44</f>
        <v>131736.01629974882</v>
      </c>
      <c r="BI46" s="307"/>
      <c r="BJ46" s="309"/>
      <c r="BK46" s="311"/>
      <c r="BL46" s="305"/>
      <c r="BM46" s="12">
        <f>+BM44</f>
        <v>130933.24687120202</v>
      </c>
      <c r="BN46" s="307"/>
      <c r="BO46" s="309"/>
      <c r="BP46" s="311"/>
      <c r="BQ46" s="305"/>
      <c r="BR46" s="12">
        <f>+BR44</f>
        <v>132780.2661094809</v>
      </c>
      <c r="BS46" s="307"/>
      <c r="BT46" s="309"/>
      <c r="BU46" s="311"/>
      <c r="BV46" s="305"/>
      <c r="BW46" s="12">
        <f>+BW44</f>
        <v>162261.86685885792</v>
      </c>
      <c r="BX46" s="307"/>
      <c r="BY46" s="309"/>
      <c r="BZ46" s="311"/>
      <c r="CA46" s="305"/>
      <c r="CB46" s="12">
        <f>+CB44</f>
        <v>155431.94499058096</v>
      </c>
      <c r="CC46" s="307"/>
      <c r="CD46" s="309"/>
      <c r="CE46" s="311"/>
      <c r="CF46" s="305"/>
      <c r="CG46" s="12">
        <f>+CG44</f>
        <v>160036.09519097567</v>
      </c>
      <c r="CH46" s="307"/>
      <c r="CI46" s="309"/>
      <c r="CJ46" s="311"/>
      <c r="CK46" s="305"/>
      <c r="CL46" s="12">
        <f>+CL44</f>
        <v>180718.96145079774</v>
      </c>
      <c r="CM46" s="307"/>
      <c r="CN46" s="309"/>
      <c r="CO46" s="311"/>
      <c r="CP46" s="305"/>
      <c r="CQ46" s="12">
        <f>+CQ44</f>
        <v>177366.31166650201</v>
      </c>
      <c r="CR46" s="307"/>
      <c r="CS46" s="309"/>
      <c r="CT46" s="311"/>
    </row>
    <row r="47" spans="1:98"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row>
    <row r="48" spans="1:98" ht="18" customHeight="1" x14ac:dyDescent="0.2">
      <c r="A48" s="20"/>
      <c r="B48" s="320" t="s">
        <v>153</v>
      </c>
      <c r="C48" s="322" t="s">
        <v>149</v>
      </c>
      <c r="D48" s="304"/>
      <c r="E48" s="10">
        <f>+E9</f>
        <v>149492.23207232502</v>
      </c>
      <c r="F48" s="306" t="s">
        <v>150</v>
      </c>
      <c r="G48" s="308">
        <v>100</v>
      </c>
      <c r="H48" s="310">
        <f>IF(E49=0,"-",(E48/E49)*G48)</f>
        <v>28.034451875863038</v>
      </c>
      <c r="I48" s="304"/>
      <c r="J48" s="10">
        <f>+J9</f>
        <v>148534.21945701356</v>
      </c>
      <c r="K48" s="306" t="s">
        <v>111</v>
      </c>
      <c r="L48" s="308">
        <v>100</v>
      </c>
      <c r="M48" s="310">
        <f>IF(J49=0,"-",(J48/J49)*L48)</f>
        <v>32.937108589229055</v>
      </c>
      <c r="N48" s="304"/>
      <c r="O48" s="10">
        <f>+O9</f>
        <v>197367.00269618895</v>
      </c>
      <c r="P48" s="306" t="s">
        <v>111</v>
      </c>
      <c r="Q48" s="308">
        <v>100</v>
      </c>
      <c r="R48" s="310">
        <f>IF(O49=0,"-",(O48/O49)*Q48)</f>
        <v>34.037295763192134</v>
      </c>
      <c r="S48" s="304"/>
      <c r="T48" s="10">
        <f>+T9</f>
        <v>162120.71171816153</v>
      </c>
      <c r="U48" s="306" t="s">
        <v>111</v>
      </c>
      <c r="V48" s="308">
        <v>100</v>
      </c>
      <c r="W48" s="310">
        <f>IF(T49=0,"-",(T48/T49)*V48)</f>
        <v>37.196873744782764</v>
      </c>
      <c r="X48" s="304"/>
      <c r="Y48" s="10">
        <f>+Y9</f>
        <v>166689.26005200355</v>
      </c>
      <c r="Z48" s="306" t="s">
        <v>111</v>
      </c>
      <c r="AA48" s="308">
        <v>100</v>
      </c>
      <c r="AB48" s="310">
        <f>IF(Y49=0,"-",(Y48/Y49)*AA48)</f>
        <v>36.584091041960193</v>
      </c>
      <c r="AC48" s="304"/>
      <c r="AD48" s="10">
        <f>+AD9</f>
        <v>232881.80099990391</v>
      </c>
      <c r="AE48" s="306" t="s">
        <v>111</v>
      </c>
      <c r="AF48" s="308">
        <v>100</v>
      </c>
      <c r="AG48" s="310">
        <f>IF(AD49=0,"-",(AD48/AD49)*AF48)</f>
        <v>45.358270983866625</v>
      </c>
      <c r="AH48" s="304"/>
      <c r="AI48" s="10">
        <f>+AI9</f>
        <v>304743.24012146896</v>
      </c>
      <c r="AJ48" s="306" t="s">
        <v>150</v>
      </c>
      <c r="AK48" s="308">
        <v>100</v>
      </c>
      <c r="AL48" s="310">
        <f>IF(AI49=0,"-",(AI48/AI49)*AK48)</f>
        <v>48.146788765395591</v>
      </c>
      <c r="AM48" s="304"/>
      <c r="AN48" s="10">
        <f>+AN9</f>
        <v>190694.82843783332</v>
      </c>
      <c r="AO48" s="306" t="s">
        <v>111</v>
      </c>
      <c r="AP48" s="308">
        <v>100</v>
      </c>
      <c r="AQ48" s="310">
        <f>IF(AN49=0,"-",(AN48/AN49)*AP48)</f>
        <v>42.107045907709157</v>
      </c>
      <c r="AR48" s="304"/>
      <c r="AS48" s="10">
        <f>+AS9</f>
        <v>185476.80024428348</v>
      </c>
      <c r="AT48" s="306" t="s">
        <v>111</v>
      </c>
      <c r="AU48" s="308">
        <v>100</v>
      </c>
      <c r="AV48" s="310">
        <f>IF(AS49=0,"-",(AS48/AS49)*AU48)</f>
        <v>39.411593574204637</v>
      </c>
      <c r="AW48" s="304"/>
      <c r="AX48" s="10">
        <f>+AX9</f>
        <v>172466.2122887203</v>
      </c>
      <c r="AY48" s="306" t="s">
        <v>111</v>
      </c>
      <c r="AZ48" s="308">
        <v>100</v>
      </c>
      <c r="BA48" s="310">
        <f>IF(AX49=0,"-",(AX48/AX49)*AZ48)</f>
        <v>40.128396018738734</v>
      </c>
      <c r="BB48" s="304"/>
      <c r="BC48" s="10">
        <f>+BC9</f>
        <v>177524.99744425935</v>
      </c>
      <c r="BD48" s="306" t="s">
        <v>111</v>
      </c>
      <c r="BE48" s="308">
        <v>100</v>
      </c>
      <c r="BF48" s="310">
        <f>IF(BC49=0,"-",(BC48/BC49)*BE48)</f>
        <v>37.521905985130417</v>
      </c>
      <c r="BG48" s="304"/>
      <c r="BH48" s="10">
        <f>+BH9</f>
        <v>153408.31565152138</v>
      </c>
      <c r="BI48" s="306" t="s">
        <v>111</v>
      </c>
      <c r="BJ48" s="308">
        <v>100</v>
      </c>
      <c r="BK48" s="310">
        <f>IF(BH49=0,"-",(BH48/BH49)*BJ48)</f>
        <v>40.805017273425328</v>
      </c>
      <c r="BL48" s="304"/>
      <c r="BM48" s="10">
        <f>+BM9</f>
        <v>217737.01421806036</v>
      </c>
      <c r="BN48" s="306" t="s">
        <v>111</v>
      </c>
      <c r="BO48" s="308">
        <v>100</v>
      </c>
      <c r="BP48" s="310">
        <f>IF(BM49=0,"-",(BM48/BM49)*BO48)</f>
        <v>48.138414735365551</v>
      </c>
      <c r="BQ48" s="304"/>
      <c r="BR48" s="10">
        <f>+BR9</f>
        <v>186523.27475391861</v>
      </c>
      <c r="BS48" s="306" t="s">
        <v>111</v>
      </c>
      <c r="BT48" s="308">
        <v>100</v>
      </c>
      <c r="BU48" s="310">
        <f>IF(BR49=0,"-",(BR48/BR49)*BT48)</f>
        <v>43.313314027172531</v>
      </c>
      <c r="BV48" s="304"/>
      <c r="BW48" s="10">
        <f>+BW9</f>
        <v>247282.16531609549</v>
      </c>
      <c r="BX48" s="306" t="s">
        <v>111</v>
      </c>
      <c r="BY48" s="308">
        <v>100</v>
      </c>
      <c r="BZ48" s="310">
        <f>IF(BW49=0,"-",(BW48/BW49)*BY48)</f>
        <v>44.802624785964944</v>
      </c>
      <c r="CA48" s="304"/>
      <c r="CB48" s="10">
        <f>+CB9</f>
        <v>258586.1202457092</v>
      </c>
      <c r="CC48" s="306" t="s">
        <v>111</v>
      </c>
      <c r="CD48" s="308">
        <v>100</v>
      </c>
      <c r="CE48" s="310">
        <f>IF(CB49=0,"-",(CB48/CB49)*CD48)</f>
        <v>48.002038546385606</v>
      </c>
      <c r="CF48" s="304"/>
      <c r="CG48" s="10">
        <f>+CG9</f>
        <v>307850.7243221848</v>
      </c>
      <c r="CH48" s="306" t="s">
        <v>111</v>
      </c>
      <c r="CI48" s="308">
        <v>100</v>
      </c>
      <c r="CJ48" s="310">
        <f>IF(CG49=0,"-",(CG48/CG49)*CI48)</f>
        <v>52.584668442249693</v>
      </c>
      <c r="CK48" s="304"/>
      <c r="CL48" s="10">
        <f>+CL9</f>
        <v>310023.02923397085</v>
      </c>
      <c r="CM48" s="306" t="s">
        <v>111</v>
      </c>
      <c r="CN48" s="308">
        <v>100</v>
      </c>
      <c r="CO48" s="310">
        <f>IF(CL49=0,"-",(CL48/CL49)*CN48)</f>
        <v>48.602102210952957</v>
      </c>
      <c r="CP48" s="304"/>
      <c r="CQ48" s="10">
        <f>+CQ9</f>
        <v>302485.51743554283</v>
      </c>
      <c r="CR48" s="306" t="s">
        <v>111</v>
      </c>
      <c r="CS48" s="308">
        <v>100</v>
      </c>
      <c r="CT48" s="310">
        <f>IF(CQ49=0,"-",(CQ48/CQ49)*CS48)</f>
        <v>49.090454617539137</v>
      </c>
    </row>
    <row r="49" spans="1:98" ht="18" customHeight="1" x14ac:dyDescent="0.2">
      <c r="A49" s="20"/>
      <c r="B49" s="321"/>
      <c r="C49" s="323"/>
      <c r="D49" s="305"/>
      <c r="E49" s="12">
        <f>+E7</f>
        <v>533244.711665057</v>
      </c>
      <c r="F49" s="307"/>
      <c r="G49" s="309"/>
      <c r="H49" s="311"/>
      <c r="I49" s="305"/>
      <c r="J49" s="12">
        <f>+J7</f>
        <v>450963.14102564106</v>
      </c>
      <c r="K49" s="307"/>
      <c r="L49" s="309"/>
      <c r="M49" s="311"/>
      <c r="N49" s="305"/>
      <c r="O49" s="12">
        <f>+O7</f>
        <v>579855.12148007145</v>
      </c>
      <c r="P49" s="307"/>
      <c r="Q49" s="309"/>
      <c r="R49" s="311"/>
      <c r="S49" s="305"/>
      <c r="T49" s="12">
        <f>+T7</f>
        <v>435844.99286287621</v>
      </c>
      <c r="U49" s="307"/>
      <c r="V49" s="309"/>
      <c r="W49" s="311"/>
      <c r="X49" s="305"/>
      <c r="Y49" s="12">
        <f>+Y7</f>
        <v>455633.18728028255</v>
      </c>
      <c r="Z49" s="307"/>
      <c r="AA49" s="309"/>
      <c r="AB49" s="311"/>
      <c r="AC49" s="305"/>
      <c r="AD49" s="12">
        <f>+AD7</f>
        <v>513427.42117030232</v>
      </c>
      <c r="AE49" s="307"/>
      <c r="AF49" s="309"/>
      <c r="AG49" s="311"/>
      <c r="AH49" s="305"/>
      <c r="AI49" s="12">
        <f>+AI7</f>
        <v>632946.13812436897</v>
      </c>
      <c r="AJ49" s="307"/>
      <c r="AK49" s="309"/>
      <c r="AL49" s="311"/>
      <c r="AM49" s="305"/>
      <c r="AN49" s="12">
        <f>+AN7</f>
        <v>452881.04241698899</v>
      </c>
      <c r="AO49" s="307"/>
      <c r="AP49" s="309"/>
      <c r="AQ49" s="311"/>
      <c r="AR49" s="305"/>
      <c r="AS49" s="12">
        <f>+AS7</f>
        <v>470614.82021797838</v>
      </c>
      <c r="AT49" s="307"/>
      <c r="AU49" s="309"/>
      <c r="AV49" s="311"/>
      <c r="AW49" s="305"/>
      <c r="AX49" s="12">
        <f>+AX7</f>
        <v>429785.96056564001</v>
      </c>
      <c r="AY49" s="307"/>
      <c r="AZ49" s="309"/>
      <c r="BA49" s="311"/>
      <c r="BB49" s="305"/>
      <c r="BC49" s="12">
        <f>+BC7</f>
        <v>473123.61348224385</v>
      </c>
      <c r="BD49" s="307"/>
      <c r="BE49" s="309"/>
      <c r="BF49" s="311"/>
      <c r="BG49" s="305"/>
      <c r="BH49" s="12">
        <f>+BH7</f>
        <v>375954.54162797297</v>
      </c>
      <c r="BI49" s="307"/>
      <c r="BJ49" s="309"/>
      <c r="BK49" s="311"/>
      <c r="BL49" s="305"/>
      <c r="BM49" s="12">
        <f>+BM7</f>
        <v>452314.46738543478</v>
      </c>
      <c r="BN49" s="307"/>
      <c r="BO49" s="309"/>
      <c r="BP49" s="311"/>
      <c r="BQ49" s="305"/>
      <c r="BR49" s="12">
        <f>+BR7</f>
        <v>430637.27388050605</v>
      </c>
      <c r="BS49" s="307"/>
      <c r="BT49" s="309"/>
      <c r="BU49" s="311"/>
      <c r="BV49" s="305"/>
      <c r="BW49" s="12">
        <f>+BW7</f>
        <v>551936.78160026041</v>
      </c>
      <c r="BX49" s="307"/>
      <c r="BY49" s="309"/>
      <c r="BZ49" s="311"/>
      <c r="CA49" s="305"/>
      <c r="CB49" s="12">
        <f>+CB7</f>
        <v>538698.20548523322</v>
      </c>
      <c r="CC49" s="307"/>
      <c r="CD49" s="309"/>
      <c r="CE49" s="311"/>
      <c r="CF49" s="305"/>
      <c r="CG49" s="12">
        <f>+CG7</f>
        <v>585438.17702355038</v>
      </c>
      <c r="CH49" s="307"/>
      <c r="CI49" s="309"/>
      <c r="CJ49" s="311"/>
      <c r="CK49" s="305"/>
      <c r="CL49" s="12">
        <f>+CL7</f>
        <v>637879.87582994741</v>
      </c>
      <c r="CM49" s="307"/>
      <c r="CN49" s="309"/>
      <c r="CO49" s="311"/>
      <c r="CP49" s="305"/>
      <c r="CQ49" s="12">
        <f>+CQ7</f>
        <v>616179.9066482269</v>
      </c>
      <c r="CR49" s="307"/>
      <c r="CS49" s="309"/>
      <c r="CT49" s="311"/>
    </row>
    <row r="50" spans="1:98" ht="18" customHeight="1" x14ac:dyDescent="0.2">
      <c r="A50" s="20"/>
      <c r="B50" s="320" t="s">
        <v>154</v>
      </c>
      <c r="C50" s="322" t="s">
        <v>152</v>
      </c>
      <c r="D50" s="304"/>
      <c r="E50" s="10">
        <f>+BS!K30</f>
        <v>383752.47959273198</v>
      </c>
      <c r="F50" s="306" t="s">
        <v>111</v>
      </c>
      <c r="G50" s="308">
        <v>100</v>
      </c>
      <c r="H50" s="310">
        <f>IF(E51=0,"-",(E50/E51)*G50)</f>
        <v>256.70395998038936</v>
      </c>
      <c r="I50" s="304"/>
      <c r="J50" s="10">
        <f>+BS!L30</f>
        <v>302428.92156862747</v>
      </c>
      <c r="K50" s="306" t="s">
        <v>111</v>
      </c>
      <c r="L50" s="308">
        <v>100</v>
      </c>
      <c r="M50" s="310">
        <f>IF(J51=0,"-",(J50/J51)*L50)</f>
        <v>203.60892101106148</v>
      </c>
      <c r="N50" s="304"/>
      <c r="O50" s="10">
        <f>+BS!M30</f>
        <v>382488.11878388253</v>
      </c>
      <c r="P50" s="306" t="s">
        <v>111</v>
      </c>
      <c r="Q50" s="308">
        <v>100</v>
      </c>
      <c r="R50" s="310">
        <f>IF(O51=0,"-",(O50/O51)*Q50)</f>
        <v>193.79537286313979</v>
      </c>
      <c r="S50" s="304"/>
      <c r="T50" s="10">
        <f>+BS!N30</f>
        <v>273724.28114471474</v>
      </c>
      <c r="U50" s="306" t="s">
        <v>111</v>
      </c>
      <c r="V50" s="308">
        <v>100</v>
      </c>
      <c r="W50" s="310">
        <f>IF(T51=0,"-",(T50/T51)*V50)</f>
        <v>168.83979736072848</v>
      </c>
      <c r="X50" s="304"/>
      <c r="Y50" s="10">
        <f>+BS!O30</f>
        <v>288943.92722827988</v>
      </c>
      <c r="Z50" s="306" t="s">
        <v>111</v>
      </c>
      <c r="AA50" s="308">
        <v>100</v>
      </c>
      <c r="AB50" s="310">
        <f>IF(Y51=0,"-",(Y50/Y51)*AA50)</f>
        <v>173.34285792506094</v>
      </c>
      <c r="AC50" s="304"/>
      <c r="AD50" s="10">
        <f>+BS!P30</f>
        <v>280545.62017039739</v>
      </c>
      <c r="AE50" s="306" t="s">
        <v>111</v>
      </c>
      <c r="AF50" s="308">
        <v>100</v>
      </c>
      <c r="AG50" s="310">
        <f>IF(AD51=0,"-",(AD50/AD51)*AF50)</f>
        <v>120.46695747192078</v>
      </c>
      <c r="AH50" s="304"/>
      <c r="AI50" s="10">
        <f>+BS!Q30</f>
        <v>328202.89800290007</v>
      </c>
      <c r="AJ50" s="306" t="s">
        <v>111</v>
      </c>
      <c r="AK50" s="308">
        <v>100</v>
      </c>
      <c r="AL50" s="310">
        <f>IF(AI51=0,"-",(AI50/AI51)*AK50)</f>
        <v>107.69817170417963</v>
      </c>
      <c r="AM50" s="304"/>
      <c r="AN50" s="10">
        <f>+BS!R30</f>
        <v>262186.21397915535</v>
      </c>
      <c r="AO50" s="306" t="s">
        <v>155</v>
      </c>
      <c r="AP50" s="308">
        <v>100</v>
      </c>
      <c r="AQ50" s="310">
        <f>IF(AN51=0,"-",(AN50/AN51)*AP50)</f>
        <v>137.48994460257651</v>
      </c>
      <c r="AR50" s="304"/>
      <c r="AS50" s="10">
        <f>+BS!S30</f>
        <v>285138.01997369505</v>
      </c>
      <c r="AT50" s="306" t="s">
        <v>111</v>
      </c>
      <c r="AU50" s="308">
        <v>100</v>
      </c>
      <c r="AV50" s="310">
        <f>IF(AS51=0,"-",(AS50/AS51)*AU50)</f>
        <v>153.73244502716895</v>
      </c>
      <c r="AW50" s="304"/>
      <c r="AX50" s="10">
        <f>+BS!T30</f>
        <v>257319.74827691971</v>
      </c>
      <c r="AY50" s="306" t="s">
        <v>111</v>
      </c>
      <c r="AZ50" s="308">
        <v>100</v>
      </c>
      <c r="BA50" s="310">
        <f>IF(AX51=0,"-",(AX50/AX51)*AZ50)</f>
        <v>149.20009250632162</v>
      </c>
      <c r="BB50" s="304"/>
      <c r="BC50" s="10">
        <f>+BS!U30</f>
        <v>295598.6160379845</v>
      </c>
      <c r="BD50" s="306" t="s">
        <v>111</v>
      </c>
      <c r="BE50" s="308">
        <v>100</v>
      </c>
      <c r="BF50" s="310">
        <f>IF(BC51=0,"-",(BC50/BC51)*BE50)</f>
        <v>166.51098171726423</v>
      </c>
      <c r="BG50" s="304"/>
      <c r="BH50" s="10">
        <f>+BS!V30</f>
        <v>222546.22597645104</v>
      </c>
      <c r="BI50" s="306" t="s">
        <v>111</v>
      </c>
      <c r="BJ50" s="308">
        <v>100</v>
      </c>
      <c r="BK50" s="310">
        <f>IF(BH51=0,"-",(BH50/BH51)*BJ50)</f>
        <v>145.06790263050777</v>
      </c>
      <c r="BL50" s="304"/>
      <c r="BM50" s="10">
        <f>+BS!W30</f>
        <v>234577.45316737451</v>
      </c>
      <c r="BN50" s="306" t="s">
        <v>111</v>
      </c>
      <c r="BO50" s="308">
        <v>100</v>
      </c>
      <c r="BP50" s="310">
        <f>IF(BM51=0,"-",(BM50/BM51)*BO50)</f>
        <v>107.73430232328285</v>
      </c>
      <c r="BQ50" s="304"/>
      <c r="BR50" s="10">
        <f>+BS!X30</f>
        <v>244113.99912658738</v>
      </c>
      <c r="BS50" s="306" t="s">
        <v>111</v>
      </c>
      <c r="BT50" s="308">
        <v>100</v>
      </c>
      <c r="BU50" s="310">
        <f>IF(BR51=0,"-",(BR50/BR51)*BT50)</f>
        <v>130.87589173450263</v>
      </c>
      <c r="BV50" s="304"/>
      <c r="BW50" s="10">
        <f>+BS!Y30</f>
        <v>304654.61628416466</v>
      </c>
      <c r="BX50" s="306" t="s">
        <v>111</v>
      </c>
      <c r="BY50" s="308">
        <v>100</v>
      </c>
      <c r="BZ50" s="310">
        <f>IF(BW51=0,"-",(BW50/BW51)*BY50)</f>
        <v>123.20120858482908</v>
      </c>
      <c r="CA50" s="304"/>
      <c r="CB50" s="10">
        <f>+BS!Z30</f>
        <v>280112.08523952396</v>
      </c>
      <c r="CC50" s="306" t="s">
        <v>111</v>
      </c>
      <c r="CD50" s="308">
        <v>100</v>
      </c>
      <c r="CE50" s="310">
        <f>IF(CB51=0,"-",(CB50/CB51)*CD50)</f>
        <v>108.32448585150694</v>
      </c>
      <c r="CF50" s="304"/>
      <c r="CG50" s="10">
        <f>+BS!AA30</f>
        <v>277587.45260241441</v>
      </c>
      <c r="CH50" s="306" t="s">
        <v>155</v>
      </c>
      <c r="CI50" s="308">
        <v>100</v>
      </c>
      <c r="CJ50" s="310">
        <f>IF(CG51=0,"-",(CG50/CG51)*CI50)</f>
        <v>90.169497964832459</v>
      </c>
      <c r="CK50" s="304"/>
      <c r="CL50" s="10">
        <f>+BS!AB30</f>
        <v>327856.84659597662</v>
      </c>
      <c r="CM50" s="306" t="s">
        <v>111</v>
      </c>
      <c r="CN50" s="308">
        <v>100</v>
      </c>
      <c r="CO50" s="310">
        <f>IF(CL51=0,"-",(CL50/CL51)*CN50)</f>
        <v>105.75241697562628</v>
      </c>
      <c r="CP50" s="304"/>
      <c r="CQ50" s="10">
        <f>+BS!AC30</f>
        <v>313694.38921268395</v>
      </c>
      <c r="CR50" s="306" t="s">
        <v>111</v>
      </c>
      <c r="CS50" s="308">
        <v>100</v>
      </c>
      <c r="CT50" s="310">
        <f>IF(CQ51=0,"-",(CQ50/CQ51)*CS50)</f>
        <v>103.70558956745082</v>
      </c>
    </row>
    <row r="51" spans="1:98" ht="18" customHeight="1" x14ac:dyDescent="0.2">
      <c r="A51" s="23"/>
      <c r="B51" s="321"/>
      <c r="C51" s="323"/>
      <c r="D51" s="305"/>
      <c r="E51" s="12">
        <f>+E9</f>
        <v>149492.23207232502</v>
      </c>
      <c r="F51" s="307"/>
      <c r="G51" s="309"/>
      <c r="H51" s="311"/>
      <c r="I51" s="305"/>
      <c r="J51" s="12">
        <f>+J9</f>
        <v>148534.21945701356</v>
      </c>
      <c r="K51" s="307"/>
      <c r="L51" s="309"/>
      <c r="M51" s="311"/>
      <c r="N51" s="305"/>
      <c r="O51" s="12">
        <f>+O9</f>
        <v>197367.00269618895</v>
      </c>
      <c r="P51" s="307"/>
      <c r="Q51" s="309"/>
      <c r="R51" s="311"/>
      <c r="S51" s="305"/>
      <c r="T51" s="12">
        <f>+T9</f>
        <v>162120.71171816153</v>
      </c>
      <c r="U51" s="307"/>
      <c r="V51" s="309"/>
      <c r="W51" s="311"/>
      <c r="X51" s="305"/>
      <c r="Y51" s="12">
        <f>+Y9</f>
        <v>166689.26005200355</v>
      </c>
      <c r="Z51" s="307"/>
      <c r="AA51" s="309"/>
      <c r="AB51" s="311"/>
      <c r="AC51" s="305"/>
      <c r="AD51" s="12">
        <f>+AD9</f>
        <v>232881.80099990391</v>
      </c>
      <c r="AE51" s="307"/>
      <c r="AF51" s="309"/>
      <c r="AG51" s="311"/>
      <c r="AH51" s="305"/>
      <c r="AI51" s="12">
        <f>+AI9</f>
        <v>304743.24012146896</v>
      </c>
      <c r="AJ51" s="307"/>
      <c r="AK51" s="309"/>
      <c r="AL51" s="311"/>
      <c r="AM51" s="305"/>
      <c r="AN51" s="12">
        <f>+AN9</f>
        <v>190694.82843783332</v>
      </c>
      <c r="AO51" s="307"/>
      <c r="AP51" s="309"/>
      <c r="AQ51" s="311"/>
      <c r="AR51" s="305"/>
      <c r="AS51" s="12">
        <f>+AS9</f>
        <v>185476.80024428348</v>
      </c>
      <c r="AT51" s="307"/>
      <c r="AU51" s="309"/>
      <c r="AV51" s="311"/>
      <c r="AW51" s="305"/>
      <c r="AX51" s="12">
        <f>+AX9</f>
        <v>172466.2122887203</v>
      </c>
      <c r="AY51" s="307"/>
      <c r="AZ51" s="309"/>
      <c r="BA51" s="311"/>
      <c r="BB51" s="305"/>
      <c r="BC51" s="12">
        <f>+BC9</f>
        <v>177524.99744425935</v>
      </c>
      <c r="BD51" s="307"/>
      <c r="BE51" s="309"/>
      <c r="BF51" s="311"/>
      <c r="BG51" s="305"/>
      <c r="BH51" s="12">
        <f>+BH9</f>
        <v>153408.31565152138</v>
      </c>
      <c r="BI51" s="307"/>
      <c r="BJ51" s="309"/>
      <c r="BK51" s="311"/>
      <c r="BL51" s="305"/>
      <c r="BM51" s="12">
        <f>+BM9</f>
        <v>217737.01421806036</v>
      </c>
      <c r="BN51" s="307"/>
      <c r="BO51" s="309"/>
      <c r="BP51" s="311"/>
      <c r="BQ51" s="305"/>
      <c r="BR51" s="12">
        <f>+BR9</f>
        <v>186523.27475391861</v>
      </c>
      <c r="BS51" s="307"/>
      <c r="BT51" s="309"/>
      <c r="BU51" s="311"/>
      <c r="BV51" s="305"/>
      <c r="BW51" s="12">
        <f>+BW9</f>
        <v>247282.16531609549</v>
      </c>
      <c r="BX51" s="307"/>
      <c r="BY51" s="309"/>
      <c r="BZ51" s="311"/>
      <c r="CA51" s="305"/>
      <c r="CB51" s="12">
        <f>+CB9</f>
        <v>258586.1202457092</v>
      </c>
      <c r="CC51" s="307"/>
      <c r="CD51" s="309"/>
      <c r="CE51" s="311"/>
      <c r="CF51" s="305"/>
      <c r="CG51" s="12">
        <f>+CG9</f>
        <v>307850.7243221848</v>
      </c>
      <c r="CH51" s="307"/>
      <c r="CI51" s="309"/>
      <c r="CJ51" s="311"/>
      <c r="CK51" s="305"/>
      <c r="CL51" s="12">
        <f>+CL9</f>
        <v>310023.02923397085</v>
      </c>
      <c r="CM51" s="307"/>
      <c r="CN51" s="309"/>
      <c r="CO51" s="311"/>
      <c r="CP51" s="305"/>
      <c r="CQ51" s="12">
        <f>+CQ9</f>
        <v>302485.51743554283</v>
      </c>
      <c r="CR51" s="307"/>
      <c r="CS51" s="309"/>
      <c r="CT51" s="311"/>
    </row>
    <row r="52" spans="1:98"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row>
    <row r="53" spans="1:98" ht="18" customHeight="1" x14ac:dyDescent="0.2">
      <c r="A53" s="17"/>
      <c r="B53" s="320" t="s">
        <v>157</v>
      </c>
      <c r="C53" s="322" t="s">
        <v>132</v>
      </c>
      <c r="D53" s="304"/>
      <c r="E53" s="10">
        <f>+BS!K15</f>
        <v>254300.096550513</v>
      </c>
      <c r="F53" s="306" t="s">
        <v>111</v>
      </c>
      <c r="G53" s="308">
        <v>100</v>
      </c>
      <c r="H53" s="310">
        <f>IF(E54=0,"-",(E53/E54)*G53)</f>
        <v>83.35872920880513</v>
      </c>
      <c r="I53" s="304"/>
      <c r="J53" s="10">
        <f>+BS!L15</f>
        <v>204618.40120663648</v>
      </c>
      <c r="K53" s="306" t="s">
        <v>111</v>
      </c>
      <c r="L53" s="308">
        <v>100</v>
      </c>
      <c r="M53" s="310">
        <f>IF(J54=0,"-",(J53/J54)*L53)</f>
        <v>72.721619835995483</v>
      </c>
      <c r="N53" s="304"/>
      <c r="O53" s="10">
        <f>+BS!M15</f>
        <v>234099.41382127907</v>
      </c>
      <c r="P53" s="306" t="s">
        <v>111</v>
      </c>
      <c r="Q53" s="308">
        <v>100</v>
      </c>
      <c r="R53" s="310">
        <f>IF(O54=0,"-",(O53/O54)*Q53)</f>
        <v>64.165319400688745</v>
      </c>
      <c r="S53" s="304"/>
      <c r="T53" s="10">
        <f>+BS!N15</f>
        <v>198558.91461630253</v>
      </c>
      <c r="U53" s="306" t="s">
        <v>111</v>
      </c>
      <c r="V53" s="308">
        <v>100</v>
      </c>
      <c r="W53" s="310">
        <f>IF(T54=0,"-",(T53/T54)*V53)</f>
        <v>71.933468093699489</v>
      </c>
      <c r="X53" s="304"/>
      <c r="Y53" s="10">
        <f>+BS!O15</f>
        <v>249668.5440295272</v>
      </c>
      <c r="Z53" s="306" t="s">
        <v>111</v>
      </c>
      <c r="AA53" s="308">
        <v>100</v>
      </c>
      <c r="AB53" s="310">
        <f>IF(Y54=0,"-",(Y53/Y54)*AA53)</f>
        <v>80.844150234206182</v>
      </c>
      <c r="AC53" s="304"/>
      <c r="AD53" s="10">
        <f>+BS!P15</f>
        <v>254202.65043246822</v>
      </c>
      <c r="AE53" s="306" t="s">
        <v>111</v>
      </c>
      <c r="AF53" s="308">
        <v>100</v>
      </c>
      <c r="AG53" s="310">
        <f>IF(AD54=0,"-",(AD53/AD54)*AF53)</f>
        <v>67.77794000985287</v>
      </c>
      <c r="AH53" s="304"/>
      <c r="AI53" s="10">
        <f>+BS!Q15</f>
        <v>302376.86072510667</v>
      </c>
      <c r="AJ53" s="306" t="s">
        <v>111</v>
      </c>
      <c r="AK53" s="308">
        <v>100</v>
      </c>
      <c r="AL53" s="310">
        <f>IF(AI54=0,"-",(AI53/AI54)*AK53)</f>
        <v>67.012320779372601</v>
      </c>
      <c r="AM53" s="304"/>
      <c r="AN53" s="10">
        <f>+BS!R15</f>
        <v>201324.24603802565</v>
      </c>
      <c r="AO53" s="306" t="s">
        <v>111</v>
      </c>
      <c r="AP53" s="308">
        <v>100</v>
      </c>
      <c r="AQ53" s="310">
        <f>IF(AN54=0,"-",(AN53/AN54)*AP53)</f>
        <v>66.256203678457368</v>
      </c>
      <c r="AR53" s="304"/>
      <c r="AS53" s="10">
        <f>+BS!S15</f>
        <v>202770.36876540253</v>
      </c>
      <c r="AT53" s="306" t="s">
        <v>111</v>
      </c>
      <c r="AU53" s="308">
        <v>100</v>
      </c>
      <c r="AV53" s="310">
        <f>IF(AS54=0,"-",(AS53/AS54)*AU53)</f>
        <v>64.874459820064573</v>
      </c>
      <c r="AW53" s="304"/>
      <c r="AX53" s="10">
        <f>+BS!T15</f>
        <v>198288.65072981827</v>
      </c>
      <c r="AY53" s="306" t="s">
        <v>111</v>
      </c>
      <c r="AZ53" s="308">
        <v>100</v>
      </c>
      <c r="BA53" s="310">
        <f>IF(AX54=0,"-",(AX53/AX54)*AZ53)</f>
        <v>69.513047204793239</v>
      </c>
      <c r="BB53" s="304"/>
      <c r="BC53" s="10">
        <f>+BS!U15</f>
        <v>231396.63570095928</v>
      </c>
      <c r="BD53" s="306" t="s">
        <v>111</v>
      </c>
      <c r="BE53" s="308">
        <v>100</v>
      </c>
      <c r="BF53" s="310">
        <f>IF(BC54=0,"-",(BC53/BC54)*BE53)</f>
        <v>73.698106271836409</v>
      </c>
      <c r="BG53" s="304"/>
      <c r="BH53" s="10">
        <f>+BS!V15</f>
        <v>165848.69248499369</v>
      </c>
      <c r="BI53" s="306" t="s">
        <v>111</v>
      </c>
      <c r="BJ53" s="308">
        <v>100</v>
      </c>
      <c r="BK53" s="310">
        <f>IF(BH54=0,"-",(BH53/BH54)*BJ53)</f>
        <v>67.909955750530003</v>
      </c>
      <c r="BL53" s="304"/>
      <c r="BM53" s="10">
        <f>+BS!W15</f>
        <v>207116.71543233399</v>
      </c>
      <c r="BN53" s="306" t="s">
        <v>111</v>
      </c>
      <c r="BO53" s="308">
        <v>100</v>
      </c>
      <c r="BP53" s="310">
        <f>IF(BM54=0,"-",(BM53/BM54)*BO53)</f>
        <v>64.445805234335879</v>
      </c>
      <c r="BQ53" s="304"/>
      <c r="BR53" s="10">
        <f>+BS!X15</f>
        <v>204751.75005008749</v>
      </c>
      <c r="BS53" s="306" t="s">
        <v>111</v>
      </c>
      <c r="BT53" s="308">
        <v>100</v>
      </c>
      <c r="BU53" s="310">
        <f>IF(BR54=0,"-",(BR53/BR54)*BT53)</f>
        <v>68.741625917187989</v>
      </c>
      <c r="BV53" s="304"/>
      <c r="BW53" s="10">
        <f>+BS!Y15</f>
        <v>257965.77457850124</v>
      </c>
      <c r="BX53" s="306" t="s">
        <v>111</v>
      </c>
      <c r="BY53" s="308">
        <v>100</v>
      </c>
      <c r="BZ53" s="310">
        <f>IF(BW54=0,"-",(BW53/BW54)*BY53)</f>
        <v>66.200251753360519</v>
      </c>
      <c r="CA53" s="304"/>
      <c r="CB53" s="10">
        <f>+BS!Z15</f>
        <v>244266.81179331985</v>
      </c>
      <c r="CC53" s="306" t="s">
        <v>111</v>
      </c>
      <c r="CD53" s="308">
        <v>100</v>
      </c>
      <c r="CE53" s="310">
        <f>IF(CB54=0,"-",(CB53/CB54)*CD53)</f>
        <v>63.732928507211561</v>
      </c>
      <c r="CF53" s="304"/>
      <c r="CG53" s="10">
        <f>+BS!AA15</f>
        <v>241581.54502275877</v>
      </c>
      <c r="CH53" s="306" t="s">
        <v>155</v>
      </c>
      <c r="CI53" s="308">
        <v>100</v>
      </c>
      <c r="CJ53" s="310">
        <f>IF(CG54=0,"-",(CG53/CG54)*CI53)</f>
        <v>56.788989851260595</v>
      </c>
      <c r="CK53" s="304"/>
      <c r="CL53" s="10">
        <f>+BS!AB15</f>
        <v>273877.75106530567</v>
      </c>
      <c r="CM53" s="306" t="s">
        <v>111</v>
      </c>
      <c r="CN53" s="308">
        <v>100</v>
      </c>
      <c r="CO53" s="310">
        <f>IF(CL54=0,"-",(CL53/CL54)*CN53)</f>
        <v>59.908391651820693</v>
      </c>
      <c r="CP53" s="304"/>
      <c r="CQ53" s="10">
        <f>+BS!AC15</f>
        <v>263180.58895584312</v>
      </c>
      <c r="CR53" s="306" t="s">
        <v>111</v>
      </c>
      <c r="CS53" s="308">
        <v>100</v>
      </c>
      <c r="CT53" s="310">
        <f>IF(CQ54=0,"-",(CQ53/CQ54)*CS53)</f>
        <v>59.975486622469788</v>
      </c>
    </row>
    <row r="54" spans="1:98" ht="18" customHeight="1" x14ac:dyDescent="0.2">
      <c r="A54" s="17"/>
      <c r="B54" s="321"/>
      <c r="C54" s="323"/>
      <c r="D54" s="305"/>
      <c r="E54" s="12">
        <f>+BS!K43+BS!K37</f>
        <v>305067.14649346098</v>
      </c>
      <c r="F54" s="307"/>
      <c r="G54" s="309"/>
      <c r="H54" s="311"/>
      <c r="I54" s="305"/>
      <c r="J54" s="12">
        <f>+BS!L43+BS!L37</f>
        <v>281372.17194570135</v>
      </c>
      <c r="K54" s="307"/>
      <c r="L54" s="309"/>
      <c r="M54" s="311"/>
      <c r="N54" s="305"/>
      <c r="O54" s="12">
        <f>+BS!M43+BS!M37</f>
        <v>364837.91557151708</v>
      </c>
      <c r="P54" s="307"/>
      <c r="Q54" s="309"/>
      <c r="R54" s="311"/>
      <c r="S54" s="305"/>
      <c r="T54" s="12">
        <f>+BS!N43+BS!N37</f>
        <v>276031.33823279949</v>
      </c>
      <c r="U54" s="307"/>
      <c r="V54" s="309"/>
      <c r="W54" s="311"/>
      <c r="X54" s="305"/>
      <c r="Y54" s="12">
        <f>+BS!O43+BS!O37</f>
        <v>308826.9754907873</v>
      </c>
      <c r="Z54" s="307"/>
      <c r="AA54" s="309"/>
      <c r="AB54" s="311"/>
      <c r="AC54" s="305"/>
      <c r="AD54" s="12">
        <f>+BS!P43+BS!P37</f>
        <v>375052.19308157614</v>
      </c>
      <c r="AE54" s="307"/>
      <c r="AF54" s="309"/>
      <c r="AG54" s="311"/>
      <c r="AH54" s="305"/>
      <c r="AI54" s="12">
        <f>+BS!Q43+BS!Q37</f>
        <v>451225.77043799806</v>
      </c>
      <c r="AJ54" s="307"/>
      <c r="AK54" s="309"/>
      <c r="AL54" s="311"/>
      <c r="AM54" s="305"/>
      <c r="AN54" s="12">
        <f>+BS!R43+BS!R37</f>
        <v>303857.20107819047</v>
      </c>
      <c r="AO54" s="307"/>
      <c r="AP54" s="309"/>
      <c r="AQ54" s="311"/>
      <c r="AR54" s="305"/>
      <c r="AS54" s="12">
        <f>+BS!S43+BS!S37</f>
        <v>312558.08422575728</v>
      </c>
      <c r="AT54" s="307"/>
      <c r="AU54" s="309"/>
      <c r="AV54" s="311"/>
      <c r="AW54" s="305"/>
      <c r="AX54" s="12">
        <f>+BS!T43+BS!T37</f>
        <v>285253.8605387815</v>
      </c>
      <c r="AY54" s="307"/>
      <c r="AZ54" s="309"/>
      <c r="BA54" s="311"/>
      <c r="BB54" s="305"/>
      <c r="BC54" s="12">
        <f>+BS!U43+BS!U37</f>
        <v>313979.07952675177</v>
      </c>
      <c r="BD54" s="307"/>
      <c r="BE54" s="309"/>
      <c r="BF54" s="311"/>
      <c r="BG54" s="305"/>
      <c r="BH54" s="12">
        <f>+BS!V43+BS!V37</f>
        <v>244218.5253282238</v>
      </c>
      <c r="BI54" s="307"/>
      <c r="BJ54" s="309"/>
      <c r="BK54" s="311"/>
      <c r="BL54" s="305"/>
      <c r="BM54" s="12">
        <f>+BS!W43+BS!W37</f>
        <v>321381.22051423287</v>
      </c>
      <c r="BN54" s="307"/>
      <c r="BO54" s="309"/>
      <c r="BP54" s="311"/>
      <c r="BQ54" s="305"/>
      <c r="BR54" s="12">
        <f>+BS!X43+BS!X37</f>
        <v>297857.00777102489</v>
      </c>
      <c r="BS54" s="307"/>
      <c r="BT54" s="309"/>
      <c r="BU54" s="311"/>
      <c r="BV54" s="305"/>
      <c r="BW54" s="12">
        <f>+BS!Y43+BS!Y37</f>
        <v>389674.91474140226</v>
      </c>
      <c r="BX54" s="307"/>
      <c r="BY54" s="309"/>
      <c r="BZ54" s="311"/>
      <c r="CA54" s="305"/>
      <c r="CB54" s="12">
        <f>+BS!Z43+BS!Z37</f>
        <v>383266.26049465209</v>
      </c>
      <c r="CC54" s="307"/>
      <c r="CD54" s="309"/>
      <c r="CE54" s="311"/>
      <c r="CF54" s="305"/>
      <c r="CG54" s="12">
        <f>+BS!AA43+BS!AA37</f>
        <v>425402.08173362352</v>
      </c>
      <c r="CH54" s="307"/>
      <c r="CI54" s="309"/>
      <c r="CJ54" s="311"/>
      <c r="CK54" s="305"/>
      <c r="CL54" s="12">
        <f>+BS!AB43+BS!AB37</f>
        <v>457160.91437914973</v>
      </c>
      <c r="CM54" s="307"/>
      <c r="CN54" s="309"/>
      <c r="CO54" s="311"/>
      <c r="CP54" s="305"/>
      <c r="CQ54" s="12">
        <f>+BS!AC43+BS!AC37</f>
        <v>438813.5949817248</v>
      </c>
      <c r="CR54" s="307"/>
      <c r="CS54" s="309"/>
      <c r="CT54" s="311"/>
    </row>
    <row r="55" spans="1:98" ht="18" customHeight="1" x14ac:dyDescent="0.2">
      <c r="A55" s="17"/>
      <c r="B55" s="320" t="s">
        <v>158</v>
      </c>
      <c r="C55" s="322" t="s">
        <v>152</v>
      </c>
      <c r="D55" s="304"/>
      <c r="E55" s="10">
        <f>+E53</f>
        <v>254300.096550513</v>
      </c>
      <c r="F55" s="306" t="s">
        <v>111</v>
      </c>
      <c r="G55" s="308">
        <v>100</v>
      </c>
      <c r="H55" s="310">
        <f>IF(E56=0,"-",(E55/E56)*G55)</f>
        <v>170.1092378013872</v>
      </c>
      <c r="I55" s="304"/>
      <c r="J55" s="10">
        <f>+J53</f>
        <v>204618.40120663648</v>
      </c>
      <c r="K55" s="306" t="s">
        <v>111</v>
      </c>
      <c r="L55" s="308">
        <v>100</v>
      </c>
      <c r="M55" s="310">
        <f>IF(J56=0,"-",(J55/J56)*L55)</f>
        <v>137.75842493039386</v>
      </c>
      <c r="N55" s="304"/>
      <c r="O55" s="10">
        <f>+O53</f>
        <v>234099.41382127907</v>
      </c>
      <c r="P55" s="306" t="s">
        <v>111</v>
      </c>
      <c r="Q55" s="308">
        <v>100</v>
      </c>
      <c r="R55" s="310">
        <f>IF(O56=0,"-",(O55/O56)*Q55)</f>
        <v>118.61122204993562</v>
      </c>
      <c r="S55" s="304"/>
      <c r="T55" s="10">
        <f>+T53</f>
        <v>198558.91461630253</v>
      </c>
      <c r="U55" s="306" t="s">
        <v>111</v>
      </c>
      <c r="V55" s="308">
        <v>100</v>
      </c>
      <c r="W55" s="310">
        <f>IF(T56=0,"-",(T55/T56)*V55)</f>
        <v>122.47597022734944</v>
      </c>
      <c r="X55" s="304"/>
      <c r="Y55" s="10">
        <f>+Y53</f>
        <v>249668.5440295272</v>
      </c>
      <c r="Z55" s="306" t="s">
        <v>111</v>
      </c>
      <c r="AA55" s="308">
        <v>100</v>
      </c>
      <c r="AB55" s="310">
        <f>IF(Y56=0,"-",(Y55/Y56)*AA55)</f>
        <v>149.78082208273997</v>
      </c>
      <c r="AC55" s="304"/>
      <c r="AD55" s="10">
        <f>+AD53</f>
        <v>254202.65043246822</v>
      </c>
      <c r="AE55" s="306" t="s">
        <v>111</v>
      </c>
      <c r="AF55" s="308">
        <v>100</v>
      </c>
      <c r="AG55" s="310">
        <f>IF(AD56=0,"-",(AD55/AD56)*AF55)</f>
        <v>109.15522352584912</v>
      </c>
      <c r="AH55" s="304"/>
      <c r="AI55" s="10">
        <f>+AI53</f>
        <v>302376.86072510667</v>
      </c>
      <c r="AJ55" s="306" t="s">
        <v>111</v>
      </c>
      <c r="AK55" s="308">
        <v>100</v>
      </c>
      <c r="AL55" s="310">
        <f>IF(AI56=0,"-",(AI55/AI56)*AK55)</f>
        <v>99.223484204138842</v>
      </c>
      <c r="AM55" s="304"/>
      <c r="AN55" s="10">
        <f>+AN53</f>
        <v>201324.24603802565</v>
      </c>
      <c r="AO55" s="306" t="s">
        <v>111</v>
      </c>
      <c r="AP55" s="308">
        <v>100</v>
      </c>
      <c r="AQ55" s="310">
        <f>IF(AN56=0,"-",(AN55/AN56)*AP55)</f>
        <v>105.57404607522302</v>
      </c>
      <c r="AR55" s="304"/>
      <c r="AS55" s="10">
        <f>+AS53</f>
        <v>202770.36876540253</v>
      </c>
      <c r="AT55" s="306" t="s">
        <v>111</v>
      </c>
      <c r="AU55" s="308">
        <v>100</v>
      </c>
      <c r="AV55" s="310">
        <f>IF(AS56=0,"-",(AS55/AS56)*AU55)</f>
        <v>109.32384454462361</v>
      </c>
      <c r="AW55" s="304"/>
      <c r="AX55" s="10">
        <f>+AX53</f>
        <v>198288.65072981827</v>
      </c>
      <c r="AY55" s="306" t="s">
        <v>111</v>
      </c>
      <c r="AZ55" s="308">
        <v>100</v>
      </c>
      <c r="BA55" s="310">
        <f>IF(AX56=0,"-",(AX55/AX56)*AZ55)</f>
        <v>114.97246219907086</v>
      </c>
      <c r="BB55" s="304"/>
      <c r="BC55" s="10">
        <f>+BC53</f>
        <v>231396.63570095928</v>
      </c>
      <c r="BD55" s="306" t="s">
        <v>111</v>
      </c>
      <c r="BE55" s="308">
        <v>100</v>
      </c>
      <c r="BF55" s="310">
        <f>IF(BC56=0,"-",(BC55/BC56)*BE55)</f>
        <v>130.34594509633212</v>
      </c>
      <c r="BG55" s="304"/>
      <c r="BH55" s="10">
        <f>+BH53</f>
        <v>165848.69248499369</v>
      </c>
      <c r="BI55" s="306" t="s">
        <v>111</v>
      </c>
      <c r="BJ55" s="308">
        <v>100</v>
      </c>
      <c r="BK55" s="310">
        <f>IF(BH56=0,"-",(BH55/BH56)*BJ55)</f>
        <v>108.10932365735087</v>
      </c>
      <c r="BL55" s="304"/>
      <c r="BM55" s="10">
        <f>+BM53</f>
        <v>207116.71543233399</v>
      </c>
      <c r="BN55" s="306" t="s">
        <v>111</v>
      </c>
      <c r="BO55" s="308">
        <v>100</v>
      </c>
      <c r="BP55" s="310">
        <f>IF(BM56=0,"-",(BM55/BM56)*BO55)</f>
        <v>95.122419206552408</v>
      </c>
      <c r="BQ55" s="304"/>
      <c r="BR55" s="10">
        <f>+BR53</f>
        <v>204751.75005008749</v>
      </c>
      <c r="BS55" s="306" t="s">
        <v>111</v>
      </c>
      <c r="BT55" s="308">
        <v>100</v>
      </c>
      <c r="BU55" s="310">
        <f>IF(BR56=0,"-",(BR55/BR56)*BT55)</f>
        <v>109.77276177475321</v>
      </c>
      <c r="BV55" s="304"/>
      <c r="BW55" s="10">
        <f>+BW53</f>
        <v>257965.77457850124</v>
      </c>
      <c r="BX55" s="306" t="s">
        <v>111</v>
      </c>
      <c r="BY55" s="308">
        <v>100</v>
      </c>
      <c r="BZ55" s="310">
        <f>IF(BW56=0,"-",(BW55/BW56)*BY55)</f>
        <v>104.32041237132856</v>
      </c>
      <c r="CA55" s="304"/>
      <c r="CB55" s="10">
        <f>+CB53</f>
        <v>244266.81179331985</v>
      </c>
      <c r="CC55" s="306" t="s">
        <v>111</v>
      </c>
      <c r="CD55" s="308">
        <v>100</v>
      </c>
      <c r="CE55" s="310">
        <f>IF(CB56=0,"-",(CB55/CB56)*CD55)</f>
        <v>94.46246053779565</v>
      </c>
      <c r="CF55" s="304"/>
      <c r="CG55" s="10">
        <f>+CG53</f>
        <v>241581.54502275877</v>
      </c>
      <c r="CH55" s="306" t="s">
        <v>111</v>
      </c>
      <c r="CI55" s="308">
        <v>100</v>
      </c>
      <c r="CJ55" s="310">
        <f>IF(CG56=0,"-",(CG55/CG56)*CI55)</f>
        <v>78.473599682009763</v>
      </c>
      <c r="CK55" s="304"/>
      <c r="CL55" s="10">
        <f>+CL53</f>
        <v>273877.75106530567</v>
      </c>
      <c r="CM55" s="306" t="s">
        <v>111</v>
      </c>
      <c r="CN55" s="308">
        <v>100</v>
      </c>
      <c r="CO55" s="310">
        <f>IF(CL56=0,"-",(CL55/CL56)*CN55)</f>
        <v>88.341098963526747</v>
      </c>
      <c r="CP55" s="304"/>
      <c r="CQ55" s="10">
        <f>+CQ53</f>
        <v>263180.58895584312</v>
      </c>
      <c r="CR55" s="306" t="s">
        <v>111</v>
      </c>
      <c r="CS55" s="308">
        <v>100</v>
      </c>
      <c r="CT55" s="310">
        <f>IF(CQ56=0,"-",(CQ55/CQ56)*CS55)</f>
        <v>87.006013110007729</v>
      </c>
    </row>
    <row r="56" spans="1:98" ht="18" customHeight="1" x14ac:dyDescent="0.2">
      <c r="A56" s="17"/>
      <c r="B56" s="321"/>
      <c r="C56" s="323"/>
      <c r="D56" s="305"/>
      <c r="E56" s="12">
        <f>+E9</f>
        <v>149492.23207232502</v>
      </c>
      <c r="F56" s="307"/>
      <c r="G56" s="309"/>
      <c r="H56" s="311"/>
      <c r="I56" s="305"/>
      <c r="J56" s="12">
        <f>+J9</f>
        <v>148534.21945701356</v>
      </c>
      <c r="K56" s="307"/>
      <c r="L56" s="309"/>
      <c r="M56" s="311"/>
      <c r="N56" s="305"/>
      <c r="O56" s="12">
        <f>+O9</f>
        <v>197367.00269618895</v>
      </c>
      <c r="P56" s="307"/>
      <c r="Q56" s="309"/>
      <c r="R56" s="311"/>
      <c r="S56" s="305"/>
      <c r="T56" s="12">
        <f>+T9</f>
        <v>162120.71171816153</v>
      </c>
      <c r="U56" s="307"/>
      <c r="V56" s="309"/>
      <c r="W56" s="311"/>
      <c r="X56" s="305"/>
      <c r="Y56" s="12">
        <f>+Y9</f>
        <v>166689.26005200355</v>
      </c>
      <c r="Z56" s="307"/>
      <c r="AA56" s="309"/>
      <c r="AB56" s="311"/>
      <c r="AC56" s="305"/>
      <c r="AD56" s="12">
        <f>+AD9</f>
        <v>232881.80099990391</v>
      </c>
      <c r="AE56" s="307"/>
      <c r="AF56" s="309"/>
      <c r="AG56" s="311"/>
      <c r="AH56" s="305"/>
      <c r="AI56" s="12">
        <f>+AI9</f>
        <v>304743.24012146896</v>
      </c>
      <c r="AJ56" s="307"/>
      <c r="AK56" s="309"/>
      <c r="AL56" s="311"/>
      <c r="AM56" s="305"/>
      <c r="AN56" s="12">
        <f>+AN9</f>
        <v>190694.82843783332</v>
      </c>
      <c r="AO56" s="307"/>
      <c r="AP56" s="309"/>
      <c r="AQ56" s="311"/>
      <c r="AR56" s="305"/>
      <c r="AS56" s="12">
        <f>+AS9</f>
        <v>185476.80024428348</v>
      </c>
      <c r="AT56" s="307"/>
      <c r="AU56" s="309"/>
      <c r="AV56" s="311"/>
      <c r="AW56" s="305"/>
      <c r="AX56" s="12">
        <f>+AX9</f>
        <v>172466.2122887203</v>
      </c>
      <c r="AY56" s="307"/>
      <c r="AZ56" s="309"/>
      <c r="BA56" s="311"/>
      <c r="BB56" s="305"/>
      <c r="BC56" s="12">
        <f>+BC9</f>
        <v>177524.99744425935</v>
      </c>
      <c r="BD56" s="307"/>
      <c r="BE56" s="309"/>
      <c r="BF56" s="311"/>
      <c r="BG56" s="305"/>
      <c r="BH56" s="12">
        <f>+BH9</f>
        <v>153408.31565152138</v>
      </c>
      <c r="BI56" s="307"/>
      <c r="BJ56" s="309"/>
      <c r="BK56" s="311"/>
      <c r="BL56" s="305"/>
      <c r="BM56" s="12">
        <f>+BM9</f>
        <v>217737.01421806036</v>
      </c>
      <c r="BN56" s="307"/>
      <c r="BO56" s="309"/>
      <c r="BP56" s="311"/>
      <c r="BQ56" s="305"/>
      <c r="BR56" s="12">
        <f>+BR9</f>
        <v>186523.27475391861</v>
      </c>
      <c r="BS56" s="307"/>
      <c r="BT56" s="309"/>
      <c r="BU56" s="311"/>
      <c r="BV56" s="305"/>
      <c r="BW56" s="12">
        <f>+BW9</f>
        <v>247282.16531609549</v>
      </c>
      <c r="BX56" s="307"/>
      <c r="BY56" s="309"/>
      <c r="BZ56" s="311"/>
      <c r="CA56" s="305"/>
      <c r="CB56" s="12">
        <f>+CB9</f>
        <v>258586.1202457092</v>
      </c>
      <c r="CC56" s="307"/>
      <c r="CD56" s="309"/>
      <c r="CE56" s="311"/>
      <c r="CF56" s="305"/>
      <c r="CG56" s="12">
        <f>+CG9</f>
        <v>307850.7243221848</v>
      </c>
      <c r="CH56" s="307"/>
      <c r="CI56" s="309"/>
      <c r="CJ56" s="311"/>
      <c r="CK56" s="305"/>
      <c r="CL56" s="12">
        <f>+CL9</f>
        <v>310023.02923397085</v>
      </c>
      <c r="CM56" s="307"/>
      <c r="CN56" s="309"/>
      <c r="CO56" s="311"/>
      <c r="CP56" s="305"/>
      <c r="CQ56" s="12">
        <f>+CQ9</f>
        <v>302485.51743554283</v>
      </c>
      <c r="CR56" s="307"/>
      <c r="CS56" s="309"/>
      <c r="CT56" s="311"/>
    </row>
    <row r="57" spans="1:98"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row>
    <row r="58" spans="1:98" ht="18" customHeight="1" x14ac:dyDescent="0.2">
      <c r="A58" s="20"/>
      <c r="B58" s="320" t="s">
        <v>160</v>
      </c>
      <c r="C58" s="322" t="s">
        <v>161</v>
      </c>
      <c r="D58" s="330"/>
      <c r="E58" s="331"/>
      <c r="F58" s="331"/>
      <c r="G58" s="331"/>
      <c r="H58" s="332"/>
      <c r="I58" s="304"/>
      <c r="J58" s="10">
        <f>+J12-E12</f>
        <v>-44682.891681589943</v>
      </c>
      <c r="K58" s="306" t="s">
        <v>111</v>
      </c>
      <c r="L58" s="308">
        <v>100</v>
      </c>
      <c r="M58" s="310">
        <f>IF(J59=0,"-",(J58/J59)*L58)</f>
        <v>-9.3759966614020698</v>
      </c>
      <c r="N58" s="304"/>
      <c r="O58" s="10">
        <f>+O12-J12</f>
        <v>38393.00283130107</v>
      </c>
      <c r="P58" s="306" t="s">
        <v>111</v>
      </c>
      <c r="Q58" s="308">
        <v>100</v>
      </c>
      <c r="R58" s="310">
        <f>IF(O59=0,"-",(O58/O59)*Q58)</f>
        <v>8.8896571270825486</v>
      </c>
      <c r="S58" s="304"/>
      <c r="T58" s="10">
        <f>+T12-O12</f>
        <v>-87959.851341380563</v>
      </c>
      <c r="U58" s="306" t="s">
        <v>111</v>
      </c>
      <c r="V58" s="308">
        <v>100</v>
      </c>
      <c r="W58" s="310">
        <f>IF(T59=0,"-",(T58/T59)*V58)</f>
        <v>-18.70384031837408</v>
      </c>
      <c r="X58" s="304"/>
      <c r="Y58" s="10">
        <f>+Y12-T12</f>
        <v>62399.907181390794</v>
      </c>
      <c r="Z58" s="306" t="s">
        <v>111</v>
      </c>
      <c r="AA58" s="308">
        <v>100</v>
      </c>
      <c r="AB58" s="310">
        <f>IF(Y59=0,"-",(Y58/Y59)*AA58)</f>
        <v>16.321505378563742</v>
      </c>
      <c r="AC58" s="304"/>
      <c r="AD58" s="10">
        <f>+AD12-Y12</f>
        <v>21311.257400327537</v>
      </c>
      <c r="AE58" s="306" t="s">
        <v>111</v>
      </c>
      <c r="AF58" s="308">
        <v>100</v>
      </c>
      <c r="AG58" s="310">
        <f>IF(AD59=0,"-",(AD58/AD59)*AF58)</f>
        <v>4.7920940105667196</v>
      </c>
      <c r="AH58" s="304"/>
      <c r="AI58" s="10">
        <f>+AI12-AD12</f>
        <v>105034.67398388142</v>
      </c>
      <c r="AJ58" s="306" t="s">
        <v>162</v>
      </c>
      <c r="AK58" s="308">
        <v>100</v>
      </c>
      <c r="AL58" s="310">
        <f>IF(AI59=0,"-",(AI58/AI59)*AK58)</f>
        <v>22.538262245007481</v>
      </c>
      <c r="AM58" s="304"/>
      <c r="AN58" s="10">
        <f>+AN12-AI12</f>
        <v>-190350.65094963409</v>
      </c>
      <c r="AO58" s="306" t="s">
        <v>162</v>
      </c>
      <c r="AP58" s="308">
        <v>100</v>
      </c>
      <c r="AQ58" s="310">
        <f>IF(AN59=0,"-",(AN58/AN59)*AP58)</f>
        <v>-33.332691681247958</v>
      </c>
      <c r="AR58" s="304"/>
      <c r="AS58" s="10">
        <f>+AS12-AN12</f>
        <v>100928.80136653536</v>
      </c>
      <c r="AT58" s="306" t="s">
        <v>111</v>
      </c>
      <c r="AU58" s="308">
        <v>100</v>
      </c>
      <c r="AV58" s="310">
        <f>IF(AS59=0,"-",(AS58/AS59)*AU58)</f>
        <v>26.510517993546145</v>
      </c>
      <c r="AW58" s="304"/>
      <c r="AX58" s="10">
        <f>+AX12-AS12</f>
        <v>-82493.604873261065</v>
      </c>
      <c r="AY58" s="306" t="s">
        <v>111</v>
      </c>
      <c r="AZ58" s="308">
        <v>100</v>
      </c>
      <c r="BA58" s="310">
        <f>IF(AX59=0,"-",(AX58/AX59)*AZ58)</f>
        <v>-17.127609243103379</v>
      </c>
      <c r="BB58" s="304"/>
      <c r="BC58" s="10">
        <f>+BC12-AX12</f>
        <v>67171.204130106315</v>
      </c>
      <c r="BD58" s="306" t="s">
        <v>111</v>
      </c>
      <c r="BE58" s="308">
        <v>100</v>
      </c>
      <c r="BF58" s="310">
        <f>IF(BC59=0,"-",(BC58/BC59)*BE58)</f>
        <v>16.828667504396396</v>
      </c>
      <c r="BG58" s="304"/>
      <c r="BH58" s="10">
        <f>+BH12-BC12</f>
        <v>-64388.316102870856</v>
      </c>
      <c r="BI58" s="306" t="s">
        <v>111</v>
      </c>
      <c r="BJ58" s="308">
        <v>100</v>
      </c>
      <c r="BK58" s="310">
        <f>IF(BH59=0,"-",(BH58/BH59)*BJ58)</f>
        <v>-13.807792130333796</v>
      </c>
      <c r="BL58" s="304"/>
      <c r="BM58" s="10">
        <f>+BM12-BH12</f>
        <v>19022.276576715754</v>
      </c>
      <c r="BN58" s="306" t="s">
        <v>111</v>
      </c>
      <c r="BO58" s="308">
        <v>100</v>
      </c>
      <c r="BP58" s="310">
        <f>IF(BM59=0,"-",(BM58/BM59)*BO58)</f>
        <v>4.7327292397780996</v>
      </c>
      <c r="BQ58" s="304"/>
      <c r="BR58" s="10">
        <f>+BR12-BM12</f>
        <v>12764.204399789742</v>
      </c>
      <c r="BS58" s="306" t="s">
        <v>111</v>
      </c>
      <c r="BT58" s="308">
        <v>100</v>
      </c>
      <c r="BU58" s="310">
        <f>IF(BR59=0,"-",(BR58/BR59)*BT58)</f>
        <v>3.0322185230806502</v>
      </c>
      <c r="BV58" s="304"/>
      <c r="BW58" s="10">
        <f>+BW12-BR12</f>
        <v>176876.41567765939</v>
      </c>
      <c r="BX58" s="306" t="s">
        <v>111</v>
      </c>
      <c r="BY58" s="308">
        <v>100</v>
      </c>
      <c r="BZ58" s="310">
        <f>IF(BW59=0,"-",(BW58/BW59)*BY58)</f>
        <v>40.781540204257155</v>
      </c>
      <c r="CA58" s="304"/>
      <c r="CB58" s="10">
        <f>+CB12-BW12</f>
        <v>-113350.62413136265</v>
      </c>
      <c r="CC58" s="306" t="s">
        <v>111</v>
      </c>
      <c r="CD58" s="308">
        <v>100</v>
      </c>
      <c r="CE58" s="310">
        <f>IF(CB59=0,"-",(CB58/CB59)*CD58)</f>
        <v>-18.564014480093842</v>
      </c>
      <c r="CF58" s="304"/>
      <c r="CG58" s="10">
        <f>+CG12-CB12</f>
        <v>12585.353392029821</v>
      </c>
      <c r="CH58" s="306" t="s">
        <v>155</v>
      </c>
      <c r="CI58" s="308">
        <v>100</v>
      </c>
      <c r="CJ58" s="310">
        <f>IF(CG59=0,"-",(CG58/CG59)*CI58)</f>
        <v>2.5310285330822953</v>
      </c>
      <c r="CK58" s="304"/>
      <c r="CL58" s="10">
        <f>+CL12-CG12</f>
        <v>42834.771487037709</v>
      </c>
      <c r="CM58" s="306" t="s">
        <v>111</v>
      </c>
      <c r="CN58" s="308">
        <v>100</v>
      </c>
      <c r="CO58" s="310">
        <f>IF(CL59=0,"-",(CL58/CL59)*CN58)</f>
        <v>8.4018082692672547</v>
      </c>
      <c r="CP58" s="304"/>
      <c r="CQ58" s="10">
        <f>+CQ12-CL12</f>
        <v>-3709.5780745899538</v>
      </c>
      <c r="CR58" s="306" t="s">
        <v>111</v>
      </c>
      <c r="CS58" s="308">
        <v>100</v>
      </c>
      <c r="CT58" s="310">
        <f>IF(CQ59=0,"-",(CQ58/CQ59)*CS58)</f>
        <v>-0.67121909274539227</v>
      </c>
    </row>
    <row r="59" spans="1:98" ht="18" customHeight="1" x14ac:dyDescent="0.2">
      <c r="A59" s="20"/>
      <c r="B59" s="321"/>
      <c r="C59" s="323"/>
      <c r="D59" s="333"/>
      <c r="E59" s="334"/>
      <c r="F59" s="334"/>
      <c r="G59" s="334"/>
      <c r="H59" s="335"/>
      <c r="I59" s="305"/>
      <c r="J59" s="12">
        <f>+E12</f>
        <v>476566.84718686901</v>
      </c>
      <c r="K59" s="307"/>
      <c r="L59" s="309"/>
      <c r="M59" s="311"/>
      <c r="N59" s="305"/>
      <c r="O59" s="12">
        <f>+J12</f>
        <v>431883.95550527907</v>
      </c>
      <c r="P59" s="307"/>
      <c r="Q59" s="309"/>
      <c r="R59" s="311"/>
      <c r="S59" s="305"/>
      <c r="T59" s="12">
        <f>+O12</f>
        <v>470276.95833658014</v>
      </c>
      <c r="U59" s="307"/>
      <c r="V59" s="309"/>
      <c r="W59" s="311"/>
      <c r="X59" s="305"/>
      <c r="Y59" s="12">
        <f>+T12</f>
        <v>382317.10699519957</v>
      </c>
      <c r="Z59" s="307"/>
      <c r="AA59" s="309"/>
      <c r="AB59" s="311"/>
      <c r="AC59" s="305"/>
      <c r="AD59" s="12">
        <f>+Y12</f>
        <v>444717.01417659037</v>
      </c>
      <c r="AE59" s="307"/>
      <c r="AF59" s="309"/>
      <c r="AG59" s="311"/>
      <c r="AH59" s="305"/>
      <c r="AI59" s="12">
        <f>+AD12</f>
        <v>466028.2715769179</v>
      </c>
      <c r="AJ59" s="307"/>
      <c r="AK59" s="309"/>
      <c r="AL59" s="311"/>
      <c r="AM59" s="305"/>
      <c r="AN59" s="12">
        <f>+AI12</f>
        <v>571062.94556079933</v>
      </c>
      <c r="AO59" s="307"/>
      <c r="AP59" s="309"/>
      <c r="AQ59" s="311"/>
      <c r="AR59" s="305"/>
      <c r="AS59" s="12">
        <f>+AN12</f>
        <v>380712.29461116524</v>
      </c>
      <c r="AT59" s="307"/>
      <c r="AU59" s="309"/>
      <c r="AV59" s="311"/>
      <c r="AW59" s="305"/>
      <c r="AX59" s="12">
        <f>+AS12</f>
        <v>481641.09597770061</v>
      </c>
      <c r="AY59" s="307"/>
      <c r="AZ59" s="309"/>
      <c r="BA59" s="311"/>
      <c r="BB59" s="305"/>
      <c r="BC59" s="12">
        <f>+AX12</f>
        <v>399147.49110443954</v>
      </c>
      <c r="BD59" s="307"/>
      <c r="BE59" s="309"/>
      <c r="BF59" s="311"/>
      <c r="BG59" s="305"/>
      <c r="BH59" s="12">
        <f>+BC12</f>
        <v>466318.69523454586</v>
      </c>
      <c r="BI59" s="307"/>
      <c r="BJ59" s="309"/>
      <c r="BK59" s="311"/>
      <c r="BL59" s="305"/>
      <c r="BM59" s="12">
        <f>+BH12</f>
        <v>401930.379131675</v>
      </c>
      <c r="BN59" s="307"/>
      <c r="BO59" s="309"/>
      <c r="BP59" s="311"/>
      <c r="BQ59" s="305"/>
      <c r="BR59" s="12">
        <f>+BM12</f>
        <v>420952.65570839075</v>
      </c>
      <c r="BS59" s="307"/>
      <c r="BT59" s="309"/>
      <c r="BU59" s="311"/>
      <c r="BV59" s="305"/>
      <c r="BW59" s="12">
        <f>+BR12</f>
        <v>433716.8601081805</v>
      </c>
      <c r="BX59" s="307"/>
      <c r="BY59" s="309"/>
      <c r="BZ59" s="311"/>
      <c r="CA59" s="305"/>
      <c r="CB59" s="12">
        <f>+BW12</f>
        <v>610593.27578583988</v>
      </c>
      <c r="CC59" s="307"/>
      <c r="CD59" s="309"/>
      <c r="CE59" s="311"/>
      <c r="CF59" s="305"/>
      <c r="CG59" s="12">
        <f>+CB12</f>
        <v>497242.65165447723</v>
      </c>
      <c r="CH59" s="307"/>
      <c r="CI59" s="309"/>
      <c r="CJ59" s="311"/>
      <c r="CK59" s="305"/>
      <c r="CL59" s="12">
        <f>+CG12</f>
        <v>509828.00504650705</v>
      </c>
      <c r="CM59" s="307"/>
      <c r="CN59" s="309"/>
      <c r="CO59" s="311"/>
      <c r="CP59" s="305"/>
      <c r="CQ59" s="12">
        <f>+CL12</f>
        <v>552662.77653354476</v>
      </c>
      <c r="CR59" s="307"/>
      <c r="CS59" s="309"/>
      <c r="CT59" s="311"/>
    </row>
    <row r="60" spans="1:98" ht="18" customHeight="1" x14ac:dyDescent="0.2">
      <c r="A60" s="20"/>
      <c r="B60" s="320" t="s">
        <v>163</v>
      </c>
      <c r="C60" s="322" t="s">
        <v>164</v>
      </c>
      <c r="D60" s="330"/>
      <c r="E60" s="331"/>
      <c r="F60" s="331"/>
      <c r="G60" s="331"/>
      <c r="H60" s="332"/>
      <c r="I60" s="304"/>
      <c r="J60" s="10">
        <f>+J15-E15</f>
        <v>3020.3043585150044</v>
      </c>
      <c r="K60" s="306" t="s">
        <v>111</v>
      </c>
      <c r="L60" s="308">
        <v>100</v>
      </c>
      <c r="M60" s="310">
        <f>IF(J61=0,"-",(J60/J61)*L60)</f>
        <v>22.087506618044355</v>
      </c>
      <c r="N60" s="304"/>
      <c r="O60" s="10">
        <f>+O15-J15</f>
        <v>-7615.4993928821787</v>
      </c>
      <c r="P60" s="306" t="s">
        <v>111</v>
      </c>
      <c r="Q60" s="308">
        <v>100</v>
      </c>
      <c r="R60" s="310">
        <f>IF(O61=0,"-",(O60/O61)*Q60)</f>
        <v>-45.616624632794725</v>
      </c>
      <c r="S60" s="304"/>
      <c r="T60" s="10">
        <f>+T15-O15</f>
        <v>-5996.7939403847613</v>
      </c>
      <c r="U60" s="306" t="s">
        <v>111</v>
      </c>
      <c r="V60" s="308">
        <v>100</v>
      </c>
      <c r="W60" s="310">
        <f>IF(T61=0,"-",(T60/T61)*V60)</f>
        <v>-66.0507458331885</v>
      </c>
      <c r="X60" s="304"/>
      <c r="Y60" s="10">
        <f>+Y15-T15</f>
        <v>3783.3329124088309</v>
      </c>
      <c r="Z60" s="306" t="s">
        <v>111</v>
      </c>
      <c r="AA60" s="308">
        <v>100</v>
      </c>
      <c r="AB60" s="310">
        <f>IF(Y61=0,"-",(Y60/Y61)*AA60)</f>
        <v>122.74474860159125</v>
      </c>
      <c r="AC60" s="304"/>
      <c r="AD60" s="10">
        <f>+AD15-Y15</f>
        <v>-5496.4711254372742</v>
      </c>
      <c r="AE60" s="306" t="s">
        <v>111</v>
      </c>
      <c r="AF60" s="308">
        <v>100</v>
      </c>
      <c r="AG60" s="310">
        <f>IF(AD61=0,"-",(AD60/AD61)*AF60)</f>
        <v>-80.058018933378037</v>
      </c>
      <c r="AH60" s="304"/>
      <c r="AI60" s="10">
        <f>+AI15-AD15</f>
        <v>1333.7111002977888</v>
      </c>
      <c r="AJ60" s="306" t="s">
        <v>111</v>
      </c>
      <c r="AK60" s="308">
        <v>100</v>
      </c>
      <c r="AL60" s="310">
        <f>IF(AI61=0,"-",(AI60/AI61)*AK60)</f>
        <v>97.412424905236705</v>
      </c>
      <c r="AM60" s="304"/>
      <c r="AN60" s="10">
        <f>+AN15-AI15</f>
        <v>3531.346343931707</v>
      </c>
      <c r="AO60" s="306" t="s">
        <v>111</v>
      </c>
      <c r="AP60" s="308">
        <v>100</v>
      </c>
      <c r="AQ60" s="310">
        <f>IF(AN61=0,"-",(AN60/AN61)*AP60)</f>
        <v>130.65270915082337</v>
      </c>
      <c r="AR60" s="304"/>
      <c r="AS60" s="10">
        <f>+AS15-AN15</f>
        <v>28.463767215640473</v>
      </c>
      <c r="AT60" s="306" t="s">
        <v>111</v>
      </c>
      <c r="AU60" s="308">
        <v>100</v>
      </c>
      <c r="AV60" s="310">
        <f>IF(AS61=0,"-",(AS60/AS61)*AU60)</f>
        <v>0.45657478625732667</v>
      </c>
      <c r="AW60" s="304"/>
      <c r="AX60" s="10">
        <f>+AX15-AN15</f>
        <v>7498.4763255952594</v>
      </c>
      <c r="AY60" s="306" t="s">
        <v>111</v>
      </c>
      <c r="AZ60" s="308">
        <v>100</v>
      </c>
      <c r="BA60" s="310">
        <f>IF(AX61=0,"-",(AX60/AX61)*AZ60)</f>
        <v>120.27976478577465</v>
      </c>
      <c r="BB60" s="304"/>
      <c r="BC60" s="10">
        <f>+BC15-AX15</f>
        <v>5492.9741325953037</v>
      </c>
      <c r="BD60" s="306" t="s">
        <v>111</v>
      </c>
      <c r="BE60" s="308">
        <v>100</v>
      </c>
      <c r="BF60" s="310">
        <f>IF(BC61=0,"-",(BC60/BC61)*BE60)</f>
        <v>39.999309594574115</v>
      </c>
      <c r="BG60" s="304"/>
      <c r="BH60" s="10">
        <f>+BH15-BC15</f>
        <v>-2449.2989632342214</v>
      </c>
      <c r="BI60" s="306" t="s">
        <v>111</v>
      </c>
      <c r="BJ60" s="308">
        <v>100</v>
      </c>
      <c r="BK60" s="310">
        <f>IF(BH61=0,"-",(BH60/BH61)*BJ60)</f>
        <v>-12.739748253822308</v>
      </c>
      <c r="BL60" s="304"/>
      <c r="BM60" s="10">
        <f>+BM15-BH15</f>
        <v>-1775.4342256319142</v>
      </c>
      <c r="BN60" s="306" t="s">
        <v>111</v>
      </c>
      <c r="BO60" s="308">
        <v>100</v>
      </c>
      <c r="BP60" s="310">
        <f>IF(BM61=0,"-",(BM60/BM61)*BO60)</f>
        <v>-10.582960460262674</v>
      </c>
      <c r="BQ60" s="304"/>
      <c r="BR60" s="10">
        <f>+BR15-BM15</f>
        <v>6975.4399277386183</v>
      </c>
      <c r="BS60" s="306" t="s">
        <v>111</v>
      </c>
      <c r="BT60" s="308">
        <v>100</v>
      </c>
      <c r="BU60" s="310">
        <f>IF(BR61=0,"-",(BR60/BR61)*BT60)</f>
        <v>46.500101606088364</v>
      </c>
      <c r="BV60" s="304"/>
      <c r="BW60" s="10">
        <f>+BW15-BR15</f>
        <v>12889.506169524328</v>
      </c>
      <c r="BX60" s="306" t="s">
        <v>111</v>
      </c>
      <c r="BY60" s="308">
        <v>100</v>
      </c>
      <c r="BZ60" s="310">
        <f>IF(BW61=0,"-",(BW60/BW61)*BY60)</f>
        <v>58.651706378165535</v>
      </c>
      <c r="CA60" s="304"/>
      <c r="CB60" s="10">
        <f>+CB15-BW15</f>
        <v>-8492.4641942665075</v>
      </c>
      <c r="CC60" s="306" t="s">
        <v>111</v>
      </c>
      <c r="CD60" s="308">
        <v>100</v>
      </c>
      <c r="CE60" s="310">
        <f>IF(CB61=0,"-",(CB60/CB61)*CD60)</f>
        <v>-24.357535825436177</v>
      </c>
      <c r="CF60" s="304"/>
      <c r="CG60" s="10">
        <f>+CG15-CB15</f>
        <v>6336.5858943348503</v>
      </c>
      <c r="CH60" s="306" t="s">
        <v>111</v>
      </c>
      <c r="CI60" s="308">
        <v>100</v>
      </c>
      <c r="CJ60" s="310">
        <f>IF(CG61=0,"-",(CG60/CG61)*CI60)</f>
        <v>24.026432110238442</v>
      </c>
      <c r="CK60" s="304"/>
      <c r="CL60" s="10">
        <f>+CL15-CG15</f>
        <v>-1592.2868183029386</v>
      </c>
      <c r="CM60" s="306" t="s">
        <v>111</v>
      </c>
      <c r="CN60" s="308">
        <v>100</v>
      </c>
      <c r="CO60" s="310">
        <f>IF(CL61=0,"-",(CL60/CL61)*CN60)</f>
        <v>-4.8678928105114725</v>
      </c>
      <c r="CP60" s="304"/>
      <c r="CQ60" s="10">
        <f>+CQ15-CL15</f>
        <v>-2474.7627400005003</v>
      </c>
      <c r="CR60" s="306" t="s">
        <v>111</v>
      </c>
      <c r="CS60" s="308">
        <v>100</v>
      </c>
      <c r="CT60" s="310">
        <f>IF(CQ61=0,"-",(CQ60/CQ61)*CS60)</f>
        <v>-7.9529116700312876</v>
      </c>
    </row>
    <row r="61" spans="1:98" ht="18" customHeight="1" x14ac:dyDescent="0.2">
      <c r="A61" s="20"/>
      <c r="B61" s="321"/>
      <c r="C61" s="323"/>
      <c r="D61" s="333"/>
      <c r="E61" s="334"/>
      <c r="F61" s="334"/>
      <c r="G61" s="334"/>
      <c r="H61" s="335"/>
      <c r="I61" s="305"/>
      <c r="J61" s="12">
        <f>+E15</f>
        <v>13674.265777231602</v>
      </c>
      <c r="K61" s="307"/>
      <c r="L61" s="309"/>
      <c r="M61" s="311"/>
      <c r="N61" s="305"/>
      <c r="O61" s="12">
        <f>+J15</f>
        <v>16694.570135746606</v>
      </c>
      <c r="P61" s="307"/>
      <c r="Q61" s="309"/>
      <c r="R61" s="311"/>
      <c r="S61" s="305"/>
      <c r="T61" s="12">
        <f>+O15</f>
        <v>9079.0707428644273</v>
      </c>
      <c r="U61" s="307"/>
      <c r="V61" s="309"/>
      <c r="W61" s="311"/>
      <c r="X61" s="305"/>
      <c r="Y61" s="12">
        <f>+T15</f>
        <v>3082.2768024796655</v>
      </c>
      <c r="Z61" s="307"/>
      <c r="AA61" s="309"/>
      <c r="AB61" s="311"/>
      <c r="AC61" s="305"/>
      <c r="AD61" s="12">
        <f>+Y15</f>
        <v>6865.6097148884965</v>
      </c>
      <c r="AE61" s="307"/>
      <c r="AF61" s="309"/>
      <c r="AG61" s="311"/>
      <c r="AH61" s="305"/>
      <c r="AI61" s="12">
        <f>+AD15</f>
        <v>1369.1385894512221</v>
      </c>
      <c r="AJ61" s="307"/>
      <c r="AK61" s="309"/>
      <c r="AL61" s="311"/>
      <c r="AM61" s="305"/>
      <c r="AN61" s="12">
        <f>+AI15</f>
        <v>2702.8496897490108</v>
      </c>
      <c r="AO61" s="307"/>
      <c r="AP61" s="309"/>
      <c r="AQ61" s="311"/>
      <c r="AR61" s="305"/>
      <c r="AS61" s="12">
        <f>+AN15</f>
        <v>6234.1960336807178</v>
      </c>
      <c r="AT61" s="307"/>
      <c r="AU61" s="309"/>
      <c r="AV61" s="311"/>
      <c r="AW61" s="305"/>
      <c r="AX61" s="12">
        <f>+AN15</f>
        <v>6234.1960336807178</v>
      </c>
      <c r="AY61" s="307"/>
      <c r="AZ61" s="309"/>
      <c r="BA61" s="311"/>
      <c r="BB61" s="305"/>
      <c r="BC61" s="12">
        <f>+AX15</f>
        <v>13732.672359275977</v>
      </c>
      <c r="BD61" s="307"/>
      <c r="BE61" s="309"/>
      <c r="BF61" s="311"/>
      <c r="BG61" s="305"/>
      <c r="BH61" s="12">
        <f>+BC15</f>
        <v>19225.646491871281</v>
      </c>
      <c r="BI61" s="307"/>
      <c r="BJ61" s="309"/>
      <c r="BK61" s="311"/>
      <c r="BL61" s="305"/>
      <c r="BM61" s="12">
        <f>+BH15</f>
        <v>16776.347528637059</v>
      </c>
      <c r="BN61" s="307"/>
      <c r="BO61" s="309"/>
      <c r="BP61" s="311"/>
      <c r="BQ61" s="305"/>
      <c r="BR61" s="12">
        <f>+BM15</f>
        <v>15000.913303005145</v>
      </c>
      <c r="BS61" s="307"/>
      <c r="BT61" s="309"/>
      <c r="BU61" s="311"/>
      <c r="BV61" s="305"/>
      <c r="BW61" s="12">
        <f>+BR15</f>
        <v>21976.353230743764</v>
      </c>
      <c r="BX61" s="307"/>
      <c r="BY61" s="309"/>
      <c r="BZ61" s="311"/>
      <c r="CA61" s="305"/>
      <c r="CB61" s="12">
        <f>+BW15</f>
        <v>34865.859400268091</v>
      </c>
      <c r="CC61" s="307"/>
      <c r="CD61" s="309"/>
      <c r="CE61" s="311"/>
      <c r="CF61" s="305"/>
      <c r="CG61" s="12">
        <f>+CB15</f>
        <v>26373.395206001584</v>
      </c>
      <c r="CH61" s="307"/>
      <c r="CI61" s="309"/>
      <c r="CJ61" s="311"/>
      <c r="CK61" s="305"/>
      <c r="CL61" s="12">
        <f>+CG15</f>
        <v>32709.981100336434</v>
      </c>
      <c r="CM61" s="307"/>
      <c r="CN61" s="309"/>
      <c r="CO61" s="311"/>
      <c r="CP61" s="305"/>
      <c r="CQ61" s="12">
        <f>+CL15</f>
        <v>31117.694282033495</v>
      </c>
      <c r="CR61" s="307"/>
      <c r="CS61" s="309"/>
      <c r="CT61" s="311"/>
    </row>
    <row r="62" spans="1:98" ht="18" customHeight="1" x14ac:dyDescent="0.2">
      <c r="A62" s="20"/>
      <c r="B62" s="320" t="s">
        <v>165</v>
      </c>
      <c r="C62" s="322" t="s">
        <v>149</v>
      </c>
      <c r="D62" s="330"/>
      <c r="E62" s="331"/>
      <c r="F62" s="331"/>
      <c r="G62" s="331"/>
      <c r="H62" s="332"/>
      <c r="I62" s="304"/>
      <c r="J62" s="10">
        <f>+J19-E19</f>
        <v>-13710.034168661354</v>
      </c>
      <c r="K62" s="306" t="s">
        <v>111</v>
      </c>
      <c r="L62" s="308">
        <v>100</v>
      </c>
      <c r="M62" s="310">
        <f>IF(J63=0,"-",(J62/J63)*L62)</f>
        <v>-13.772065034003186</v>
      </c>
      <c r="N62" s="304"/>
      <c r="O62" s="10">
        <f>+O19-J19</f>
        <v>21744.882415216693</v>
      </c>
      <c r="P62" s="306" t="s">
        <v>111</v>
      </c>
      <c r="Q62" s="308">
        <v>100</v>
      </c>
      <c r="R62" s="310">
        <f>IF(O63=0,"-",(O62/O63)*Q62)</f>
        <v>25.33200737334186</v>
      </c>
      <c r="S62" s="304"/>
      <c r="T62" s="10">
        <f>+T19-O19</f>
        <v>-28040.835300368708</v>
      </c>
      <c r="U62" s="306" t="s">
        <v>111</v>
      </c>
      <c r="V62" s="308">
        <v>100</v>
      </c>
      <c r="W62" s="310">
        <f>IF(T63=0,"-",(T62/T63)*V62)</f>
        <v>-26.064025578706367</v>
      </c>
      <c r="X62" s="304"/>
      <c r="Y62" s="10">
        <f>+Y19-T19</f>
        <v>2278.3206284494081</v>
      </c>
      <c r="Z62" s="306" t="s">
        <v>111</v>
      </c>
      <c r="AA62" s="308">
        <v>100</v>
      </c>
      <c r="AB62" s="310">
        <f>IF(Y63=0,"-",(Y62/Y63)*AA62)</f>
        <v>2.8642412040227225</v>
      </c>
      <c r="AC62" s="304"/>
      <c r="AD62" s="10">
        <f>+AD19-Y19</f>
        <v>5176.1483383560408</v>
      </c>
      <c r="AE62" s="306" t="s">
        <v>111</v>
      </c>
      <c r="AF62" s="308">
        <v>100</v>
      </c>
      <c r="AG62" s="310">
        <f>IF(AD63=0,"-",(AD62/AD63)*AF62)</f>
        <v>6.3261142753339632</v>
      </c>
      <c r="AH62" s="304"/>
      <c r="AI62" s="10">
        <f>+AI19-AD19</f>
        <v>11477.778121027412</v>
      </c>
      <c r="AJ62" s="306" t="s">
        <v>150</v>
      </c>
      <c r="AK62" s="308">
        <v>100</v>
      </c>
      <c r="AL62" s="310">
        <f>IF(AI63=0,"-",(AI62/AI63)*AK62)</f>
        <v>13.193140918365941</v>
      </c>
      <c r="AM62" s="304"/>
      <c r="AN62" s="10">
        <f>+AN19-AI19</f>
        <v>-26632.149636487185</v>
      </c>
      <c r="AO62" s="306" t="s">
        <v>150</v>
      </c>
      <c r="AP62" s="308">
        <v>100</v>
      </c>
      <c r="AQ62" s="310">
        <f>IF(AN63=0,"-",(AN62/AN63)*AP62)</f>
        <v>-27.044346241073459</v>
      </c>
      <c r="AR62" s="304"/>
      <c r="AS62" s="10">
        <f>+AS19-AN19</f>
        <v>12675.638383655823</v>
      </c>
      <c r="AT62" s="306" t="s">
        <v>111</v>
      </c>
      <c r="AU62" s="308">
        <v>100</v>
      </c>
      <c r="AV62" s="310">
        <f>IF(AS63=0,"-",(AS62/AS63)*AU62)</f>
        <v>17.643354185377181</v>
      </c>
      <c r="AW62" s="304"/>
      <c r="AX62" s="10">
        <f>+AX19-AS19</f>
        <v>-5244.2525386977504</v>
      </c>
      <c r="AY62" s="306" t="s">
        <v>111</v>
      </c>
      <c r="AZ62" s="308">
        <v>100</v>
      </c>
      <c r="BA62" s="310">
        <f>IF(AX63=0,"-",(AX62/AX63)*AZ62)</f>
        <v>-6.2047960415094057</v>
      </c>
      <c r="BB62" s="304"/>
      <c r="BC62" s="10">
        <f>+BC19-AX19</f>
        <v>950.79284504908719</v>
      </c>
      <c r="BD62" s="306" t="s">
        <v>111</v>
      </c>
      <c r="BE62" s="308">
        <v>100</v>
      </c>
      <c r="BF62" s="310">
        <f>IF(BC63=0,"-",(BC62/BC63)*BE62)</f>
        <v>1.1993589656633687</v>
      </c>
      <c r="BG62" s="304"/>
      <c r="BH62" s="10">
        <f>+BH19-BC19</f>
        <v>-18464.827834926626</v>
      </c>
      <c r="BI62" s="306" t="s">
        <v>111</v>
      </c>
      <c r="BJ62" s="308">
        <v>100</v>
      </c>
      <c r="BK62" s="310">
        <f>IF(BH63=0,"-",(BH62/BH63)*BJ62)</f>
        <v>-23.016049464499559</v>
      </c>
      <c r="BL62" s="304"/>
      <c r="BM62" s="10">
        <f>+BM19-BH19</f>
        <v>15600.66434257989</v>
      </c>
      <c r="BN62" s="306" t="s">
        <v>111</v>
      </c>
      <c r="BO62" s="308">
        <v>100</v>
      </c>
      <c r="BP62" s="310">
        <f>IF(BM63=0,"-",(BM62/BM63)*BO62)</f>
        <v>25.259713400002994</v>
      </c>
      <c r="BQ62" s="304"/>
      <c r="BR62" s="10">
        <f>+BR19-BM19</f>
        <v>3040.9620747773442</v>
      </c>
      <c r="BS62" s="306" t="s">
        <v>111</v>
      </c>
      <c r="BT62" s="308">
        <v>100</v>
      </c>
      <c r="BU62" s="310">
        <f>IF(BR63=0,"-",(BR62/BR63)*BT62)</f>
        <v>3.9308359205645211</v>
      </c>
      <c r="BV62" s="304"/>
      <c r="BW62" s="10">
        <f>+BW19-BR19</f>
        <v>39836.318860242784</v>
      </c>
      <c r="BX62" s="306" t="s">
        <v>111</v>
      </c>
      <c r="BY62" s="308">
        <v>100</v>
      </c>
      <c r="BZ62" s="310">
        <f>IF(BW63=0,"-",(BW62/BW63)*BY62)</f>
        <v>49.546010655887699</v>
      </c>
      <c r="CA62" s="304"/>
      <c r="CB62" s="10">
        <f>+CB19-BW19</f>
        <v>-21260.705721100574</v>
      </c>
      <c r="CC62" s="306" t="s">
        <v>111</v>
      </c>
      <c r="CD62" s="308">
        <v>100</v>
      </c>
      <c r="CE62" s="310">
        <f>IF(CB63=0,"-",(CB62/CB63)*CD62)</f>
        <v>-17.682038666566495</v>
      </c>
      <c r="CF62" s="304"/>
      <c r="CG62" s="10">
        <f>+CG19-CB19</f>
        <v>-1330.8767117434763</v>
      </c>
      <c r="CH62" s="306" t="s">
        <v>150</v>
      </c>
      <c r="CI62" s="308">
        <v>100</v>
      </c>
      <c r="CJ62" s="310">
        <f>IF(CG63=0,"-",(CG62/CG63)*CI62)</f>
        <v>-1.3446147749496467</v>
      </c>
      <c r="CK62" s="304"/>
      <c r="CL62" s="10">
        <f>+CL19-CG19</f>
        <v>11074.2420176179</v>
      </c>
      <c r="CM62" s="306" t="s">
        <v>111</v>
      </c>
      <c r="CN62" s="308">
        <v>100</v>
      </c>
      <c r="CO62" s="310">
        <f>IF(CL63=0,"-",(CL62/CL63)*CN62)</f>
        <v>11.341050050614559</v>
      </c>
      <c r="CP62" s="304"/>
      <c r="CQ62" s="10">
        <f>+CQ19-CL19</f>
        <v>-5468.0216310151009</v>
      </c>
      <c r="CR62" s="306" t="s">
        <v>111</v>
      </c>
      <c r="CS62" s="308">
        <v>100</v>
      </c>
      <c r="CT62" s="310">
        <f>IF(CQ63=0,"-",(CQ62/CQ63)*CS62)</f>
        <v>-5.0293767272898364</v>
      </c>
    </row>
    <row r="63" spans="1:98" ht="18" customHeight="1" x14ac:dyDescent="0.2">
      <c r="A63" s="20"/>
      <c r="B63" s="321"/>
      <c r="C63" s="323"/>
      <c r="D63" s="333"/>
      <c r="E63" s="334"/>
      <c r="F63" s="334"/>
      <c r="G63" s="334"/>
      <c r="H63" s="335"/>
      <c r="I63" s="305"/>
      <c r="J63" s="12">
        <f>+E19</f>
        <v>99549.589221451693</v>
      </c>
      <c r="K63" s="307"/>
      <c r="L63" s="309"/>
      <c r="M63" s="311"/>
      <c r="N63" s="305"/>
      <c r="O63" s="12">
        <f>+J19</f>
        <v>85839.55505279034</v>
      </c>
      <c r="P63" s="307"/>
      <c r="Q63" s="309"/>
      <c r="R63" s="311"/>
      <c r="S63" s="305"/>
      <c r="T63" s="12">
        <f>+O19</f>
        <v>107584.43746800703</v>
      </c>
      <c r="U63" s="307"/>
      <c r="V63" s="309"/>
      <c r="W63" s="311"/>
      <c r="X63" s="305"/>
      <c r="Y63" s="12">
        <f>+T19</f>
        <v>79543.602167638324</v>
      </c>
      <c r="Z63" s="307"/>
      <c r="AA63" s="309"/>
      <c r="AB63" s="311"/>
      <c r="AC63" s="305"/>
      <c r="AD63" s="12">
        <f>+Y19</f>
        <v>81821.922796087732</v>
      </c>
      <c r="AE63" s="307"/>
      <c r="AF63" s="309"/>
      <c r="AG63" s="311"/>
      <c r="AH63" s="305"/>
      <c r="AI63" s="12">
        <f>+AD19</f>
        <v>86998.071134443773</v>
      </c>
      <c r="AJ63" s="307"/>
      <c r="AK63" s="309"/>
      <c r="AL63" s="311"/>
      <c r="AM63" s="305"/>
      <c r="AN63" s="12">
        <f>+AI19</f>
        <v>98475.849255471185</v>
      </c>
      <c r="AO63" s="307"/>
      <c r="AP63" s="309"/>
      <c r="AQ63" s="311"/>
      <c r="AR63" s="305"/>
      <c r="AS63" s="12">
        <f>+AN19</f>
        <v>71843.699618983999</v>
      </c>
      <c r="AT63" s="307"/>
      <c r="AU63" s="309"/>
      <c r="AV63" s="311"/>
      <c r="AW63" s="305"/>
      <c r="AX63" s="12">
        <f>+AS19</f>
        <v>84519.338002639823</v>
      </c>
      <c r="AY63" s="307"/>
      <c r="AZ63" s="309"/>
      <c r="BA63" s="311"/>
      <c r="BB63" s="305"/>
      <c r="BC63" s="12">
        <f>+AX19</f>
        <v>79275.085463942072</v>
      </c>
      <c r="BD63" s="307"/>
      <c r="BE63" s="309"/>
      <c r="BF63" s="311"/>
      <c r="BG63" s="305"/>
      <c r="BH63" s="12">
        <f>+BC19</f>
        <v>80225.878308991159</v>
      </c>
      <c r="BI63" s="307"/>
      <c r="BJ63" s="309"/>
      <c r="BK63" s="311"/>
      <c r="BL63" s="305"/>
      <c r="BM63" s="12">
        <f>+BH19</f>
        <v>61761.050474064534</v>
      </c>
      <c r="BN63" s="307"/>
      <c r="BO63" s="309"/>
      <c r="BP63" s="311"/>
      <c r="BQ63" s="305"/>
      <c r="BR63" s="12">
        <f>+BM19</f>
        <v>77361.714816644424</v>
      </c>
      <c r="BS63" s="307"/>
      <c r="BT63" s="309"/>
      <c r="BU63" s="311"/>
      <c r="BV63" s="305"/>
      <c r="BW63" s="12">
        <f>+BR19</f>
        <v>80402.676891421768</v>
      </c>
      <c r="BX63" s="307"/>
      <c r="BY63" s="309"/>
      <c r="BZ63" s="311"/>
      <c r="CA63" s="305"/>
      <c r="CB63" s="12">
        <f>+BW19</f>
        <v>120238.99575166455</v>
      </c>
      <c r="CC63" s="307"/>
      <c r="CD63" s="309"/>
      <c r="CE63" s="311"/>
      <c r="CF63" s="305"/>
      <c r="CG63" s="12">
        <f>+CB19</f>
        <v>98978.290030563978</v>
      </c>
      <c r="CH63" s="307"/>
      <c r="CI63" s="309"/>
      <c r="CJ63" s="311"/>
      <c r="CK63" s="305"/>
      <c r="CL63" s="12">
        <f>+CG19</f>
        <v>97647.413318820501</v>
      </c>
      <c r="CM63" s="307"/>
      <c r="CN63" s="309"/>
      <c r="CO63" s="311"/>
      <c r="CP63" s="305"/>
      <c r="CQ63" s="12">
        <f>+CL19</f>
        <v>108721.6553364384</v>
      </c>
      <c r="CR63" s="307"/>
      <c r="CS63" s="309"/>
      <c r="CT63" s="311"/>
    </row>
    <row r="64" spans="1:98" ht="18" customHeight="1" x14ac:dyDescent="0.2">
      <c r="A64" s="20"/>
      <c r="B64" s="320" t="s">
        <v>166</v>
      </c>
      <c r="C64" s="322" t="s">
        <v>167</v>
      </c>
      <c r="D64" s="330"/>
      <c r="E64" s="331"/>
      <c r="F64" s="331"/>
      <c r="G64" s="331"/>
      <c r="H64" s="332"/>
      <c r="I64" s="304"/>
      <c r="J64" s="237">
        <f>+BS!L5-BS!K5</f>
        <v>-1.8942642302787647</v>
      </c>
      <c r="K64" s="306" t="s">
        <v>111</v>
      </c>
      <c r="L64" s="308">
        <v>100</v>
      </c>
      <c r="M64" s="310">
        <f>IF(J65=0,"-",(J64/J65)*L64)</f>
        <v>-8.8735464724172246</v>
      </c>
      <c r="N64" s="304"/>
      <c r="O64" s="237">
        <f>+BS!M5-BS!L5</f>
        <v>3.2949775701526782</v>
      </c>
      <c r="P64" s="306" t="s">
        <v>111</v>
      </c>
      <c r="Q64" s="308">
        <v>100</v>
      </c>
      <c r="R64" s="310">
        <f>IF(O65=0,"-",(O64/O65)*Q64)</f>
        <v>16.938098869042932</v>
      </c>
      <c r="S64" s="304"/>
      <c r="T64" s="237">
        <f>+BS!N5-BS!M5</f>
        <v>-0.89962030074988064</v>
      </c>
      <c r="U64" s="306" t="s">
        <v>111</v>
      </c>
      <c r="V64" s="308">
        <v>100</v>
      </c>
      <c r="W64" s="310">
        <f>IF(T65=0,"-",(T64/T65)*V64)</f>
        <v>-3.9547170759152213</v>
      </c>
      <c r="X64" s="304"/>
      <c r="Y64" s="237">
        <f>+BS!O5-BS!N5</f>
        <v>-1.6429522051815688</v>
      </c>
      <c r="Z64" s="306" t="s">
        <v>111</v>
      </c>
      <c r="AA64" s="308">
        <v>100</v>
      </c>
      <c r="AB64" s="310">
        <f>IF(Y65=0,"-",(Y64/Y65)*AA64)</f>
        <v>-7.5197787265436231</v>
      </c>
      <c r="AC64" s="304"/>
      <c r="AD64" s="237">
        <f>+BS!P5-BS!O5</f>
        <v>-5.3280970162905561E-2</v>
      </c>
      <c r="AE64" s="306" t="s">
        <v>111</v>
      </c>
      <c r="AF64" s="308">
        <v>100</v>
      </c>
      <c r="AG64" s="310">
        <f>IF(AD65=0,"-",(AD64/AD65)*AF64)</f>
        <v>-0.26369591112010199</v>
      </c>
      <c r="AH64" s="304"/>
      <c r="AI64" s="237">
        <f>+BS!Q5-BS!P5</f>
        <v>2.6695584264670948</v>
      </c>
      <c r="AJ64" s="306" t="s">
        <v>168</v>
      </c>
      <c r="AK64" s="308">
        <v>100</v>
      </c>
      <c r="AL64" s="310">
        <f>IF(AI65=0,"-",(AI64/AI65)*AK64)</f>
        <v>13.246996798291603</v>
      </c>
      <c r="AM64" s="304"/>
      <c r="AN64" s="237">
        <f>+BS!R5-BS!Q5</f>
        <v>-2.9677839679819122</v>
      </c>
      <c r="AO64" s="306" t="s">
        <v>168</v>
      </c>
      <c r="AP64" s="308">
        <v>100</v>
      </c>
      <c r="AQ64" s="310">
        <f>IF(AN65=0,"-",(AN64/AN65)*AP64)</f>
        <v>-13.004198547628828</v>
      </c>
      <c r="AR64" s="304"/>
      <c r="AS64" s="237">
        <f>+BS!S5-BS!R5</f>
        <v>3.287852423377732</v>
      </c>
      <c r="AT64" s="306" t="s">
        <v>111</v>
      </c>
      <c r="AU64" s="308">
        <v>100</v>
      </c>
      <c r="AV64" s="310">
        <f>IF(AS65=0,"-",(AS64/AS65)*AU64)</f>
        <v>16.56019054755296</v>
      </c>
      <c r="AW64" s="304"/>
      <c r="AX64" s="237">
        <f>+BS!T5-BS!S5</f>
        <v>-3.2836849137801352</v>
      </c>
      <c r="AY64" s="306" t="s">
        <v>111</v>
      </c>
      <c r="AZ64" s="308">
        <v>100</v>
      </c>
      <c r="BA64" s="310">
        <f>IF(AX65=0,"-",(AX64/AX65)*AZ64)</f>
        <v>-14.189406897263046</v>
      </c>
      <c r="BB64" s="304"/>
      <c r="BC64" s="237">
        <f>+BS!U5-BS!T5</f>
        <v>0.21476153187542835</v>
      </c>
      <c r="BD64" s="306" t="s">
        <v>111</v>
      </c>
      <c r="BE64" s="308">
        <v>100</v>
      </c>
      <c r="BF64" s="310">
        <f>IF(BC65=0,"-",(BC64/BC65)*BE64)</f>
        <v>1.0814796565517113</v>
      </c>
      <c r="BG64" s="304"/>
      <c r="BH64" s="237">
        <f>+BS!V5-BS!U5</f>
        <v>-2.4546184400665609</v>
      </c>
      <c r="BI64" s="306" t="s">
        <v>111</v>
      </c>
      <c r="BJ64" s="308">
        <v>100</v>
      </c>
      <c r="BK64" s="310">
        <f>IF(BH65=0,"-",(BH64/BH65)*BJ64)</f>
        <v>-12.228530278775015</v>
      </c>
      <c r="BL64" s="304"/>
      <c r="BM64" s="237">
        <f>+BS!W5-BS!V5</f>
        <v>1.88270020926036</v>
      </c>
      <c r="BN64" s="306" t="s">
        <v>111</v>
      </c>
      <c r="BO64" s="308">
        <v>100</v>
      </c>
      <c r="BP64" s="310">
        <f>IF(BM65=0,"-",(BM64/BM65)*BO64)</f>
        <v>10.686071384540019</v>
      </c>
      <c r="BQ64" s="304"/>
      <c r="BR64" s="237">
        <f>+BS!X5-BS!W5</f>
        <v>0.45119387061708949</v>
      </c>
      <c r="BS64" s="306" t="s">
        <v>111</v>
      </c>
      <c r="BT64" s="308">
        <v>100</v>
      </c>
      <c r="BU64" s="310">
        <f>IF(BR65=0,"-",(BR64/BR65)*BT64)</f>
        <v>2.313700381380126</v>
      </c>
      <c r="BV64" s="304"/>
      <c r="BW64" s="237">
        <f>+BS!Y5-BS!X5</f>
        <v>5.51379940477646</v>
      </c>
      <c r="BX64" s="306" t="s">
        <v>111</v>
      </c>
      <c r="BY64" s="308">
        <v>100</v>
      </c>
      <c r="BZ64" s="310">
        <f>IF(BW65=0,"-",(BW64/BW65)*BY64)</f>
        <v>27.635103601218841</v>
      </c>
      <c r="CA64" s="304"/>
      <c r="CB64" s="237">
        <f>+BS!Z5-BS!Y5</f>
        <v>-1.7001574943698259</v>
      </c>
      <c r="CC64" s="306" t="s">
        <v>111</v>
      </c>
      <c r="CD64" s="308">
        <v>100</v>
      </c>
      <c r="CE64" s="310">
        <f>IF(CB65=0,"-",(CB64/CB65)*CD64)</f>
        <v>-6.6761971621933505</v>
      </c>
      <c r="CF64" s="304"/>
      <c r="CG64" s="237">
        <f>+BS!AA5-BS!Z5</f>
        <v>-2.4325320769553542</v>
      </c>
      <c r="CH64" s="306" t="s">
        <v>169</v>
      </c>
      <c r="CI64" s="308">
        <v>100</v>
      </c>
      <c r="CJ64" s="310">
        <f>IF(CG65=0,"-",(CG64/CG65)*CI64)</f>
        <v>-10.235431308768645</v>
      </c>
      <c r="CK64" s="304"/>
      <c r="CL64" s="237">
        <f>+BS!AB5-BS!AA5</f>
        <v>1.1047467060240628</v>
      </c>
      <c r="CM64" s="306" t="s">
        <v>111</v>
      </c>
      <c r="CN64" s="308">
        <v>100</v>
      </c>
      <c r="CO64" s="310">
        <f>IF(CL65=0,"-",(CL64/CL65)*CN64)</f>
        <v>5.1785161976117973</v>
      </c>
      <c r="CP64" s="304"/>
      <c r="CQ64" s="237">
        <f>+BS!AC5-BS!AB5</f>
        <v>0.8366080756394112</v>
      </c>
      <c r="CR64" s="306" t="s">
        <v>111</v>
      </c>
      <c r="CS64" s="308">
        <v>100</v>
      </c>
      <c r="CT64" s="310">
        <f>IF(CQ65=0,"-",(CQ64/CQ65)*CS64)</f>
        <v>3.7285299534838923</v>
      </c>
    </row>
    <row r="65" spans="1:98" ht="18" customHeight="1" x14ac:dyDescent="0.2">
      <c r="A65" s="20"/>
      <c r="B65" s="321"/>
      <c r="C65" s="323"/>
      <c r="D65" s="333"/>
      <c r="E65" s="334"/>
      <c r="F65" s="334"/>
      <c r="G65" s="334"/>
      <c r="H65" s="335"/>
      <c r="I65" s="305"/>
      <c r="J65" s="238">
        <f>+BS!K5</f>
        <v>21.347318528921299</v>
      </c>
      <c r="K65" s="307"/>
      <c r="L65" s="309"/>
      <c r="M65" s="311"/>
      <c r="N65" s="305"/>
      <c r="O65" s="238">
        <f>+BS!L5</f>
        <v>19.453054298642535</v>
      </c>
      <c r="P65" s="307"/>
      <c r="Q65" s="309"/>
      <c r="R65" s="311"/>
      <c r="S65" s="305"/>
      <c r="T65" s="238">
        <f>+BS!M5</f>
        <v>22.748031868795213</v>
      </c>
      <c r="U65" s="307"/>
      <c r="V65" s="309"/>
      <c r="W65" s="311"/>
      <c r="X65" s="305"/>
      <c r="Y65" s="238">
        <f>+BS!N5</f>
        <v>21.848411568045332</v>
      </c>
      <c r="Z65" s="307"/>
      <c r="AA65" s="309"/>
      <c r="AB65" s="311"/>
      <c r="AC65" s="305"/>
      <c r="AD65" s="238">
        <f>+BS!O5</f>
        <v>20.205459362863763</v>
      </c>
      <c r="AE65" s="307"/>
      <c r="AF65" s="309"/>
      <c r="AG65" s="311"/>
      <c r="AH65" s="305"/>
      <c r="AI65" s="238">
        <f>+BS!P5</f>
        <v>20.152178392700858</v>
      </c>
      <c r="AJ65" s="307"/>
      <c r="AK65" s="309"/>
      <c r="AL65" s="311"/>
      <c r="AM65" s="305"/>
      <c r="AN65" s="238">
        <f>+BS!Q5</f>
        <v>22.821736819167953</v>
      </c>
      <c r="AO65" s="307"/>
      <c r="AP65" s="309"/>
      <c r="AQ65" s="311"/>
      <c r="AR65" s="305"/>
      <c r="AS65" s="238">
        <f>+BS!R5</f>
        <v>19.85395285118604</v>
      </c>
      <c r="AT65" s="307"/>
      <c r="AU65" s="309"/>
      <c r="AV65" s="311"/>
      <c r="AW65" s="305"/>
      <c r="AX65" s="238">
        <f>+BS!S5</f>
        <v>23.141805274563772</v>
      </c>
      <c r="AY65" s="307"/>
      <c r="AZ65" s="309"/>
      <c r="BA65" s="311"/>
      <c r="BB65" s="305"/>
      <c r="BC65" s="238">
        <f>+BS!T5</f>
        <v>19.858120360783637</v>
      </c>
      <c r="BD65" s="307"/>
      <c r="BE65" s="309"/>
      <c r="BF65" s="311"/>
      <c r="BG65" s="305"/>
      <c r="BH65" s="238">
        <f>+BS!U5</f>
        <v>20.072881892659066</v>
      </c>
      <c r="BI65" s="307"/>
      <c r="BJ65" s="309"/>
      <c r="BK65" s="311"/>
      <c r="BL65" s="305"/>
      <c r="BM65" s="238">
        <f>+BS!V5</f>
        <v>17.618263452592505</v>
      </c>
      <c r="BN65" s="307"/>
      <c r="BO65" s="309"/>
      <c r="BP65" s="311"/>
      <c r="BQ65" s="305"/>
      <c r="BR65" s="238">
        <f>+BS!W5</f>
        <v>19.500963661852865</v>
      </c>
      <c r="BS65" s="307"/>
      <c r="BT65" s="309"/>
      <c r="BU65" s="311"/>
      <c r="BV65" s="305"/>
      <c r="BW65" s="238">
        <f>+BS!X5</f>
        <v>19.952157532469954</v>
      </c>
      <c r="BX65" s="307"/>
      <c r="BY65" s="309"/>
      <c r="BZ65" s="311"/>
      <c r="CA65" s="305"/>
      <c r="CB65" s="238">
        <f>+BS!Y5</f>
        <v>25.465956937246414</v>
      </c>
      <c r="CC65" s="307"/>
      <c r="CD65" s="309"/>
      <c r="CE65" s="311"/>
      <c r="CF65" s="305"/>
      <c r="CG65" s="238">
        <f>+BS!Z5</f>
        <v>23.765799442876588</v>
      </c>
      <c r="CH65" s="307"/>
      <c r="CI65" s="309"/>
      <c r="CJ65" s="311"/>
      <c r="CK65" s="305"/>
      <c r="CL65" s="238">
        <f>+BS!AA5</f>
        <v>21.333267365921234</v>
      </c>
      <c r="CM65" s="307"/>
      <c r="CN65" s="309"/>
      <c r="CO65" s="311"/>
      <c r="CP65" s="305"/>
      <c r="CQ65" s="238">
        <f>+BS!AB5</f>
        <v>22.438014071945297</v>
      </c>
      <c r="CR65" s="307"/>
      <c r="CS65" s="309"/>
      <c r="CT65" s="311"/>
    </row>
    <row r="66" spans="1:98" ht="18" customHeight="1" x14ac:dyDescent="0.2">
      <c r="A66" s="20"/>
      <c r="B66" s="320" t="s">
        <v>303</v>
      </c>
      <c r="C66" s="322" t="s">
        <v>149</v>
      </c>
      <c r="D66" s="330"/>
      <c r="E66" s="331"/>
      <c r="F66" s="331"/>
      <c r="G66" s="331"/>
      <c r="H66" s="332"/>
      <c r="I66" s="304"/>
      <c r="J66" s="10">
        <f>+J7-E7</f>
        <v>-82281.570639415935</v>
      </c>
      <c r="K66" s="306" t="s">
        <v>111</v>
      </c>
      <c r="L66" s="308">
        <v>100</v>
      </c>
      <c r="M66" s="310">
        <f>IF(J67=0,"-",(J66/J67)*L66)</f>
        <v>-15.430358490099541</v>
      </c>
      <c r="N66" s="304"/>
      <c r="O66" s="10">
        <f>+O7-J7</f>
        <v>128891.98045443039</v>
      </c>
      <c r="P66" s="306" t="s">
        <v>111</v>
      </c>
      <c r="Q66" s="308">
        <v>100</v>
      </c>
      <c r="R66" s="310">
        <f>IF(O67=0,"-",(O66/O67)*Q66)</f>
        <v>28.581488979628556</v>
      </c>
      <c r="S66" s="304"/>
      <c r="T66" s="10">
        <f>+T7-O7</f>
        <v>-144010.12861719524</v>
      </c>
      <c r="U66" s="306" t="s">
        <v>111</v>
      </c>
      <c r="V66" s="308">
        <v>100</v>
      </c>
      <c r="W66" s="310">
        <f>IF(T67=0,"-",(T66/T67)*V66)</f>
        <v>-24.835536202493401</v>
      </c>
      <c r="X66" s="304"/>
      <c r="Y66" s="10">
        <f>+Y7-T7</f>
        <v>19788.194417406339</v>
      </c>
      <c r="Z66" s="306" t="s">
        <v>111</v>
      </c>
      <c r="AA66" s="308">
        <v>100</v>
      </c>
      <c r="AB66" s="310">
        <f>IF(Y67=0,"-",(Y66/Y67)*AA66)</f>
        <v>4.5401908342289987</v>
      </c>
      <c r="AC66" s="304"/>
      <c r="AD66" s="10">
        <f>+AD7-Y7</f>
        <v>57794.233890019765</v>
      </c>
      <c r="AE66" s="306" t="s">
        <v>111</v>
      </c>
      <c r="AF66" s="308">
        <v>100</v>
      </c>
      <c r="AG66" s="310">
        <f>IF(AD67=0,"-",(AD66/AD67)*AF66)</f>
        <v>12.684377587813344</v>
      </c>
      <c r="AH66" s="304"/>
      <c r="AI66" s="10">
        <f>+AI7-AD7</f>
        <v>119518.71695406665</v>
      </c>
      <c r="AJ66" s="306" t="s">
        <v>150</v>
      </c>
      <c r="AK66" s="308">
        <v>100</v>
      </c>
      <c r="AL66" s="310">
        <f>IF(AI67=0,"-",(AI66/AI67)*AK66)</f>
        <v>23.278600251158508</v>
      </c>
      <c r="AM66" s="304"/>
      <c r="AN66" s="10">
        <f>+AN7-AI7</f>
        <v>-180065.09570737998</v>
      </c>
      <c r="AO66" s="306" t="s">
        <v>150</v>
      </c>
      <c r="AP66" s="308">
        <v>100</v>
      </c>
      <c r="AQ66" s="310">
        <f>IF(AN67=0,"-",(AN66/AN67)*AP66)</f>
        <v>-28.448723337024074</v>
      </c>
      <c r="AR66" s="304"/>
      <c r="AS66" s="10">
        <f>+AS7-AN7</f>
        <v>17733.777800989395</v>
      </c>
      <c r="AT66" s="306" t="s">
        <v>111</v>
      </c>
      <c r="AU66" s="308">
        <v>100</v>
      </c>
      <c r="AV66" s="310">
        <f>IF(AS67=0,"-",(AS66/AS67)*AU66)</f>
        <v>3.9157695156206311</v>
      </c>
      <c r="AW66" s="304"/>
      <c r="AX66" s="10">
        <f>+AX7-AS7</f>
        <v>-40828.859652338375</v>
      </c>
      <c r="AY66" s="306" t="s">
        <v>111</v>
      </c>
      <c r="AZ66" s="308">
        <v>100</v>
      </c>
      <c r="BA66" s="310">
        <f>IF(AX67=0,"-",(AX66/AX67)*AZ66)</f>
        <v>-8.6756425633658019</v>
      </c>
      <c r="BB66" s="304"/>
      <c r="BC66" s="10">
        <f>+BC7-AX7</f>
        <v>43337.652916603838</v>
      </c>
      <c r="BD66" s="306" t="s">
        <v>111</v>
      </c>
      <c r="BE66" s="308">
        <v>100</v>
      </c>
      <c r="BF66" s="310">
        <f>IF(BC67=0,"-",(BC66/BC67)*BE66)</f>
        <v>10.083543180323359</v>
      </c>
      <c r="BG66" s="304"/>
      <c r="BH66" s="10">
        <f>+BH7-BC7</f>
        <v>-97169.071854270878</v>
      </c>
      <c r="BI66" s="306" t="s">
        <v>111</v>
      </c>
      <c r="BJ66" s="308">
        <v>100</v>
      </c>
      <c r="BK66" s="310">
        <f>IF(BH67=0,"-",(BH66/BH67)*BJ66)</f>
        <v>-20.537776827306377</v>
      </c>
      <c r="BL66" s="304"/>
      <c r="BM66" s="10">
        <f>+BM7-BH7</f>
        <v>76359.92575746181</v>
      </c>
      <c r="BN66" s="306" t="s">
        <v>111</v>
      </c>
      <c r="BO66" s="308">
        <v>100</v>
      </c>
      <c r="BP66" s="310">
        <f>IF(BM67=0,"-",(BM66/BM67)*BO66)</f>
        <v>20.310946484860935</v>
      </c>
      <c r="BQ66" s="304"/>
      <c r="BR66" s="10">
        <f>+BR7-BM7</f>
        <v>-21677.193504928728</v>
      </c>
      <c r="BS66" s="306" t="s">
        <v>111</v>
      </c>
      <c r="BT66" s="308">
        <v>100</v>
      </c>
      <c r="BU66" s="310">
        <f>IF(BR67=0,"-",(BR66/BR67)*BT66)</f>
        <v>-4.7925050087899903</v>
      </c>
      <c r="BV66" s="304"/>
      <c r="BW66" s="10">
        <f>+BW7-BR7</f>
        <v>121299.50771975436</v>
      </c>
      <c r="BX66" s="306" t="s">
        <v>111</v>
      </c>
      <c r="BY66" s="308">
        <v>100</v>
      </c>
      <c r="BZ66" s="310">
        <f>IF(BW67=0,"-",(BW66/BW67)*BY66)</f>
        <v>28.167442782347901</v>
      </c>
      <c r="CA66" s="304"/>
      <c r="CB66" s="10">
        <f>+CB7-BW7</f>
        <v>-13238.576115027186</v>
      </c>
      <c r="CC66" s="306" t="s">
        <v>111</v>
      </c>
      <c r="CD66" s="308">
        <v>100</v>
      </c>
      <c r="CE66" s="310">
        <f>IF(CB67=0,"-",(CB66/CB67)*CD66)</f>
        <v>-2.3985674730072999</v>
      </c>
      <c r="CF66" s="304"/>
      <c r="CG66" s="10">
        <f>+CG7-CB7</f>
        <v>46739.971538317157</v>
      </c>
      <c r="CH66" s="306" t="s">
        <v>170</v>
      </c>
      <c r="CI66" s="308">
        <v>100</v>
      </c>
      <c r="CJ66" s="310">
        <f>IF(CG67=0,"-",(CG66/CG67)*CI66)</f>
        <v>8.6764669090026132</v>
      </c>
      <c r="CK66" s="304"/>
      <c r="CL66" s="10">
        <f>+CL7-CG7</f>
        <v>52441.698806397035</v>
      </c>
      <c r="CM66" s="306" t="s">
        <v>111</v>
      </c>
      <c r="CN66" s="308">
        <v>100</v>
      </c>
      <c r="CO66" s="310">
        <f>IF(CL67=0,"-",(CL66/CL67)*CN66)</f>
        <v>8.9576834693319736</v>
      </c>
      <c r="CP66" s="304"/>
      <c r="CQ66" s="10">
        <f>+CQ7-CL7</f>
        <v>-21699.969181720517</v>
      </c>
      <c r="CR66" s="306" t="s">
        <v>111</v>
      </c>
      <c r="CS66" s="308">
        <v>100</v>
      </c>
      <c r="CT66" s="310">
        <f>IF(CQ67=0,"-",(CQ66/CQ67)*CS66)</f>
        <v>-3.4018896039770223</v>
      </c>
    </row>
    <row r="67" spans="1:98" ht="18" customHeight="1" x14ac:dyDescent="0.2">
      <c r="A67" s="22"/>
      <c r="B67" s="321"/>
      <c r="C67" s="323"/>
      <c r="D67" s="333"/>
      <c r="E67" s="334"/>
      <c r="F67" s="334"/>
      <c r="G67" s="334"/>
      <c r="H67" s="335"/>
      <c r="I67" s="305"/>
      <c r="J67" s="12">
        <f>+E7</f>
        <v>533244.711665057</v>
      </c>
      <c r="K67" s="307"/>
      <c r="L67" s="309"/>
      <c r="M67" s="311"/>
      <c r="N67" s="305"/>
      <c r="O67" s="12">
        <f>+J7</f>
        <v>450963.14102564106</v>
      </c>
      <c r="P67" s="307"/>
      <c r="Q67" s="309"/>
      <c r="R67" s="311"/>
      <c r="S67" s="305"/>
      <c r="T67" s="12">
        <f>+O7</f>
        <v>579855.12148007145</v>
      </c>
      <c r="U67" s="307"/>
      <c r="V67" s="309"/>
      <c r="W67" s="311"/>
      <c r="X67" s="305"/>
      <c r="Y67" s="12">
        <f>+T7</f>
        <v>435844.99286287621</v>
      </c>
      <c r="Z67" s="307"/>
      <c r="AA67" s="309"/>
      <c r="AB67" s="311"/>
      <c r="AC67" s="305"/>
      <c r="AD67" s="12">
        <f>+Y7</f>
        <v>455633.18728028255</v>
      </c>
      <c r="AE67" s="307"/>
      <c r="AF67" s="309"/>
      <c r="AG67" s="311"/>
      <c r="AH67" s="305"/>
      <c r="AI67" s="12">
        <f>+AD7</f>
        <v>513427.42117030232</v>
      </c>
      <c r="AJ67" s="307"/>
      <c r="AK67" s="309"/>
      <c r="AL67" s="311"/>
      <c r="AM67" s="305"/>
      <c r="AN67" s="12">
        <f>+AI7</f>
        <v>632946.13812436897</v>
      </c>
      <c r="AO67" s="307"/>
      <c r="AP67" s="309"/>
      <c r="AQ67" s="311"/>
      <c r="AR67" s="305"/>
      <c r="AS67" s="12">
        <f>+AN7</f>
        <v>452881.04241698899</v>
      </c>
      <c r="AT67" s="307"/>
      <c r="AU67" s="309"/>
      <c r="AV67" s="311"/>
      <c r="AW67" s="305"/>
      <c r="AX67" s="12">
        <f>+AS7</f>
        <v>470614.82021797838</v>
      </c>
      <c r="AY67" s="307"/>
      <c r="AZ67" s="309"/>
      <c r="BA67" s="311"/>
      <c r="BB67" s="305"/>
      <c r="BC67" s="12">
        <f>+AX7</f>
        <v>429785.96056564001</v>
      </c>
      <c r="BD67" s="307"/>
      <c r="BE67" s="309"/>
      <c r="BF67" s="311"/>
      <c r="BG67" s="305"/>
      <c r="BH67" s="12">
        <f>+BC7</f>
        <v>473123.61348224385</v>
      </c>
      <c r="BI67" s="307"/>
      <c r="BJ67" s="309"/>
      <c r="BK67" s="311"/>
      <c r="BL67" s="305"/>
      <c r="BM67" s="12">
        <f>+BH7</f>
        <v>375954.54162797297</v>
      </c>
      <c r="BN67" s="307"/>
      <c r="BO67" s="309"/>
      <c r="BP67" s="311"/>
      <c r="BQ67" s="305"/>
      <c r="BR67" s="12">
        <f>+BM7</f>
        <v>452314.46738543478</v>
      </c>
      <c r="BS67" s="307"/>
      <c r="BT67" s="309"/>
      <c r="BU67" s="311"/>
      <c r="BV67" s="305"/>
      <c r="BW67" s="12">
        <f>+BR7</f>
        <v>430637.27388050605</v>
      </c>
      <c r="BX67" s="307"/>
      <c r="BY67" s="309"/>
      <c r="BZ67" s="311"/>
      <c r="CA67" s="305"/>
      <c r="CB67" s="12">
        <f>+BW7</f>
        <v>551936.78160026041</v>
      </c>
      <c r="CC67" s="307"/>
      <c r="CD67" s="309"/>
      <c r="CE67" s="311"/>
      <c r="CF67" s="305"/>
      <c r="CG67" s="12">
        <f>+CB7</f>
        <v>538698.20548523322</v>
      </c>
      <c r="CH67" s="307"/>
      <c r="CI67" s="309"/>
      <c r="CJ67" s="311"/>
      <c r="CK67" s="305"/>
      <c r="CL67" s="12">
        <f>+CG7</f>
        <v>585438.17702355038</v>
      </c>
      <c r="CM67" s="307"/>
      <c r="CN67" s="309"/>
      <c r="CO67" s="311"/>
      <c r="CP67" s="305"/>
      <c r="CQ67" s="12">
        <f>+CL7</f>
        <v>637879.87582994741</v>
      </c>
      <c r="CR67" s="307"/>
      <c r="CS67" s="309"/>
      <c r="CT67" s="311"/>
    </row>
    <row r="68" spans="1:98"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row>
    <row r="69" spans="1:98" ht="18" customHeight="1" x14ac:dyDescent="0.2">
      <c r="A69" s="17"/>
      <c r="B69" s="320" t="s">
        <v>172</v>
      </c>
      <c r="C69" s="322" t="s">
        <v>149</v>
      </c>
      <c r="D69" s="304"/>
      <c r="E69" s="24">
        <f>+PL!K47</f>
        <v>224396.66198542947</v>
      </c>
      <c r="F69" s="306" t="s">
        <v>118</v>
      </c>
      <c r="G69" s="308">
        <v>100</v>
      </c>
      <c r="H69" s="310">
        <f>IF(E70=0,"-",(E69/E70)*G69)</f>
        <v>47.086083161265343</v>
      </c>
      <c r="I69" s="304"/>
      <c r="J69" s="24">
        <f>+PL!L47</f>
        <v>211369.90950226251</v>
      </c>
      <c r="K69" s="306" t="s">
        <v>111</v>
      </c>
      <c r="L69" s="308">
        <v>100</v>
      </c>
      <c r="M69" s="310">
        <f>IF(J70=0,"-",(J69/J70)*L69)</f>
        <v>48.941366496232078</v>
      </c>
      <c r="N69" s="304"/>
      <c r="O69" s="24">
        <f>+PL!M47</f>
        <v>244619.69863568561</v>
      </c>
      <c r="P69" s="306" t="s">
        <v>111</v>
      </c>
      <c r="Q69" s="308">
        <v>100</v>
      </c>
      <c r="R69" s="310">
        <f>IF(O70=0,"-",(O69/O70)*Q69)</f>
        <v>52.016092708631021</v>
      </c>
      <c r="S69" s="304"/>
      <c r="T69" s="24">
        <f>+PL!N47</f>
        <v>193926.6665637863</v>
      </c>
      <c r="U69" s="306" t="s">
        <v>111</v>
      </c>
      <c r="V69" s="308">
        <v>100</v>
      </c>
      <c r="W69" s="310">
        <f>IF(T70=0,"-",(T69/T70)*V69)</f>
        <v>50.724035889458975</v>
      </c>
      <c r="X69" s="304"/>
      <c r="Y69" s="24">
        <f>+PL!O47</f>
        <v>202804.53931107355</v>
      </c>
      <c r="Z69" s="306" t="s">
        <v>111</v>
      </c>
      <c r="AA69" s="308">
        <v>100</v>
      </c>
      <c r="AB69" s="310">
        <f>IF(Y70=0,"-",(Y69/Y70)*AA69)</f>
        <v>45.60305381762231</v>
      </c>
      <c r="AC69" s="304"/>
      <c r="AD69" s="24">
        <f>+PL!P47</f>
        <v>216396.97473553149</v>
      </c>
      <c r="AE69" s="306" t="s">
        <v>111</v>
      </c>
      <c r="AF69" s="308">
        <v>100</v>
      </c>
      <c r="AG69" s="310">
        <f>IF(AD70=0,"-",(AD69/AD70)*AF69)</f>
        <v>46.434301936940578</v>
      </c>
      <c r="AH69" s="304"/>
      <c r="AI69" s="24">
        <f>+PL!Q47</f>
        <v>285817.94829160115</v>
      </c>
      <c r="AJ69" s="306" t="s">
        <v>118</v>
      </c>
      <c r="AK69" s="308">
        <v>100</v>
      </c>
      <c r="AL69" s="310">
        <f>IF(AI70=0,"-",(AI69/AI70)*AK69)</f>
        <v>50.050165312498109</v>
      </c>
      <c r="AM69" s="304"/>
      <c r="AN69" s="24">
        <f>+PL!R47</f>
        <v>191335.98833071918</v>
      </c>
      <c r="AO69" s="306" t="s">
        <v>173</v>
      </c>
      <c r="AP69" s="308">
        <v>100</v>
      </c>
      <c r="AQ69" s="310">
        <f>IF(AN70=0,"-",(AN69/AN70)*AP69)</f>
        <v>50.257370470826878</v>
      </c>
      <c r="AR69" s="304"/>
      <c r="AS69" s="24">
        <f>+PL!S47</f>
        <v>231838.38289248871</v>
      </c>
      <c r="AT69" s="306" t="s">
        <v>111</v>
      </c>
      <c r="AU69" s="308">
        <v>100</v>
      </c>
      <c r="AV69" s="310">
        <f>IF(AS70=0,"-",(AS69/AS70)*AU69)</f>
        <v>48.135091633298366</v>
      </c>
      <c r="AW69" s="304"/>
      <c r="AX69" s="24">
        <f>+PL!T47</f>
        <v>208950.64928251438</v>
      </c>
      <c r="AY69" s="306" t="s">
        <v>111</v>
      </c>
      <c r="AZ69" s="308">
        <v>100</v>
      </c>
      <c r="BA69" s="310">
        <f>IF(AX70=0,"-",(AX69/AX70)*AZ69)</f>
        <v>52.349232787195717</v>
      </c>
      <c r="BB69" s="304"/>
      <c r="BC69" s="24">
        <f>+PL!U47</f>
        <v>259603.63816678704</v>
      </c>
      <c r="BD69" s="306" t="s">
        <v>111</v>
      </c>
      <c r="BE69" s="308">
        <v>100</v>
      </c>
      <c r="BF69" s="310">
        <f>IF(BC70=0,"-",(BC69/BC70)*BE69)</f>
        <v>55.670862184972734</v>
      </c>
      <c r="BG69" s="304"/>
      <c r="BH69" s="24">
        <f>+PL!V47</f>
        <v>207166.69580950239</v>
      </c>
      <c r="BI69" s="306" t="s">
        <v>111</v>
      </c>
      <c r="BJ69" s="308">
        <v>100</v>
      </c>
      <c r="BK69" s="310">
        <f>IF(BH70=0,"-",(BH69/BH70)*BJ69)</f>
        <v>51.542930459016944</v>
      </c>
      <c r="BL69" s="304"/>
      <c r="BM69" s="24">
        <f>+PL!W47</f>
        <v>206233.36761666383</v>
      </c>
      <c r="BN69" s="306" t="s">
        <v>111</v>
      </c>
      <c r="BO69" s="308">
        <v>100</v>
      </c>
      <c r="BP69" s="310">
        <f>IF(BM70=0,"-",(BM69/BM70)*BO69)</f>
        <v>48.992057615032415</v>
      </c>
      <c r="BQ69" s="304"/>
      <c r="BR69" s="24">
        <f>+PL!X47</f>
        <v>214464.3769896006</v>
      </c>
      <c r="BS69" s="306" t="s">
        <v>111</v>
      </c>
      <c r="BT69" s="308">
        <v>100</v>
      </c>
      <c r="BU69" s="310">
        <f>IF(BR70=0,"-",(BR69/BR70)*BT69)</f>
        <v>49.44801475693324</v>
      </c>
      <c r="BV69" s="304"/>
      <c r="BW69" s="24">
        <f>+PL!Y47</f>
        <v>312210.05679297459</v>
      </c>
      <c r="BX69" s="306" t="s">
        <v>111</v>
      </c>
      <c r="BY69" s="308">
        <v>100</v>
      </c>
      <c r="BZ69" s="310">
        <f>IF(BW70=0,"-",(BW69/BW70)*BY69)</f>
        <v>51.132246157011309</v>
      </c>
      <c r="CA69" s="304"/>
      <c r="CB69" s="24">
        <f>+PL!Z47</f>
        <v>279466.82070161914</v>
      </c>
      <c r="CC69" s="306" t="s">
        <v>111</v>
      </c>
      <c r="CD69" s="308">
        <v>100</v>
      </c>
      <c r="CE69" s="310">
        <f>IF(CB70=0,"-",(CB69/CB70)*CD69)</f>
        <v>56.203308338845872</v>
      </c>
      <c r="CF69" s="304"/>
      <c r="CG69" s="24">
        <f>+PL!AA47</f>
        <v>283258.04076786072</v>
      </c>
      <c r="CH69" s="306" t="s">
        <v>173</v>
      </c>
      <c r="CI69" s="308">
        <v>100</v>
      </c>
      <c r="CJ69" s="310">
        <f>IF(CG70=0,"-",(CG69/CG70)*CI69)</f>
        <v>55.55952948132412</v>
      </c>
      <c r="CK69" s="304"/>
      <c r="CL69" s="24">
        <f>+PL!AB47</f>
        <v>303141.09235952829</v>
      </c>
      <c r="CM69" s="306" t="s">
        <v>111</v>
      </c>
      <c r="CN69" s="308">
        <v>100</v>
      </c>
      <c r="CO69" s="310">
        <f>IF(CL70=0,"-",(CL69/CL70)*CN69)</f>
        <v>54.851005935466446</v>
      </c>
      <c r="CP69" s="304"/>
      <c r="CQ69" s="24">
        <f>+PL!AC47</f>
        <v>296689.96888274222</v>
      </c>
      <c r="CR69" s="306" t="s">
        <v>111</v>
      </c>
      <c r="CS69" s="308">
        <v>100</v>
      </c>
      <c r="CT69" s="310">
        <f>IF(CQ70=0,"-",(CQ69/CQ70)*CS69)</f>
        <v>54.046496079378556</v>
      </c>
    </row>
    <row r="70" spans="1:98" ht="18" customHeight="1" x14ac:dyDescent="0.2">
      <c r="A70" s="17"/>
      <c r="B70" s="321"/>
      <c r="C70" s="323"/>
      <c r="D70" s="305"/>
      <c r="E70" s="25">
        <f>+E12</f>
        <v>476566.84718686901</v>
      </c>
      <c r="F70" s="307"/>
      <c r="G70" s="309"/>
      <c r="H70" s="311"/>
      <c r="I70" s="305"/>
      <c r="J70" s="25">
        <f>+J12</f>
        <v>431883.95550527907</v>
      </c>
      <c r="K70" s="307"/>
      <c r="L70" s="309"/>
      <c r="M70" s="311"/>
      <c r="N70" s="305"/>
      <c r="O70" s="25">
        <f>+O12</f>
        <v>470276.95833658014</v>
      </c>
      <c r="P70" s="307"/>
      <c r="Q70" s="309"/>
      <c r="R70" s="311"/>
      <c r="S70" s="305"/>
      <c r="T70" s="25">
        <f>+T12</f>
        <v>382317.10699519957</v>
      </c>
      <c r="U70" s="307"/>
      <c r="V70" s="309"/>
      <c r="W70" s="311"/>
      <c r="X70" s="305"/>
      <c r="Y70" s="25">
        <f>+Y12</f>
        <v>444717.01417659037</v>
      </c>
      <c r="Z70" s="307"/>
      <c r="AA70" s="309"/>
      <c r="AB70" s="311"/>
      <c r="AC70" s="305"/>
      <c r="AD70" s="25">
        <f>+AD12</f>
        <v>466028.2715769179</v>
      </c>
      <c r="AE70" s="307"/>
      <c r="AF70" s="309"/>
      <c r="AG70" s="311"/>
      <c r="AH70" s="305"/>
      <c r="AI70" s="25">
        <f>+AI12</f>
        <v>571062.94556079933</v>
      </c>
      <c r="AJ70" s="307"/>
      <c r="AK70" s="309"/>
      <c r="AL70" s="311"/>
      <c r="AM70" s="305"/>
      <c r="AN70" s="25">
        <f>+AN12</f>
        <v>380712.29461116524</v>
      </c>
      <c r="AO70" s="307"/>
      <c r="AP70" s="309"/>
      <c r="AQ70" s="311"/>
      <c r="AR70" s="305"/>
      <c r="AS70" s="25">
        <f>+AS12</f>
        <v>481641.09597770061</v>
      </c>
      <c r="AT70" s="307"/>
      <c r="AU70" s="309"/>
      <c r="AV70" s="311"/>
      <c r="AW70" s="305"/>
      <c r="AX70" s="25">
        <f>+AX12</f>
        <v>399147.49110443954</v>
      </c>
      <c r="AY70" s="307"/>
      <c r="AZ70" s="309"/>
      <c r="BA70" s="311"/>
      <c r="BB70" s="305"/>
      <c r="BC70" s="25">
        <f>+BC12</f>
        <v>466318.69523454586</v>
      </c>
      <c r="BD70" s="307"/>
      <c r="BE70" s="309"/>
      <c r="BF70" s="311"/>
      <c r="BG70" s="305"/>
      <c r="BH70" s="25">
        <f>+BH12</f>
        <v>401930.379131675</v>
      </c>
      <c r="BI70" s="307"/>
      <c r="BJ70" s="309"/>
      <c r="BK70" s="311"/>
      <c r="BL70" s="305"/>
      <c r="BM70" s="25">
        <f>+BM12</f>
        <v>420952.65570839075</v>
      </c>
      <c r="BN70" s="307"/>
      <c r="BO70" s="309"/>
      <c r="BP70" s="311"/>
      <c r="BQ70" s="305"/>
      <c r="BR70" s="25">
        <f>+BR12</f>
        <v>433716.8601081805</v>
      </c>
      <c r="BS70" s="307"/>
      <c r="BT70" s="309"/>
      <c r="BU70" s="311"/>
      <c r="BV70" s="305"/>
      <c r="BW70" s="25">
        <f>+BW12</f>
        <v>610593.27578583988</v>
      </c>
      <c r="BX70" s="307"/>
      <c r="BY70" s="309"/>
      <c r="BZ70" s="311"/>
      <c r="CA70" s="305"/>
      <c r="CB70" s="25">
        <f>+CB12</f>
        <v>497242.65165447723</v>
      </c>
      <c r="CC70" s="307"/>
      <c r="CD70" s="309"/>
      <c r="CE70" s="311"/>
      <c r="CF70" s="305"/>
      <c r="CG70" s="25">
        <f>+CG12</f>
        <v>509828.00504650705</v>
      </c>
      <c r="CH70" s="307"/>
      <c r="CI70" s="309"/>
      <c r="CJ70" s="311"/>
      <c r="CK70" s="305"/>
      <c r="CL70" s="25">
        <f>+CL12</f>
        <v>552662.77653354476</v>
      </c>
      <c r="CM70" s="307"/>
      <c r="CN70" s="309"/>
      <c r="CO70" s="311"/>
      <c r="CP70" s="305"/>
      <c r="CQ70" s="25">
        <f>+CQ12</f>
        <v>548953.19845895481</v>
      </c>
      <c r="CR70" s="307"/>
      <c r="CS70" s="309"/>
      <c r="CT70" s="311"/>
    </row>
    <row r="71" spans="1:98" ht="18" customHeight="1" x14ac:dyDescent="0.2">
      <c r="A71" s="17"/>
      <c r="B71" s="320" t="s">
        <v>174</v>
      </c>
      <c r="C71" s="322" t="s">
        <v>175</v>
      </c>
      <c r="D71" s="304"/>
      <c r="E71" s="24">
        <f>+PL!K11+PL!K17</f>
        <v>98827.8100588081</v>
      </c>
      <c r="F71" s="306" t="s">
        <v>118</v>
      </c>
      <c r="G71" s="308">
        <v>100</v>
      </c>
      <c r="H71" s="310">
        <f>IF(E72=0,"-",(E71/E72)*G71)</f>
        <v>44.041568704451223</v>
      </c>
      <c r="I71" s="304"/>
      <c r="J71" s="24">
        <f>+PL!L11+PL!L17</f>
        <v>86045.908748114627</v>
      </c>
      <c r="K71" s="306" t="s">
        <v>111</v>
      </c>
      <c r="L71" s="308">
        <v>100</v>
      </c>
      <c r="M71" s="310">
        <f>IF(J72=0,"-",(J71/J72)*L71)</f>
        <v>40.708684103019685</v>
      </c>
      <c r="N71" s="304"/>
      <c r="O71" s="24">
        <f>+PL!M11+PL!M17</f>
        <v>105095.88461686388</v>
      </c>
      <c r="P71" s="306" t="s">
        <v>111</v>
      </c>
      <c r="Q71" s="308">
        <v>100</v>
      </c>
      <c r="R71" s="310">
        <f>IF(O72=0,"-",(O71/O72)*Q71)</f>
        <v>42.962968723702076</v>
      </c>
      <c r="S71" s="304"/>
      <c r="T71" s="24">
        <f>+PL!N11+PL!N17</f>
        <v>88136.766027137812</v>
      </c>
      <c r="U71" s="306" t="s">
        <v>111</v>
      </c>
      <c r="V71" s="308">
        <v>100</v>
      </c>
      <c r="W71" s="310">
        <f>IF(T72=0,"-",(T71/T72)*V71)</f>
        <v>45.448502564833134</v>
      </c>
      <c r="X71" s="304"/>
      <c r="Y71" s="24">
        <f>+PL!O11+PL!O17</f>
        <v>84461.43885453805</v>
      </c>
      <c r="Z71" s="306" t="s">
        <v>111</v>
      </c>
      <c r="AA71" s="308">
        <v>100</v>
      </c>
      <c r="AB71" s="310">
        <f>IF(Y72=0,"-",(Y71/Y72)*AA71)</f>
        <v>41.646720108658968</v>
      </c>
      <c r="AC71" s="304"/>
      <c r="AD71" s="24">
        <f>+PL!P11+PL!P17</f>
        <v>86004.198379392852</v>
      </c>
      <c r="AE71" s="306" t="s">
        <v>111</v>
      </c>
      <c r="AF71" s="308">
        <v>100</v>
      </c>
      <c r="AG71" s="310">
        <f>IF(AD72=0,"-",(AD71/AD72)*AF71)</f>
        <v>39.743715680176429</v>
      </c>
      <c r="AH71" s="304"/>
      <c r="AI71" s="24">
        <f>+PL!Q11+PL!Q17</f>
        <v>109762.63677126115</v>
      </c>
      <c r="AJ71" s="306" t="s">
        <v>118</v>
      </c>
      <c r="AK71" s="308">
        <v>100</v>
      </c>
      <c r="AL71" s="310">
        <f>IF(AI72=0,"-",(AI71/AI72)*AK71)</f>
        <v>38.402989534890089</v>
      </c>
      <c r="AM71" s="304"/>
      <c r="AN71" s="24">
        <f>+PL!R11+PL!R17</f>
        <v>77601.012323214731</v>
      </c>
      <c r="AO71" s="306" t="s">
        <v>112</v>
      </c>
      <c r="AP71" s="308">
        <v>100</v>
      </c>
      <c r="AQ71" s="310">
        <f>IF(AN72=0,"-",(AN71/AN72)*AP71)</f>
        <v>40.55745759082366</v>
      </c>
      <c r="AR71" s="304"/>
      <c r="AS71" s="24">
        <f>+PL!S11+PL!S17</f>
        <v>107757.08418716153</v>
      </c>
      <c r="AT71" s="306" t="s">
        <v>111</v>
      </c>
      <c r="AU71" s="308">
        <v>100</v>
      </c>
      <c r="AV71" s="310">
        <f>IF(AS72=0,"-",(AS71/AS72)*AU71)</f>
        <v>46.479397778206611</v>
      </c>
      <c r="AW71" s="304"/>
      <c r="AX71" s="24">
        <f>+PL!T11+PL!T17</f>
        <v>81806.370102321293</v>
      </c>
      <c r="AY71" s="306" t="s">
        <v>111</v>
      </c>
      <c r="AZ71" s="308">
        <v>100</v>
      </c>
      <c r="BA71" s="310">
        <f>IF(AX72=0,"-",(AX71/AX72)*AZ71)</f>
        <v>39.15104852903039</v>
      </c>
      <c r="BB71" s="304"/>
      <c r="BC71" s="24">
        <f>+PL!U11+PL!U17</f>
        <v>79837.69510477838</v>
      </c>
      <c r="BD71" s="306" t="s">
        <v>111</v>
      </c>
      <c r="BE71" s="308">
        <v>100</v>
      </c>
      <c r="BF71" s="310">
        <f>IF(BC72=0,"-",(BC71/BC72)*BE71)</f>
        <v>30.753688842174547</v>
      </c>
      <c r="BG71" s="304"/>
      <c r="BH71" s="24">
        <f>+PL!V11+PL!V17</f>
        <v>70884.748282170316</v>
      </c>
      <c r="BI71" s="306" t="s">
        <v>111</v>
      </c>
      <c r="BJ71" s="308">
        <v>100</v>
      </c>
      <c r="BK71" s="310">
        <f>IF(BH72=0,"-",(BH71/BH72)*BJ71)</f>
        <v>34.216285588370596</v>
      </c>
      <c r="BL71" s="304"/>
      <c r="BM71" s="24">
        <f>+PL!W11+PL!W17</f>
        <v>74939.439633215123</v>
      </c>
      <c r="BN71" s="306" t="s">
        <v>111</v>
      </c>
      <c r="BO71" s="308">
        <v>100</v>
      </c>
      <c r="BP71" s="310">
        <f>IF(BM72=0,"-",(BM71/BM72)*BO71)</f>
        <v>36.337204061230658</v>
      </c>
      <c r="BQ71" s="304"/>
      <c r="BR71" s="24">
        <f>+PL!X11+PL!X17</f>
        <v>82857.301697266725</v>
      </c>
      <c r="BS71" s="306" t="s">
        <v>111</v>
      </c>
      <c r="BT71" s="308">
        <v>100</v>
      </c>
      <c r="BU71" s="310">
        <f>IF(BR72=0,"-",(BR71/BR72)*BT71)</f>
        <v>38.634528894877718</v>
      </c>
      <c r="BV71" s="304"/>
      <c r="BW71" s="24">
        <f>+PL!Y11+PL!Y17</f>
        <v>121691.03006331081</v>
      </c>
      <c r="BX71" s="306" t="s">
        <v>111</v>
      </c>
      <c r="BY71" s="308">
        <v>100</v>
      </c>
      <c r="BZ71" s="310">
        <f>IF(BW72=0,"-",(BW71/BW72)*BY71)</f>
        <v>38.977293464958343</v>
      </c>
      <c r="CA71" s="304"/>
      <c r="CB71" s="24">
        <f>+PL!Z11+PL!Z17</f>
        <v>100799.08419225721</v>
      </c>
      <c r="CC71" s="306" t="s">
        <v>111</v>
      </c>
      <c r="CD71" s="308">
        <v>100</v>
      </c>
      <c r="CE71" s="310">
        <f>IF(CB72=0,"-",(CB71/CB72)*CD71)</f>
        <v>36.068354711730976</v>
      </c>
      <c r="CF71" s="304"/>
      <c r="CG71" s="24">
        <f>+PL!AA11+PL!AA17</f>
        <v>95016.21531763309</v>
      </c>
      <c r="CH71" s="306" t="s">
        <v>112</v>
      </c>
      <c r="CI71" s="308">
        <v>100</v>
      </c>
      <c r="CJ71" s="310">
        <f>IF(CG72=0,"-",(CG71/CG72)*CI71)</f>
        <v>33.544048762062154</v>
      </c>
      <c r="CK71" s="304"/>
      <c r="CL71" s="24">
        <f>+PL!AB11+PL!AB17</f>
        <v>102331.01189178476</v>
      </c>
      <c r="CM71" s="306" t="s">
        <v>111</v>
      </c>
      <c r="CN71" s="308">
        <v>100</v>
      </c>
      <c r="CO71" s="310">
        <f>IF(CL72=0,"-",(CL71/CL72)*CN71)</f>
        <v>33.756892242909508</v>
      </c>
      <c r="CP71" s="304"/>
      <c r="CQ71" s="24">
        <f>+PL!AC11+PL!AC17</f>
        <v>108164.06539563372</v>
      </c>
      <c r="CR71" s="306" t="s">
        <v>111</v>
      </c>
      <c r="CS71" s="308">
        <v>100</v>
      </c>
      <c r="CT71" s="310">
        <f>IF(CQ72=0,"-",(CQ71/CQ72)*CS71)</f>
        <v>36.456933749041681</v>
      </c>
    </row>
    <row r="72" spans="1:98" ht="18" customHeight="1" x14ac:dyDescent="0.2">
      <c r="A72" s="17"/>
      <c r="B72" s="321"/>
      <c r="C72" s="323"/>
      <c r="D72" s="305"/>
      <c r="E72" s="25">
        <f>+E69</f>
        <v>224396.66198542947</v>
      </c>
      <c r="F72" s="307"/>
      <c r="G72" s="309"/>
      <c r="H72" s="311"/>
      <c r="I72" s="305"/>
      <c r="J72" s="25">
        <f>+J69</f>
        <v>211369.90950226251</v>
      </c>
      <c r="K72" s="307"/>
      <c r="L72" s="309"/>
      <c r="M72" s="311"/>
      <c r="N72" s="305"/>
      <c r="O72" s="25">
        <f>+O69</f>
        <v>244619.69863568561</v>
      </c>
      <c r="P72" s="307"/>
      <c r="Q72" s="309"/>
      <c r="R72" s="311"/>
      <c r="S72" s="305"/>
      <c r="T72" s="25">
        <f>+T69</f>
        <v>193926.6665637863</v>
      </c>
      <c r="U72" s="307"/>
      <c r="V72" s="309"/>
      <c r="W72" s="311"/>
      <c r="X72" s="305"/>
      <c r="Y72" s="25">
        <f>+Y69</f>
        <v>202804.53931107355</v>
      </c>
      <c r="Z72" s="307"/>
      <c r="AA72" s="309"/>
      <c r="AB72" s="311"/>
      <c r="AC72" s="305"/>
      <c r="AD72" s="25">
        <f>+AD69</f>
        <v>216396.97473553149</v>
      </c>
      <c r="AE72" s="307"/>
      <c r="AF72" s="309"/>
      <c r="AG72" s="311"/>
      <c r="AH72" s="305"/>
      <c r="AI72" s="25">
        <f>+AI69</f>
        <v>285817.94829160115</v>
      </c>
      <c r="AJ72" s="307"/>
      <c r="AK72" s="309"/>
      <c r="AL72" s="311"/>
      <c r="AM72" s="305"/>
      <c r="AN72" s="25">
        <f>+AN69</f>
        <v>191335.98833071918</v>
      </c>
      <c r="AO72" s="307"/>
      <c r="AP72" s="309"/>
      <c r="AQ72" s="311"/>
      <c r="AR72" s="305"/>
      <c r="AS72" s="25">
        <f>+AS69</f>
        <v>231838.38289248871</v>
      </c>
      <c r="AT72" s="307"/>
      <c r="AU72" s="309"/>
      <c r="AV72" s="311"/>
      <c r="AW72" s="305"/>
      <c r="AX72" s="25">
        <f>+AX69</f>
        <v>208950.64928251438</v>
      </c>
      <c r="AY72" s="307"/>
      <c r="AZ72" s="309"/>
      <c r="BA72" s="311"/>
      <c r="BB72" s="305"/>
      <c r="BC72" s="25">
        <f>+BC69</f>
        <v>259603.63816678704</v>
      </c>
      <c r="BD72" s="307"/>
      <c r="BE72" s="309"/>
      <c r="BF72" s="311"/>
      <c r="BG72" s="305"/>
      <c r="BH72" s="25">
        <f>+BH69</f>
        <v>207166.69580950239</v>
      </c>
      <c r="BI72" s="307"/>
      <c r="BJ72" s="309"/>
      <c r="BK72" s="311"/>
      <c r="BL72" s="305"/>
      <c r="BM72" s="25">
        <f>+BM69</f>
        <v>206233.36761666383</v>
      </c>
      <c r="BN72" s="307"/>
      <c r="BO72" s="309"/>
      <c r="BP72" s="311"/>
      <c r="BQ72" s="305"/>
      <c r="BR72" s="25">
        <f>+BR69</f>
        <v>214464.3769896006</v>
      </c>
      <c r="BS72" s="307"/>
      <c r="BT72" s="309"/>
      <c r="BU72" s="311"/>
      <c r="BV72" s="305"/>
      <c r="BW72" s="25">
        <f>+BW69</f>
        <v>312210.05679297459</v>
      </c>
      <c r="BX72" s="307"/>
      <c r="BY72" s="309"/>
      <c r="BZ72" s="311"/>
      <c r="CA72" s="305"/>
      <c r="CB72" s="25">
        <f>+CB69</f>
        <v>279466.82070161914</v>
      </c>
      <c r="CC72" s="307"/>
      <c r="CD72" s="309"/>
      <c r="CE72" s="311"/>
      <c r="CF72" s="305"/>
      <c r="CG72" s="25">
        <f>+CG69</f>
        <v>283258.04076786072</v>
      </c>
      <c r="CH72" s="307"/>
      <c r="CI72" s="309"/>
      <c r="CJ72" s="311"/>
      <c r="CK72" s="305"/>
      <c r="CL72" s="25">
        <f>+CL69</f>
        <v>303141.09235952829</v>
      </c>
      <c r="CM72" s="307"/>
      <c r="CN72" s="309"/>
      <c r="CO72" s="311"/>
      <c r="CP72" s="305"/>
      <c r="CQ72" s="25">
        <f>+CQ69</f>
        <v>296689.96888274222</v>
      </c>
      <c r="CR72" s="307"/>
      <c r="CS72" s="309"/>
      <c r="CT72" s="311"/>
    </row>
    <row r="73" spans="1:98" ht="18" customHeight="1" x14ac:dyDescent="0.2">
      <c r="A73" s="17"/>
      <c r="B73" s="320" t="s">
        <v>288</v>
      </c>
      <c r="C73" s="322" t="s">
        <v>176</v>
      </c>
      <c r="D73" s="304"/>
      <c r="E73" s="24">
        <f>+E69</f>
        <v>224396.66198542947</v>
      </c>
      <c r="F73" s="306" t="s">
        <v>177</v>
      </c>
      <c r="G73" s="308">
        <v>100</v>
      </c>
      <c r="H73" s="310">
        <f>IF(E74=0,"-",(E73/E74)*G73)</f>
        <v>42.081366598976807</v>
      </c>
      <c r="I73" s="304"/>
      <c r="J73" s="24">
        <f>+J69</f>
        <v>211369.90950226251</v>
      </c>
      <c r="K73" s="306" t="s">
        <v>111</v>
      </c>
      <c r="L73" s="308">
        <v>100</v>
      </c>
      <c r="M73" s="310">
        <f>IF(J74=0,"-",(J73/J74)*L73)</f>
        <v>46.870772857741017</v>
      </c>
      <c r="N73" s="304"/>
      <c r="O73" s="24">
        <f>+O69</f>
        <v>244619.69863568561</v>
      </c>
      <c r="P73" s="306" t="s">
        <v>111</v>
      </c>
      <c r="Q73" s="308">
        <v>100</v>
      </c>
      <c r="R73" s="310">
        <f>IF(O74=0,"-",(O73/O74)*Q73)</f>
        <v>42.186347860703123</v>
      </c>
      <c r="S73" s="304"/>
      <c r="T73" s="24">
        <f>+T69</f>
        <v>193926.6665637863</v>
      </c>
      <c r="U73" s="306" t="s">
        <v>111</v>
      </c>
      <c r="V73" s="308">
        <v>100</v>
      </c>
      <c r="W73" s="310">
        <f>IF(T74=0,"-",(T73/T74)*V73)</f>
        <v>44.494411944477406</v>
      </c>
      <c r="X73" s="304"/>
      <c r="Y73" s="24">
        <f>+Y69</f>
        <v>202804.53931107355</v>
      </c>
      <c r="Z73" s="306" t="s">
        <v>111</v>
      </c>
      <c r="AA73" s="308">
        <v>100</v>
      </c>
      <c r="AB73" s="310">
        <f>IF(Y74=0,"-",(Y73/Y74)*AA73)</f>
        <v>44.510484524104349</v>
      </c>
      <c r="AC73" s="304"/>
      <c r="AD73" s="24">
        <f>+AD69</f>
        <v>216396.97473553149</v>
      </c>
      <c r="AE73" s="306" t="s">
        <v>111</v>
      </c>
      <c r="AF73" s="308">
        <v>100</v>
      </c>
      <c r="AG73" s="310">
        <f>IF(AD74=0,"-",(AD73/AD74)*AF73)</f>
        <v>42.14752968243846</v>
      </c>
      <c r="AH73" s="304"/>
      <c r="AI73" s="24">
        <f>+AI69</f>
        <v>285817.94829160115</v>
      </c>
      <c r="AJ73" s="306" t="s">
        <v>177</v>
      </c>
      <c r="AK73" s="308">
        <v>100</v>
      </c>
      <c r="AL73" s="310">
        <f>IF(AI74=0,"-",(AI73/AI74)*AK73)</f>
        <v>45.156756803758263</v>
      </c>
      <c r="AM73" s="304"/>
      <c r="AN73" s="24">
        <f>+AN69</f>
        <v>191335.98833071918</v>
      </c>
      <c r="AO73" s="306" t="s">
        <v>178</v>
      </c>
      <c r="AP73" s="308">
        <v>100</v>
      </c>
      <c r="AQ73" s="310">
        <f>IF(AN74=0,"-",(AN73/AN74)*AP73)</f>
        <v>42.248619485058306</v>
      </c>
      <c r="AR73" s="304"/>
      <c r="AS73" s="24">
        <f>+AS69</f>
        <v>231838.38289248871</v>
      </c>
      <c r="AT73" s="306" t="s">
        <v>111</v>
      </c>
      <c r="AU73" s="308">
        <v>100</v>
      </c>
      <c r="AV73" s="310">
        <f>IF(AS74=0,"-",(AS73/AS74)*AU73)</f>
        <v>49.262873358961855</v>
      </c>
      <c r="AW73" s="304"/>
      <c r="AX73" s="24">
        <f>+AX69</f>
        <v>208950.64928251438</v>
      </c>
      <c r="AY73" s="306" t="s">
        <v>111</v>
      </c>
      <c r="AZ73" s="308">
        <v>100</v>
      </c>
      <c r="BA73" s="310">
        <f>IF(AX74=0,"-",(AX73/AX74)*AZ73)</f>
        <v>48.617374333846328</v>
      </c>
      <c r="BB73" s="304"/>
      <c r="BC73" s="24">
        <f>+BC69</f>
        <v>259603.63816678704</v>
      </c>
      <c r="BD73" s="306" t="s">
        <v>111</v>
      </c>
      <c r="BE73" s="308">
        <v>100</v>
      </c>
      <c r="BF73" s="310">
        <f>IF(BC74=0,"-",(BC73/BC74)*BE73)</f>
        <v>54.870150372769309</v>
      </c>
      <c r="BG73" s="304"/>
      <c r="BH73" s="24">
        <f>+BH69</f>
        <v>207166.69580950239</v>
      </c>
      <c r="BI73" s="306" t="s">
        <v>111</v>
      </c>
      <c r="BJ73" s="308">
        <v>100</v>
      </c>
      <c r="BK73" s="310">
        <f>IF(BH74=0,"-",(BH73/BH74)*BJ73)</f>
        <v>55.104187573428717</v>
      </c>
      <c r="BL73" s="304"/>
      <c r="BM73" s="24">
        <f>+BM69</f>
        <v>206233.36761666383</v>
      </c>
      <c r="BN73" s="306" t="s">
        <v>111</v>
      </c>
      <c r="BO73" s="308">
        <v>100</v>
      </c>
      <c r="BP73" s="310">
        <f>IF(BM74=0,"-",(BM73/BM74)*BO73)</f>
        <v>45.59512960281333</v>
      </c>
      <c r="BQ73" s="304"/>
      <c r="BR73" s="24">
        <f>+BR69</f>
        <v>214464.3769896006</v>
      </c>
      <c r="BS73" s="306" t="s">
        <v>111</v>
      </c>
      <c r="BT73" s="308">
        <v>100</v>
      </c>
      <c r="BU73" s="310">
        <f>IF(BR74=0,"-",(BR73/BR74)*BT73)</f>
        <v>49.801628887589175</v>
      </c>
      <c r="BV73" s="304"/>
      <c r="BW73" s="24">
        <f>+BW69</f>
        <v>312210.05679297459</v>
      </c>
      <c r="BX73" s="306" t="s">
        <v>111</v>
      </c>
      <c r="BY73" s="308">
        <v>100</v>
      </c>
      <c r="BZ73" s="310">
        <f>IF(BW74=0,"-",(BW73/BW74)*BY73)</f>
        <v>56.56627121094683</v>
      </c>
      <c r="CA73" s="304"/>
      <c r="CB73" s="24">
        <f>+CB69</f>
        <v>279466.82070161914</v>
      </c>
      <c r="CC73" s="306" t="s">
        <v>111</v>
      </c>
      <c r="CD73" s="308">
        <v>100</v>
      </c>
      <c r="CE73" s="310">
        <f>IF(CB74=0,"-",(CB73/CB74)*CD73)</f>
        <v>51.87817925806695</v>
      </c>
      <c r="CF73" s="304"/>
      <c r="CG73" s="24">
        <f>+CG69</f>
        <v>283258.04076786072</v>
      </c>
      <c r="CH73" s="306" t="s">
        <v>178</v>
      </c>
      <c r="CI73" s="308">
        <v>100</v>
      </c>
      <c r="CJ73" s="310">
        <f>IF(CG74=0,"-",(CG73/CG74)*CI73)</f>
        <v>48.383937345525403</v>
      </c>
      <c r="CK73" s="304"/>
      <c r="CL73" s="24">
        <f>+CL69</f>
        <v>303141.09235952829</v>
      </c>
      <c r="CM73" s="306" t="s">
        <v>111</v>
      </c>
      <c r="CN73" s="308">
        <v>100</v>
      </c>
      <c r="CO73" s="310">
        <f>IF(CL74=0,"-",(CL73/CL74)*CN73)</f>
        <v>47.523225586182747</v>
      </c>
      <c r="CP73" s="304"/>
      <c r="CQ73" s="24">
        <f>+CQ69</f>
        <v>296689.96888274222</v>
      </c>
      <c r="CR73" s="306" t="s">
        <v>111</v>
      </c>
      <c r="CS73" s="308">
        <v>100</v>
      </c>
      <c r="CT73" s="310">
        <f>IF(CQ74=0,"-",(CQ73/CQ74)*CS73)</f>
        <v>48.149893510260242</v>
      </c>
    </row>
    <row r="74" spans="1:98" ht="18" customHeight="1" x14ac:dyDescent="0.2">
      <c r="A74" s="17"/>
      <c r="B74" s="321"/>
      <c r="C74" s="323"/>
      <c r="D74" s="305"/>
      <c r="E74" s="25">
        <f>+E7</f>
        <v>533244.711665057</v>
      </c>
      <c r="F74" s="307"/>
      <c r="G74" s="309"/>
      <c r="H74" s="311"/>
      <c r="I74" s="305"/>
      <c r="J74" s="25">
        <f>+J7</f>
        <v>450963.14102564106</v>
      </c>
      <c r="K74" s="307"/>
      <c r="L74" s="309"/>
      <c r="M74" s="311"/>
      <c r="N74" s="305"/>
      <c r="O74" s="25">
        <f>+O7</f>
        <v>579855.12148007145</v>
      </c>
      <c r="P74" s="307"/>
      <c r="Q74" s="309"/>
      <c r="R74" s="311"/>
      <c r="S74" s="305"/>
      <c r="T74" s="25">
        <f>+T7</f>
        <v>435844.99286287621</v>
      </c>
      <c r="U74" s="307"/>
      <c r="V74" s="309"/>
      <c r="W74" s="311"/>
      <c r="X74" s="305"/>
      <c r="Y74" s="25">
        <f>+Y7</f>
        <v>455633.18728028255</v>
      </c>
      <c r="Z74" s="307"/>
      <c r="AA74" s="309"/>
      <c r="AB74" s="311"/>
      <c r="AC74" s="305"/>
      <c r="AD74" s="25">
        <f>+AD7</f>
        <v>513427.42117030232</v>
      </c>
      <c r="AE74" s="307"/>
      <c r="AF74" s="309"/>
      <c r="AG74" s="311"/>
      <c r="AH74" s="305"/>
      <c r="AI74" s="25">
        <f>+AI7</f>
        <v>632946.13812436897</v>
      </c>
      <c r="AJ74" s="307"/>
      <c r="AK74" s="309"/>
      <c r="AL74" s="311"/>
      <c r="AM74" s="305"/>
      <c r="AN74" s="25">
        <f>+AN7</f>
        <v>452881.04241698899</v>
      </c>
      <c r="AO74" s="307"/>
      <c r="AP74" s="309"/>
      <c r="AQ74" s="311"/>
      <c r="AR74" s="305"/>
      <c r="AS74" s="25">
        <f>+AS7</f>
        <v>470614.82021797838</v>
      </c>
      <c r="AT74" s="307"/>
      <c r="AU74" s="309"/>
      <c r="AV74" s="311"/>
      <c r="AW74" s="305"/>
      <c r="AX74" s="25">
        <f>+AX7</f>
        <v>429785.96056564001</v>
      </c>
      <c r="AY74" s="307"/>
      <c r="AZ74" s="309"/>
      <c r="BA74" s="311"/>
      <c r="BB74" s="305"/>
      <c r="BC74" s="25">
        <f>+BC7</f>
        <v>473123.61348224385</v>
      </c>
      <c r="BD74" s="307"/>
      <c r="BE74" s="309"/>
      <c r="BF74" s="311"/>
      <c r="BG74" s="305"/>
      <c r="BH74" s="25">
        <f>+BH7</f>
        <v>375954.54162797297</v>
      </c>
      <c r="BI74" s="307"/>
      <c r="BJ74" s="309"/>
      <c r="BK74" s="311"/>
      <c r="BL74" s="305"/>
      <c r="BM74" s="25">
        <f>+BM7</f>
        <v>452314.46738543478</v>
      </c>
      <c r="BN74" s="307"/>
      <c r="BO74" s="309"/>
      <c r="BP74" s="311"/>
      <c r="BQ74" s="305"/>
      <c r="BR74" s="25">
        <f>+BR7</f>
        <v>430637.27388050605</v>
      </c>
      <c r="BS74" s="307"/>
      <c r="BT74" s="309"/>
      <c r="BU74" s="311"/>
      <c r="BV74" s="305"/>
      <c r="BW74" s="25">
        <f>+BW7</f>
        <v>551936.78160026041</v>
      </c>
      <c r="BX74" s="307"/>
      <c r="BY74" s="309"/>
      <c r="BZ74" s="311"/>
      <c r="CA74" s="305"/>
      <c r="CB74" s="25">
        <f>+CB7</f>
        <v>538698.20548523322</v>
      </c>
      <c r="CC74" s="307"/>
      <c r="CD74" s="309"/>
      <c r="CE74" s="311"/>
      <c r="CF74" s="305"/>
      <c r="CG74" s="25">
        <f>+CG7</f>
        <v>585438.17702355038</v>
      </c>
      <c r="CH74" s="307"/>
      <c r="CI74" s="309"/>
      <c r="CJ74" s="311"/>
      <c r="CK74" s="305"/>
      <c r="CL74" s="25">
        <f>+CL7</f>
        <v>637879.87582994741</v>
      </c>
      <c r="CM74" s="307"/>
      <c r="CN74" s="309"/>
      <c r="CO74" s="311"/>
      <c r="CP74" s="305"/>
      <c r="CQ74" s="25">
        <f>+CQ7</f>
        <v>616179.9066482269</v>
      </c>
      <c r="CR74" s="307"/>
      <c r="CS74" s="309"/>
      <c r="CT74" s="311"/>
    </row>
    <row r="75" spans="1:98" ht="18" customHeight="1" x14ac:dyDescent="0.2">
      <c r="A75" s="17"/>
      <c r="B75" s="320" t="s">
        <v>179</v>
      </c>
      <c r="C75" s="322" t="s">
        <v>130</v>
      </c>
      <c r="D75" s="304"/>
      <c r="E75" s="24">
        <f>+E73</f>
        <v>224396.66198542947</v>
      </c>
      <c r="F75" s="306"/>
      <c r="G75" s="308"/>
      <c r="H75" s="312">
        <f>IF(E76=0,"-",(E75/E76))</f>
        <v>10511.702520455548</v>
      </c>
      <c r="I75" s="304"/>
      <c r="J75" s="24">
        <f>+J73</f>
        <v>211369.90950226251</v>
      </c>
      <c r="K75" s="306"/>
      <c r="L75" s="308"/>
      <c r="M75" s="312">
        <f>IF(J76=0,"-",(J75/J76))</f>
        <v>10865.641264210744</v>
      </c>
      <c r="N75" s="304"/>
      <c r="O75" s="24">
        <f>+O73</f>
        <v>244619.69863568561</v>
      </c>
      <c r="P75" s="306"/>
      <c r="Q75" s="308"/>
      <c r="R75" s="312">
        <f>IF(O76=0,"-",(O75/O76))</f>
        <v>10753.444519797977</v>
      </c>
      <c r="S75" s="304"/>
      <c r="T75" s="24">
        <f>+T73</f>
        <v>193926.6665637863</v>
      </c>
      <c r="U75" s="306"/>
      <c r="V75" s="308"/>
      <c r="W75" s="312">
        <f>IF(T76=0,"-",(T75/T76))</f>
        <v>8876.0075742721801</v>
      </c>
      <c r="X75" s="304"/>
      <c r="Y75" s="24">
        <f>+Y73</f>
        <v>202804.53931107355</v>
      </c>
      <c r="Z75" s="306"/>
      <c r="AA75" s="308"/>
      <c r="AB75" s="312">
        <f>IF(Y76=0,"-",(Y75/Y76))</f>
        <v>10037.115992711071</v>
      </c>
      <c r="AC75" s="304"/>
      <c r="AD75" s="24">
        <f>+AD73</f>
        <v>216396.97473553149</v>
      </c>
      <c r="AE75" s="306"/>
      <c r="AF75" s="308"/>
      <c r="AG75" s="312">
        <f>IF(AD76=0,"-",(AD75/AD76))</f>
        <v>10738.143069133941</v>
      </c>
      <c r="AH75" s="304"/>
      <c r="AI75" s="24">
        <f>+AI73</f>
        <v>285817.94829160115</v>
      </c>
      <c r="AJ75" s="306"/>
      <c r="AK75" s="308"/>
      <c r="AL75" s="312">
        <f>IF(AI76=0,"-",(AI75/AI76))</f>
        <v>12523.93499041418</v>
      </c>
      <c r="AM75" s="304"/>
      <c r="AN75" s="24">
        <f>+AN73</f>
        <v>191335.98833071918</v>
      </c>
      <c r="AO75" s="306"/>
      <c r="AP75" s="308"/>
      <c r="AQ75" s="312">
        <f>IF(AN76=0,"-",(AN75/AN76))</f>
        <v>9637.1735021668064</v>
      </c>
      <c r="AR75" s="304"/>
      <c r="AS75" s="24">
        <f>+AS73</f>
        <v>231838.38289248871</v>
      </c>
      <c r="AT75" s="306"/>
      <c r="AU75" s="308"/>
      <c r="AV75" s="312">
        <f>IF(AS76=0,"-",(AS75/AS76))</f>
        <v>10018.163239291993</v>
      </c>
      <c r="AW75" s="304"/>
      <c r="AX75" s="24">
        <f>+AX73</f>
        <v>208950.64928251438</v>
      </c>
      <c r="AY75" s="306"/>
      <c r="AZ75" s="308"/>
      <c r="BA75" s="312">
        <f>IF(AX76=0,"-",(AX75/AX76))</f>
        <v>10522.176595079773</v>
      </c>
      <c r="BB75" s="304"/>
      <c r="BC75" s="24">
        <f>+BC73</f>
        <v>259603.63816678704</v>
      </c>
      <c r="BD75" s="306"/>
      <c r="BE75" s="308"/>
      <c r="BF75" s="312">
        <f>IF(BC76=0,"-",(BC75/BC76))</f>
        <v>12933.052640623951</v>
      </c>
      <c r="BG75" s="304"/>
      <c r="BH75" s="24">
        <f>+BH73</f>
        <v>207166.69580950239</v>
      </c>
      <c r="BI75" s="306"/>
      <c r="BJ75" s="308"/>
      <c r="BK75" s="312">
        <f>IF(BH76=0,"-",(BH75/BH76))</f>
        <v>11758.633100642957</v>
      </c>
      <c r="BL75" s="304"/>
      <c r="BM75" s="24">
        <f>+BM73</f>
        <v>206233.36761666383</v>
      </c>
      <c r="BN75" s="306"/>
      <c r="BO75" s="308"/>
      <c r="BP75" s="312">
        <f>IF(BM76=0,"-",(BM75/BM76))</f>
        <v>10575.547505895342</v>
      </c>
      <c r="BQ75" s="304"/>
      <c r="BR75" s="24">
        <f>+BR73</f>
        <v>214464.3769896006</v>
      </c>
      <c r="BS75" s="306"/>
      <c r="BT75" s="308"/>
      <c r="BU75" s="312">
        <f>IF(BR76=0,"-",(BR75/BR76))</f>
        <v>10748.93162008083</v>
      </c>
      <c r="BV75" s="304"/>
      <c r="BW75" s="24">
        <f>+BW73</f>
        <v>312210.05679297459</v>
      </c>
      <c r="BX75" s="306"/>
      <c r="BY75" s="308"/>
      <c r="BZ75" s="312">
        <f>IF(BW76=0,"-",(BW75/BW76))</f>
        <v>12259.8988744985</v>
      </c>
      <c r="CA75" s="304"/>
      <c r="CB75" s="24">
        <f>+CB73</f>
        <v>279466.82070161914</v>
      </c>
      <c r="CC75" s="306"/>
      <c r="CD75" s="308"/>
      <c r="CE75" s="312">
        <f>IF(CB76=0,"-",(CB75/CB76))</f>
        <v>11759.201341968102</v>
      </c>
      <c r="CF75" s="304"/>
      <c r="CG75" s="24">
        <f>+CG73</f>
        <v>283258.04076786072</v>
      </c>
      <c r="CH75" s="306"/>
      <c r="CI75" s="308"/>
      <c r="CJ75" s="312">
        <f>IF(CG76=0,"-",(CG75/CG76))</f>
        <v>13277.76171878624</v>
      </c>
      <c r="CK75" s="304"/>
      <c r="CL75" s="24">
        <f>+CL73</f>
        <v>303141.09235952829</v>
      </c>
      <c r="CM75" s="306"/>
      <c r="CN75" s="308"/>
      <c r="CO75" s="312">
        <f>IF(CL76=0,"-",(CL75/CL76))</f>
        <v>13510.156976795543</v>
      </c>
      <c r="CP75" s="304"/>
      <c r="CQ75" s="24">
        <f>+CQ73</f>
        <v>296689.96888274222</v>
      </c>
      <c r="CR75" s="306"/>
      <c r="CS75" s="308"/>
      <c r="CT75" s="312">
        <f>IF(CQ76=0,"-",(CQ75/CQ76))</f>
        <v>12747.359205293515</v>
      </c>
    </row>
    <row r="76" spans="1:98" ht="18" customHeight="1" x14ac:dyDescent="0.2">
      <c r="A76" s="21"/>
      <c r="B76" s="321"/>
      <c r="C76" s="323"/>
      <c r="D76" s="305"/>
      <c r="E76" s="25">
        <f>+PL!K5</f>
        <v>21.347318528921299</v>
      </c>
      <c r="F76" s="307"/>
      <c r="G76" s="309"/>
      <c r="H76" s="313"/>
      <c r="I76" s="305"/>
      <c r="J76" s="25">
        <f>+PL!L5</f>
        <v>19.453054298642535</v>
      </c>
      <c r="K76" s="307"/>
      <c r="L76" s="309"/>
      <c r="M76" s="313"/>
      <c r="N76" s="305"/>
      <c r="O76" s="25">
        <f>+PL!M5</f>
        <v>22.748031868795213</v>
      </c>
      <c r="P76" s="307"/>
      <c r="Q76" s="309"/>
      <c r="R76" s="313"/>
      <c r="S76" s="305"/>
      <c r="T76" s="25">
        <f>+PL!N5</f>
        <v>21.848411568045332</v>
      </c>
      <c r="U76" s="307"/>
      <c r="V76" s="309"/>
      <c r="W76" s="313"/>
      <c r="X76" s="305"/>
      <c r="Y76" s="25">
        <f>+PL!O5</f>
        <v>20.205459362863763</v>
      </c>
      <c r="Z76" s="307"/>
      <c r="AA76" s="309"/>
      <c r="AB76" s="313"/>
      <c r="AC76" s="305"/>
      <c r="AD76" s="25">
        <f>+PL!P5</f>
        <v>20.152178392700858</v>
      </c>
      <c r="AE76" s="307"/>
      <c r="AF76" s="309"/>
      <c r="AG76" s="313"/>
      <c r="AH76" s="305"/>
      <c r="AI76" s="25">
        <f>+PL!Q5</f>
        <v>22.821736819167953</v>
      </c>
      <c r="AJ76" s="307"/>
      <c r="AK76" s="309"/>
      <c r="AL76" s="313"/>
      <c r="AM76" s="305"/>
      <c r="AN76" s="25">
        <f>+PL!R5</f>
        <v>19.853952851186037</v>
      </c>
      <c r="AO76" s="307"/>
      <c r="AP76" s="309"/>
      <c r="AQ76" s="313"/>
      <c r="AR76" s="305"/>
      <c r="AS76" s="25">
        <f>+PL!S5</f>
        <v>23.141805274563811</v>
      </c>
      <c r="AT76" s="307"/>
      <c r="AU76" s="309"/>
      <c r="AV76" s="313"/>
      <c r="AW76" s="305"/>
      <c r="AX76" s="25">
        <f>+PL!T5</f>
        <v>19.858120360783609</v>
      </c>
      <c r="AY76" s="307"/>
      <c r="AZ76" s="309"/>
      <c r="BA76" s="313"/>
      <c r="BB76" s="305"/>
      <c r="BC76" s="25">
        <f>+PL!U5</f>
        <v>20.072881892659066</v>
      </c>
      <c r="BD76" s="307"/>
      <c r="BE76" s="309"/>
      <c r="BF76" s="313"/>
      <c r="BG76" s="305"/>
      <c r="BH76" s="25">
        <f>+PL!V5</f>
        <v>17.618263452592512</v>
      </c>
      <c r="BI76" s="307"/>
      <c r="BJ76" s="309"/>
      <c r="BK76" s="313"/>
      <c r="BL76" s="305"/>
      <c r="BM76" s="25">
        <f>+PL!W5</f>
        <v>19.500963661852872</v>
      </c>
      <c r="BN76" s="307"/>
      <c r="BO76" s="309"/>
      <c r="BP76" s="313"/>
      <c r="BQ76" s="305"/>
      <c r="BR76" s="25">
        <f>+PL!X5</f>
        <v>19.952157532469993</v>
      </c>
      <c r="BS76" s="307"/>
      <c r="BT76" s="309"/>
      <c r="BU76" s="313"/>
      <c r="BV76" s="305"/>
      <c r="BW76" s="25">
        <f>+PL!Y5</f>
        <v>25.465956937246414</v>
      </c>
      <c r="BX76" s="307"/>
      <c r="BY76" s="309"/>
      <c r="BZ76" s="313"/>
      <c r="CA76" s="305"/>
      <c r="CB76" s="25">
        <f>+PL!Z5</f>
        <v>23.765799442876588</v>
      </c>
      <c r="CC76" s="307"/>
      <c r="CD76" s="309"/>
      <c r="CE76" s="313"/>
      <c r="CF76" s="305"/>
      <c r="CG76" s="25">
        <f>+PL!AA5</f>
        <v>21.333267365921234</v>
      </c>
      <c r="CH76" s="307"/>
      <c r="CI76" s="309"/>
      <c r="CJ76" s="313"/>
      <c r="CK76" s="305"/>
      <c r="CL76" s="25">
        <f>+PL!AB5</f>
        <v>22.438014071945297</v>
      </c>
      <c r="CM76" s="307"/>
      <c r="CN76" s="309"/>
      <c r="CO76" s="313"/>
      <c r="CP76" s="305"/>
      <c r="CQ76" s="25">
        <f>+PL!AC5</f>
        <v>23.274622147584708</v>
      </c>
      <c r="CR76" s="307"/>
      <c r="CS76" s="309"/>
      <c r="CT76" s="313"/>
    </row>
    <row r="77" spans="1:98"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row>
    <row r="78" spans="1:98" ht="18" customHeight="1" x14ac:dyDescent="0.2">
      <c r="A78" s="20"/>
      <c r="B78" s="320" t="s">
        <v>181</v>
      </c>
      <c r="C78" s="322" t="s">
        <v>167</v>
      </c>
      <c r="D78" s="304"/>
      <c r="E78" s="24">
        <f>+BS!K33+BS!K34+BS!K38+BS!K39+BS!K40</f>
        <v>237673.22039849032</v>
      </c>
      <c r="F78" s="306" t="s">
        <v>168</v>
      </c>
      <c r="G78" s="308">
        <v>100</v>
      </c>
      <c r="H78" s="310">
        <f>IF(E79=0,"-",(E78/E79)*G78)</f>
        <v>44.571135015358244</v>
      </c>
      <c r="I78" s="304"/>
      <c r="J78" s="24">
        <f>+BS!L33+BS!L34+BS!L38+BS!L39+BS!L40</f>
        <v>191442.59049773758</v>
      </c>
      <c r="K78" s="306" t="s">
        <v>111</v>
      </c>
      <c r="L78" s="308">
        <v>100</v>
      </c>
      <c r="M78" s="310">
        <f>IF(J79=0,"-",(J78/J79)*L78)</f>
        <v>42.451937438242311</v>
      </c>
      <c r="N78" s="304"/>
      <c r="O78" s="24">
        <f>+BS!M33+BS!M34+BS!M38+BS!M39+BS!M40</f>
        <v>240921.84216501622</v>
      </c>
      <c r="P78" s="306" t="s">
        <v>111</v>
      </c>
      <c r="Q78" s="308">
        <v>100</v>
      </c>
      <c r="R78" s="310">
        <f>IF(O79=0,"-",(O78/O79)*Q78)</f>
        <v>41.548627103623204</v>
      </c>
      <c r="S78" s="304"/>
      <c r="T78" s="24">
        <f>+BS!N33+BS!N34+BS!N38+BS!N39+BS!N40</f>
        <v>174653.23231868781</v>
      </c>
      <c r="U78" s="306" t="s">
        <v>111</v>
      </c>
      <c r="V78" s="308">
        <v>100</v>
      </c>
      <c r="W78" s="310">
        <f>IF(T79=0,"-",(T78/T79)*V78)</f>
        <v>40.07232735919866</v>
      </c>
      <c r="X78" s="304"/>
      <c r="Y78" s="24">
        <f>+BS!O33+BS!O34+BS!O38+BS!O39+BS!O40</f>
        <v>186586.78283720536</v>
      </c>
      <c r="Z78" s="306" t="s">
        <v>111</v>
      </c>
      <c r="AA78" s="308">
        <v>100</v>
      </c>
      <c r="AB78" s="310">
        <f>IF(Y79=0,"-",(Y78/Y79)*AA78)</f>
        <v>40.951095759937829</v>
      </c>
      <c r="AC78" s="304"/>
      <c r="AD78" s="24">
        <f>+BS!P33+BS!P34+BS!P38+BS!P39+BS!P40</f>
        <v>164617.66786837738</v>
      </c>
      <c r="AE78" s="306" t="s">
        <v>111</v>
      </c>
      <c r="AF78" s="308">
        <v>100</v>
      </c>
      <c r="AG78" s="310">
        <f>IF(AD79=0,"-",(AD78/AD79)*AF78)</f>
        <v>32.062500186131317</v>
      </c>
      <c r="AH78" s="304"/>
      <c r="AI78" s="24">
        <f>+BS!Q33+BS!Q34+BS!Q38+BS!Q39+BS!Q40</f>
        <v>183363.71826150673</v>
      </c>
      <c r="AJ78" s="306" t="s">
        <v>168</v>
      </c>
      <c r="AK78" s="308">
        <v>100</v>
      </c>
      <c r="AL78" s="310">
        <f>IF(AI79=0,"-",(AI78/AI79)*AK78)</f>
        <v>28.969877090154107</v>
      </c>
      <c r="AM78" s="304"/>
      <c r="AN78" s="24">
        <f>+BS!R33+BS!R34+BS!R38+BS!R39+BS!R40</f>
        <v>169436.43442235049</v>
      </c>
      <c r="AO78" s="306" t="s">
        <v>168</v>
      </c>
      <c r="AP78" s="308">
        <v>100</v>
      </c>
      <c r="AQ78" s="310">
        <f>IF(AN79=0,"-",(AN78/AN79)*AP78)</f>
        <v>37.413011045479436</v>
      </c>
      <c r="AR78" s="304"/>
      <c r="AS78" s="24">
        <f>+BS!S33+BS!S34+BS!S38+BS!S39+BS!S40</f>
        <v>160566.92146556237</v>
      </c>
      <c r="AT78" s="306" t="s">
        <v>111</v>
      </c>
      <c r="AU78" s="308">
        <v>100</v>
      </c>
      <c r="AV78" s="310">
        <f>IF(AS79=0,"-",(AS78/AS79)*AU78)</f>
        <v>34.118543353817735</v>
      </c>
      <c r="AW78" s="304"/>
      <c r="AX78" s="24">
        <f>+BS!T33+BS!T34+BS!T38+BS!T39+BS!T40</f>
        <v>158669.49997830376</v>
      </c>
      <c r="AY78" s="306" t="s">
        <v>111</v>
      </c>
      <c r="AZ78" s="308">
        <v>100</v>
      </c>
      <c r="BA78" s="310">
        <f>IF(AX79=0,"-",(AX78/AX79)*AZ78)</f>
        <v>36.918260375345746</v>
      </c>
      <c r="BB78" s="304"/>
      <c r="BC78" s="24">
        <f>+BS!U33+BS!U34+BS!U38+BS!U39+BS!U40</f>
        <v>181462.40985522704</v>
      </c>
      <c r="BD78" s="306" t="s">
        <v>111</v>
      </c>
      <c r="BE78" s="308">
        <v>100</v>
      </c>
      <c r="BF78" s="310">
        <f>IF(BC79=0,"-",(BC78/BC79)*BE78)</f>
        <v>38.354122407808603</v>
      </c>
      <c r="BG78" s="304"/>
      <c r="BH78" s="24">
        <f>+BS!V33+BS!V34+BS!V38+BS!V39+BS!V40</f>
        <v>125686.5399580396</v>
      </c>
      <c r="BI78" s="306" t="s">
        <v>111</v>
      </c>
      <c r="BJ78" s="308">
        <v>100</v>
      </c>
      <c r="BK78" s="310">
        <f>IF(BH79=0,"-",(BH78/BH79)*BJ78)</f>
        <v>33.431313108703748</v>
      </c>
      <c r="BL78" s="304"/>
      <c r="BM78" s="24">
        <f>+BS!W33+BS!W34+BS!W38+BS!W39+BS!W40</f>
        <v>131148.8293277628</v>
      </c>
      <c r="BN78" s="306" t="s">
        <v>111</v>
      </c>
      <c r="BO78" s="308">
        <v>100</v>
      </c>
      <c r="BP78" s="310">
        <f>IF(BM79=0,"-",(BM78/BM79)*BO78)</f>
        <v>28.99505516280685</v>
      </c>
      <c r="BQ78" s="304"/>
      <c r="BR78" s="24">
        <f>+BS!X33+BS!X34+BS!X38+BS!X39+BS!X40</f>
        <v>129934.74845257387</v>
      </c>
      <c r="BS78" s="306" t="s">
        <v>111</v>
      </c>
      <c r="BT78" s="308">
        <v>100</v>
      </c>
      <c r="BU78" s="310">
        <f>IF(BR79=0,"-",(BR78/BR79)*BT78)</f>
        <v>30.172666495336486</v>
      </c>
      <c r="BV78" s="304"/>
      <c r="BW78" s="24">
        <f>+BS!Y33+BS!Y34+BS!Y38+BS!Y39+BS!Y40</f>
        <v>133480.03819511476</v>
      </c>
      <c r="BX78" s="306" t="s">
        <v>111</v>
      </c>
      <c r="BY78" s="308">
        <v>100</v>
      </c>
      <c r="BZ78" s="310">
        <f>IF(BW79=0,"-",(BW78/BW79)*BY78)</f>
        <v>24.183936031244158</v>
      </c>
      <c r="CA78" s="304"/>
      <c r="CB78" s="24">
        <f>+BS!Z33+BS!Z34+BS!Z38+BS!Z39+BS!Z40</f>
        <v>144975.18138402392</v>
      </c>
      <c r="CC78" s="306" t="s">
        <v>111</v>
      </c>
      <c r="CD78" s="308">
        <v>100</v>
      </c>
      <c r="CE78" s="310">
        <f>IF(CB79=0,"-",(CB78/CB79)*CD78)</f>
        <v>26.912133715655745</v>
      </c>
      <c r="CF78" s="304"/>
      <c r="CG78" s="24">
        <f>+BS!AA33+BS!AA34+BS!AA38+BS!AA39+BS!AA40</f>
        <v>143862.29467642985</v>
      </c>
      <c r="CH78" s="306" t="s">
        <v>168</v>
      </c>
      <c r="CI78" s="308">
        <v>100</v>
      </c>
      <c r="CJ78" s="310">
        <f>IF(CG79=0,"-",(CG78/CG79)*CI78)</f>
        <v>24.573439232789003</v>
      </c>
      <c r="CK78" s="304"/>
      <c r="CL78" s="24">
        <f>+BS!AB33+BS!AB34+BS!AB38+BS!AB39+BS!AB40</f>
        <v>179776.34446536517</v>
      </c>
      <c r="CM78" s="306" t="s">
        <v>111</v>
      </c>
      <c r="CN78" s="308">
        <v>100</v>
      </c>
      <c r="CO78" s="310">
        <f>IF(CL79=0,"-",(CL78/CL79)*CN78)</f>
        <v>28.183416859084577</v>
      </c>
      <c r="CP78" s="304"/>
      <c r="CQ78" s="24">
        <f>+BS!AC33+BS!AC34+BS!AC38+BS!AC39+BS!AC40</f>
        <v>171710.49501136027</v>
      </c>
      <c r="CR78" s="306" t="s">
        <v>111</v>
      </c>
      <c r="CS78" s="308">
        <v>100</v>
      </c>
      <c r="CT78" s="310">
        <f>IF(CQ79=0,"-",(CQ78/CQ79)*CS78)</f>
        <v>27.866941644591581</v>
      </c>
    </row>
    <row r="79" spans="1:98" ht="18" customHeight="1" x14ac:dyDescent="0.2">
      <c r="A79" s="22"/>
      <c r="B79" s="321"/>
      <c r="C79" s="323"/>
      <c r="D79" s="305"/>
      <c r="E79" s="25">
        <f>+E7</f>
        <v>533244.711665057</v>
      </c>
      <c r="F79" s="307"/>
      <c r="G79" s="309"/>
      <c r="H79" s="311"/>
      <c r="I79" s="305"/>
      <c r="J79" s="25">
        <f>+J7</f>
        <v>450963.14102564106</v>
      </c>
      <c r="K79" s="307"/>
      <c r="L79" s="309"/>
      <c r="M79" s="311"/>
      <c r="N79" s="305"/>
      <c r="O79" s="25">
        <f>+O7</f>
        <v>579855.12148007145</v>
      </c>
      <c r="P79" s="307"/>
      <c r="Q79" s="309"/>
      <c r="R79" s="311"/>
      <c r="S79" s="305"/>
      <c r="T79" s="25">
        <f>+T7</f>
        <v>435844.99286287621</v>
      </c>
      <c r="U79" s="307"/>
      <c r="V79" s="309"/>
      <c r="W79" s="311"/>
      <c r="X79" s="305"/>
      <c r="Y79" s="25">
        <f>+Y7</f>
        <v>455633.18728028255</v>
      </c>
      <c r="Z79" s="307"/>
      <c r="AA79" s="309"/>
      <c r="AB79" s="311"/>
      <c r="AC79" s="305"/>
      <c r="AD79" s="25">
        <f>+AD7</f>
        <v>513427.42117030232</v>
      </c>
      <c r="AE79" s="307"/>
      <c r="AF79" s="309"/>
      <c r="AG79" s="311"/>
      <c r="AH79" s="305"/>
      <c r="AI79" s="25">
        <f>+AI7</f>
        <v>632946.13812436897</v>
      </c>
      <c r="AJ79" s="307"/>
      <c r="AK79" s="309"/>
      <c r="AL79" s="311"/>
      <c r="AM79" s="305"/>
      <c r="AN79" s="25">
        <f>+AN7</f>
        <v>452881.04241698899</v>
      </c>
      <c r="AO79" s="307"/>
      <c r="AP79" s="309"/>
      <c r="AQ79" s="311"/>
      <c r="AR79" s="305"/>
      <c r="AS79" s="25">
        <f>+AS7</f>
        <v>470614.82021797838</v>
      </c>
      <c r="AT79" s="307"/>
      <c r="AU79" s="309"/>
      <c r="AV79" s="311"/>
      <c r="AW79" s="305"/>
      <c r="AX79" s="25">
        <f>+AX7</f>
        <v>429785.96056564001</v>
      </c>
      <c r="AY79" s="307"/>
      <c r="AZ79" s="309"/>
      <c r="BA79" s="311"/>
      <c r="BB79" s="305"/>
      <c r="BC79" s="25">
        <f>+BC7</f>
        <v>473123.61348224385</v>
      </c>
      <c r="BD79" s="307"/>
      <c r="BE79" s="309"/>
      <c r="BF79" s="311"/>
      <c r="BG79" s="305"/>
      <c r="BH79" s="25">
        <f>+BH7</f>
        <v>375954.54162797297</v>
      </c>
      <c r="BI79" s="307"/>
      <c r="BJ79" s="309"/>
      <c r="BK79" s="311"/>
      <c r="BL79" s="305"/>
      <c r="BM79" s="25">
        <f>+BM7</f>
        <v>452314.46738543478</v>
      </c>
      <c r="BN79" s="307"/>
      <c r="BO79" s="309"/>
      <c r="BP79" s="311"/>
      <c r="BQ79" s="305"/>
      <c r="BR79" s="25">
        <f>+BR7</f>
        <v>430637.27388050605</v>
      </c>
      <c r="BS79" s="307"/>
      <c r="BT79" s="309"/>
      <c r="BU79" s="311"/>
      <c r="BV79" s="305"/>
      <c r="BW79" s="25">
        <f>+BW7</f>
        <v>551936.78160026041</v>
      </c>
      <c r="BX79" s="307"/>
      <c r="BY79" s="309"/>
      <c r="BZ79" s="311"/>
      <c r="CA79" s="305"/>
      <c r="CB79" s="25">
        <f>+CB7</f>
        <v>538698.20548523322</v>
      </c>
      <c r="CC79" s="307"/>
      <c r="CD79" s="309"/>
      <c r="CE79" s="311"/>
      <c r="CF79" s="305"/>
      <c r="CG79" s="25">
        <f>+CG7</f>
        <v>585438.17702355038</v>
      </c>
      <c r="CH79" s="307"/>
      <c r="CI79" s="309"/>
      <c r="CJ79" s="311"/>
      <c r="CK79" s="305"/>
      <c r="CL79" s="25">
        <f>+CL7</f>
        <v>637879.87582994741</v>
      </c>
      <c r="CM79" s="307"/>
      <c r="CN79" s="309"/>
      <c r="CO79" s="311"/>
      <c r="CP79" s="305"/>
      <c r="CQ79" s="25">
        <f>+CQ7</f>
        <v>616179.9066482269</v>
      </c>
      <c r="CR79" s="307"/>
      <c r="CS79" s="309"/>
      <c r="CT79" s="311"/>
    </row>
    <row r="80" spans="1:98" ht="18" customHeight="1" x14ac:dyDescent="0.2">
      <c r="A80" s="20"/>
      <c r="B80" s="320" t="s">
        <v>573</v>
      </c>
      <c r="C80" s="322" t="s">
        <v>441</v>
      </c>
      <c r="D80" s="304"/>
      <c r="E80" s="24">
        <f>E78-BS!K10</f>
        <v>153673.57149126663</v>
      </c>
      <c r="F80" s="306"/>
      <c r="G80" s="308">
        <v>1</v>
      </c>
      <c r="H80" s="310">
        <f>IF(E81=0,"-",(E80/E81)*G80)</f>
        <v>11.389354445626667</v>
      </c>
      <c r="I80" s="304"/>
      <c r="J80" s="24">
        <f>J78-BS!L10</f>
        <v>106428.26168929113</v>
      </c>
      <c r="K80" s="306" t="s">
        <v>111</v>
      </c>
      <c r="L80" s="308">
        <v>1</v>
      </c>
      <c r="M80" s="310">
        <f>IF(J81=0,"-",(J80/J81)*L80)</f>
        <v>7.2750828038611752</v>
      </c>
      <c r="N80" s="304"/>
      <c r="O80" s="24">
        <f>O78-BS!M10</f>
        <v>104517.37704686233</v>
      </c>
      <c r="P80" s="306" t="s">
        <v>111</v>
      </c>
      <c r="Q80" s="308">
        <v>1</v>
      </c>
      <c r="R80" s="310">
        <f>IF(O81=0,"-",(O80/O81)*Q80)</f>
        <v>5.7088766699221747</v>
      </c>
      <c r="S80" s="304"/>
      <c r="T80" s="24">
        <f>T78-BS!N9</f>
        <v>-60073.404834250512</v>
      </c>
      <c r="U80" s="306" t="s">
        <v>111</v>
      </c>
      <c r="V80" s="308">
        <v>1</v>
      </c>
      <c r="W80" s="310">
        <f>IF(T81=0,"-",(T80/T81)*V80)</f>
        <v>-4.9569301007556303</v>
      </c>
      <c r="X80" s="304"/>
      <c r="Y80" s="24">
        <f>Y78-BS!O10</f>
        <v>122301.42015516065</v>
      </c>
      <c r="Z80" s="306" t="s">
        <v>111</v>
      </c>
      <c r="AA80" s="308">
        <v>1</v>
      </c>
      <c r="AB80" s="310">
        <f>IF(Y81=0,"-",(Y80/Y81)*AA80)</f>
        <v>9.2308499099703809</v>
      </c>
      <c r="AC80" s="304"/>
      <c r="AD80" s="24">
        <f>AD78-BS!P10</f>
        <v>57623.049063858067</v>
      </c>
      <c r="AE80" s="306" t="s">
        <v>111</v>
      </c>
      <c r="AF80" s="308">
        <v>1</v>
      </c>
      <c r="AG80" s="310">
        <f>IF(AD81=0,"-",(AD80/AD81)*AF80)</f>
        <v>3.7825486406099165</v>
      </c>
      <c r="AH80" s="304"/>
      <c r="AI80" s="24">
        <f>AI78-BS!Q10</f>
        <v>63904.868157373843</v>
      </c>
      <c r="AJ80" s="306" t="s">
        <v>111</v>
      </c>
      <c r="AK80" s="308">
        <v>1</v>
      </c>
      <c r="AL80" s="310">
        <f>IF(AI81=0,"-",(AI80/AI81)*AK80)</f>
        <v>2.3084950729859304</v>
      </c>
      <c r="AM80" s="304"/>
      <c r="AN80" s="24">
        <f>AN78-BS!R10</f>
        <v>86344.67820446218</v>
      </c>
      <c r="AO80" s="306" t="s">
        <v>111</v>
      </c>
      <c r="AP80" s="308">
        <v>1</v>
      </c>
      <c r="AQ80" s="310">
        <f>IF(AN81=0,"-",(AN80/AN81)*AP80)</f>
        <v>4.4528495236503778</v>
      </c>
      <c r="AR80" s="304"/>
      <c r="AS80" s="24">
        <f>AS78-BS!S10</f>
        <v>75017.425675704042</v>
      </c>
      <c r="AT80" s="306" t="s">
        <v>111</v>
      </c>
      <c r="AU80" s="308">
        <v>1</v>
      </c>
      <c r="AV80" s="310">
        <f>IF(AS81=0,"-",(AS80/AS81)*AU80)</f>
        <v>3.7871502382211522</v>
      </c>
      <c r="AW80" s="304"/>
      <c r="AX80" s="24">
        <f>AX78-BS!T10</f>
        <v>80916.194538369571</v>
      </c>
      <c r="AY80" s="306" t="s">
        <v>111</v>
      </c>
      <c r="AZ80" s="308">
        <v>1</v>
      </c>
      <c r="BA80" s="310">
        <f>IF(AX81=0,"-",(AX80/AX81)*AZ80)</f>
        <v>3.3866135204075136</v>
      </c>
      <c r="BB80" s="304"/>
      <c r="BC80" s="24">
        <f>BC78-BS!U10</f>
        <v>117313.57388663753</v>
      </c>
      <c r="BD80" s="306" t="s">
        <v>111</v>
      </c>
      <c r="BE80" s="308">
        <v>1</v>
      </c>
      <c r="BF80" s="310">
        <f>IF(BC81=0,"-",(BC80/BC81)*BE80)</f>
        <v>3.3627446726481649</v>
      </c>
      <c r="BG80" s="304"/>
      <c r="BH80" s="24">
        <f>BH78-BS!V10</f>
        <v>71658.861303819664</v>
      </c>
      <c r="BI80" s="306" t="s">
        <v>111</v>
      </c>
      <c r="BJ80" s="308">
        <v>1</v>
      </c>
      <c r="BK80" s="310">
        <f>IF(BH81=0,"-",(BH80/BH81)*BJ80)</f>
        <v>2.4227569358439403</v>
      </c>
      <c r="BL80" s="304"/>
      <c r="BM80" s="24">
        <f>BM78-BS!W10</f>
        <v>48761.342634457687</v>
      </c>
      <c r="BN80" s="306" t="s">
        <v>111</v>
      </c>
      <c r="BO80" s="308">
        <v>1</v>
      </c>
      <c r="BP80" s="310">
        <f>IF(BM81=0,"-",(BM80/BM81)*BO80)</f>
        <v>1.8145138776621317</v>
      </c>
      <c r="BQ80" s="304"/>
      <c r="BR80" s="24">
        <f>BR78-BS!X10</f>
        <v>59288.134315105795</v>
      </c>
      <c r="BS80" s="306" t="s">
        <v>111</v>
      </c>
      <c r="BT80" s="308">
        <v>1</v>
      </c>
      <c r="BU80" s="310">
        <f>IF(BR81=0,"-",(BR80/BR81)*BT80)</f>
        <v>1.7384008208594657</v>
      </c>
      <c r="BV80" s="304"/>
      <c r="BW80" s="24">
        <f>BW78-BS!Y10</f>
        <v>37141.375384649844</v>
      </c>
      <c r="BX80" s="306" t="s">
        <v>111</v>
      </c>
      <c r="BY80" s="308">
        <v>1</v>
      </c>
      <c r="BZ80" s="310">
        <f>IF(BW81=0,"-",(BW80/BW81)*BY80)</f>
        <v>0.66666690851304</v>
      </c>
      <c r="CA80" s="304"/>
      <c r="CB80" s="24">
        <f>CB78-BS!Z10</f>
        <v>41517.931400601257</v>
      </c>
      <c r="CC80" s="306" t="s">
        <v>111</v>
      </c>
      <c r="CD80" s="308">
        <v>1</v>
      </c>
      <c r="CE80" s="310">
        <f>IF(CB81=0,"-",(CB80/CB81)*CD80)</f>
        <v>1.2828376162865787</v>
      </c>
      <c r="CF80" s="304"/>
      <c r="CG80" s="24">
        <f>CG78-BS!AA10</f>
        <v>13259.808826439752</v>
      </c>
      <c r="CH80" s="306" t="s">
        <v>111</v>
      </c>
      <c r="CI80" s="308">
        <v>1</v>
      </c>
      <c r="CJ80" s="310">
        <f>IF(CG81=0,"-",(CG80/CG81)*CI80)</f>
        <v>0.2938120973281303</v>
      </c>
      <c r="CK80" s="304"/>
      <c r="CL80" s="24">
        <f>CL78-BS!AB10</f>
        <v>7672.0433059161587</v>
      </c>
      <c r="CM80" s="306" t="s">
        <v>111</v>
      </c>
      <c r="CN80" s="308">
        <v>1</v>
      </c>
      <c r="CO80" s="310">
        <f>IF(CL81=0,"-",(CL80/CL81)*CN80)</f>
        <v>0.16155249653697076</v>
      </c>
      <c r="CP80" s="304"/>
      <c r="CQ80" s="24">
        <f>CQ78-BS!AC10</f>
        <v>36698.322236491134</v>
      </c>
      <c r="CR80" s="306" t="s">
        <v>111</v>
      </c>
      <c r="CS80" s="308">
        <v>1</v>
      </c>
      <c r="CT80" s="310">
        <f>IF(CQ81=0,"-",(CQ80/CQ81)*CS80)</f>
        <v>0.93811543328053637</v>
      </c>
    </row>
    <row r="81" spans="1:98" ht="18" customHeight="1" x14ac:dyDescent="0.2">
      <c r="A81" s="22"/>
      <c r="B81" s="321"/>
      <c r="C81" s="323"/>
      <c r="D81" s="305"/>
      <c r="E81" s="25">
        <f>PL!K28+PL!K13+PL!K24</f>
        <v>13492.737645922931</v>
      </c>
      <c r="F81" s="307"/>
      <c r="G81" s="309"/>
      <c r="H81" s="311"/>
      <c r="I81" s="305"/>
      <c r="J81" s="25">
        <f>PL!L28+PL!L13+PL!L24</f>
        <v>14629.147812971341</v>
      </c>
      <c r="K81" s="307"/>
      <c r="L81" s="309"/>
      <c r="M81" s="311"/>
      <c r="N81" s="305"/>
      <c r="O81" s="25">
        <f>PL!M28+PL!M13+PL!M24</f>
        <v>18307.870898231744</v>
      </c>
      <c r="P81" s="307"/>
      <c r="Q81" s="309"/>
      <c r="R81" s="311"/>
      <c r="S81" s="305"/>
      <c r="T81" s="25">
        <f>PL!N28+PL!N13+PL!N24</f>
        <v>12119.07442977519</v>
      </c>
      <c r="U81" s="307"/>
      <c r="V81" s="309"/>
      <c r="W81" s="311"/>
      <c r="X81" s="305"/>
      <c r="Y81" s="25">
        <f>PL!O28+PL!O13+PL!O24</f>
        <v>13249.204715490068</v>
      </c>
      <c r="Z81" s="307"/>
      <c r="AA81" s="309"/>
      <c r="AB81" s="311"/>
      <c r="AC81" s="305"/>
      <c r="AD81" s="25">
        <f>PL!P28+PL!P13+PL!P24</f>
        <v>15233.92150076004</v>
      </c>
      <c r="AE81" s="307"/>
      <c r="AF81" s="309"/>
      <c r="AG81" s="311"/>
      <c r="AH81" s="305"/>
      <c r="AI81" s="25">
        <f>PL!Q28+PL!Q13+PL!Q24</f>
        <v>27682.479770128288</v>
      </c>
      <c r="AJ81" s="307"/>
      <c r="AK81" s="309"/>
      <c r="AL81" s="311"/>
      <c r="AM81" s="305"/>
      <c r="AN81" s="25">
        <f>PL!R28+PL!R13+PL!R24</f>
        <v>19390.881669335671</v>
      </c>
      <c r="AO81" s="307"/>
      <c r="AP81" s="309"/>
      <c r="AQ81" s="311"/>
      <c r="AR81" s="305"/>
      <c r="AS81" s="25">
        <f>PL!S28+PL!S13+PL!S24</f>
        <v>19808.41027076343</v>
      </c>
      <c r="AT81" s="307"/>
      <c r="AU81" s="309"/>
      <c r="AV81" s="311"/>
      <c r="AW81" s="305"/>
      <c r="AX81" s="25">
        <f>PL!T28+PL!T13+PL!T24</f>
        <v>23892.952074623758</v>
      </c>
      <c r="AY81" s="307"/>
      <c r="AZ81" s="309"/>
      <c r="BA81" s="311"/>
      <c r="BB81" s="305"/>
      <c r="BC81" s="25">
        <f>PL!U28+PL!U13+PL!U24</f>
        <v>34886.256705970176</v>
      </c>
      <c r="BD81" s="307"/>
      <c r="BE81" s="309"/>
      <c r="BF81" s="311"/>
      <c r="BG81" s="305"/>
      <c r="BH81" s="25">
        <f>PL!V28+PL!W13+PL!W24</f>
        <v>29577.404255313009</v>
      </c>
      <c r="BI81" s="307"/>
      <c r="BJ81" s="309"/>
      <c r="BK81" s="311"/>
      <c r="BL81" s="305"/>
      <c r="BM81" s="25">
        <f>PL!W28+PL!W13+PL!W24</f>
        <v>26872.951061296433</v>
      </c>
      <c r="BN81" s="307"/>
      <c r="BO81" s="309"/>
      <c r="BP81" s="311"/>
      <c r="BQ81" s="305"/>
      <c r="BR81" s="25">
        <f>PL!X28+PL!X13+PL!X24</f>
        <v>34104.985227626465</v>
      </c>
      <c r="BS81" s="307"/>
      <c r="BT81" s="309"/>
      <c r="BU81" s="311"/>
      <c r="BV81" s="305"/>
      <c r="BW81" s="25">
        <f>PL!Y28+PL!Y13+PL!Y24</f>
        <v>55712.042866341486</v>
      </c>
      <c r="BX81" s="307"/>
      <c r="BY81" s="309"/>
      <c r="BZ81" s="311"/>
      <c r="CA81" s="305"/>
      <c r="CB81" s="25">
        <f>PL!Z28+PL!Z13+PL!Z24</f>
        <v>32364.13625037199</v>
      </c>
      <c r="CC81" s="307"/>
      <c r="CD81" s="309"/>
      <c r="CE81" s="311"/>
      <c r="CF81" s="305"/>
      <c r="CG81" s="25">
        <f>PL!AA28+PL!AA13+PL!AA24</f>
        <v>45130.234415198895</v>
      </c>
      <c r="CH81" s="307"/>
      <c r="CI81" s="309"/>
      <c r="CJ81" s="311"/>
      <c r="CK81" s="305"/>
      <c r="CL81" s="25">
        <f>PL!AB28+PL!AB13+PL!AB24</f>
        <v>47489.475374095731</v>
      </c>
      <c r="CM81" s="307"/>
      <c r="CN81" s="309"/>
      <c r="CO81" s="311"/>
      <c r="CP81" s="305"/>
      <c r="CQ81" s="25">
        <f>PL!AC28+PL!AC13+PL!AC24</f>
        <v>39119.196779610786</v>
      </c>
      <c r="CR81" s="307"/>
      <c r="CS81" s="309"/>
      <c r="CT81" s="311"/>
    </row>
    <row r="82" spans="1:98" x14ac:dyDescent="0.2">
      <c r="B82" s="76" t="s">
        <v>582</v>
      </c>
    </row>
  </sheetData>
  <sheetProtection algorithmName="SHA-512" hashValue="3lTcxiQUBOdSRpIi2tgHONPP3FgQQgg50X8owu810Tn+9uOQ/CjaDJu21SiTXC1dYxoVE1Zfg3dTaKN3k7OwHA==" saltValue="a1uwMoVcOJVAyffpgI9UbQ==" spinCount="100000" sheet="1" objects="1" scenarios="1"/>
  <mergeCells count="2611">
    <mergeCell ref="CF3:CJ3"/>
    <mergeCell ref="CP3:CT3"/>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P62:CP63"/>
    <mergeCell ref="CP38:CP39"/>
    <mergeCell ref="CP27:CP28"/>
    <mergeCell ref="CP15:CP16"/>
    <mergeCell ref="CP4:CT4"/>
    <mergeCell ref="CP6:CP7"/>
    <mergeCell ref="CR6:CR7"/>
    <mergeCell ref="CS6:CS7"/>
    <mergeCell ref="CT6:CT7"/>
    <mergeCell ref="CP8:CP9"/>
    <mergeCell ref="CR8:CR9"/>
    <mergeCell ref="CS8:CS9"/>
    <mergeCell ref="CT8:CT9"/>
    <mergeCell ref="CP11:CP12"/>
    <mergeCell ref="CR11:CR12"/>
    <mergeCell ref="CS11:CS12"/>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T11:CT12"/>
    <mergeCell ref="CP13:CP14"/>
    <mergeCell ref="CR13:CR14"/>
    <mergeCell ref="CS13:CS14"/>
    <mergeCell ref="CT13:CT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72"/>
  <sheetViews>
    <sheetView workbookViewId="0"/>
  </sheetViews>
  <sheetFormatPr defaultColWidth="9" defaultRowHeight="10.8" x14ac:dyDescent="0.2"/>
  <cols>
    <col min="1" max="2" width="2.77734375" style="76" customWidth="1"/>
    <col min="3" max="3" width="29.44140625" style="76" customWidth="1"/>
    <col min="4" max="4" width="5.77734375" style="201" customWidth="1"/>
    <col min="5" max="23" width="9.5546875" style="76" customWidth="1"/>
    <col min="24" max="16384" width="9" style="76"/>
  </cols>
  <sheetData>
    <row r="1" spans="1:23" ht="16.2" x14ac:dyDescent="0.2">
      <c r="A1" s="6" t="s">
        <v>385</v>
      </c>
    </row>
    <row r="2" spans="1:23" ht="14.4" x14ac:dyDescent="0.2">
      <c r="A2" s="75" t="str">
        <f>BS!A2</f>
        <v>２１　窯業・土石製品製造業</v>
      </c>
    </row>
    <row r="3" spans="1:23"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580</v>
      </c>
    </row>
    <row r="4" spans="1:23" x14ac:dyDescent="0.2">
      <c r="A4" s="339" t="s">
        <v>395</v>
      </c>
      <c r="B4" s="339" t="s">
        <v>397</v>
      </c>
      <c r="C4" s="155" t="s">
        <v>386</v>
      </c>
      <c r="D4" s="203" t="s">
        <v>254</v>
      </c>
      <c r="E4" s="156">
        <f>BS!K9</f>
        <v>276862.020538927</v>
      </c>
      <c r="F4" s="156">
        <f>BS!L9</f>
        <v>244330.97662141779</v>
      </c>
      <c r="G4" s="156">
        <f>BS!M9</f>
        <v>343995.03492176341</v>
      </c>
      <c r="H4" s="156">
        <f>BS!N9</f>
        <v>234726.63715293832</v>
      </c>
      <c r="I4" s="156">
        <f>BS!O9</f>
        <v>203652.24619771284</v>
      </c>
      <c r="J4" s="156">
        <f>BS!P9</f>
        <v>257562.12687981984</v>
      </c>
      <c r="K4" s="156">
        <f>BS!Q9</f>
        <v>326135.370696545</v>
      </c>
      <c r="L4" s="156">
        <f>BS!R9</f>
        <v>250961.32899370315</v>
      </c>
      <c r="M4" s="156">
        <f>BS!S9</f>
        <v>266762.08772034023</v>
      </c>
      <c r="N4" s="156">
        <f>BS!T9</f>
        <v>228968.9537896229</v>
      </c>
      <c r="O4" s="156">
        <f>BS!U9</f>
        <v>241409.24772314038</v>
      </c>
      <c r="P4" s="156">
        <f>BS!V9</f>
        <v>207747.38164270468</v>
      </c>
      <c r="Q4" s="156">
        <f>BS!W9</f>
        <v>244974.17075527442</v>
      </c>
      <c r="R4" s="156">
        <f>BS!X9</f>
        <v>225314.21812867536</v>
      </c>
      <c r="S4" s="156">
        <f>BS!Y9</f>
        <v>293582.62179653399</v>
      </c>
      <c r="T4" s="156">
        <f>BS!Z9</f>
        <v>293382.81030096789</v>
      </c>
      <c r="U4" s="156">
        <f>BS!AA9</f>
        <v>342968.14991094405</v>
      </c>
      <c r="V4" s="156">
        <f>BS!AB9</f>
        <v>362598.05727876321</v>
      </c>
      <c r="W4" s="156">
        <f>BS!AC9</f>
        <v>350936.29121801839</v>
      </c>
    </row>
    <row r="5" spans="1:23" x14ac:dyDescent="0.2">
      <c r="A5" s="339"/>
      <c r="B5" s="339"/>
      <c r="C5" s="157" t="s">
        <v>387</v>
      </c>
      <c r="D5" s="204" t="s">
        <v>254</v>
      </c>
      <c r="E5" s="158">
        <f>BS!K15</f>
        <v>254300.096550513</v>
      </c>
      <c r="F5" s="158">
        <f>BS!L15</f>
        <v>204618.40120663648</v>
      </c>
      <c r="G5" s="158">
        <f>BS!M15</f>
        <v>234099.41382127907</v>
      </c>
      <c r="H5" s="158">
        <f>BS!N15</f>
        <v>198558.91461630253</v>
      </c>
      <c r="I5" s="158">
        <f>BS!O15</f>
        <v>249668.5440295272</v>
      </c>
      <c r="J5" s="158">
        <f>BS!P15</f>
        <v>254202.65043246822</v>
      </c>
      <c r="K5" s="158">
        <f>BS!Q15</f>
        <v>302376.86072510667</v>
      </c>
      <c r="L5" s="158">
        <f>BS!R15</f>
        <v>201324.24603802565</v>
      </c>
      <c r="M5" s="158">
        <f>BS!S15</f>
        <v>202770.36876540253</v>
      </c>
      <c r="N5" s="158">
        <f>BS!T15</f>
        <v>198288.65072981827</v>
      </c>
      <c r="O5" s="158">
        <f>BS!U15</f>
        <v>231396.63570095928</v>
      </c>
      <c r="P5" s="158">
        <f>BS!V15</f>
        <v>165848.69248499369</v>
      </c>
      <c r="Q5" s="158">
        <f>BS!W15</f>
        <v>207116.71543233399</v>
      </c>
      <c r="R5" s="158">
        <f>BS!X15</f>
        <v>204751.75005008749</v>
      </c>
      <c r="S5" s="158">
        <f>BS!Y15</f>
        <v>257965.77457850124</v>
      </c>
      <c r="T5" s="158">
        <f>BS!Z15</f>
        <v>244266.81179331985</v>
      </c>
      <c r="U5" s="158">
        <f>BS!AA15</f>
        <v>241581.54502275877</v>
      </c>
      <c r="V5" s="158">
        <f>BS!AB15</f>
        <v>273877.75106530567</v>
      </c>
      <c r="W5" s="158">
        <f>BS!AC15</f>
        <v>263180.58895584312</v>
      </c>
    </row>
    <row r="6" spans="1:23" x14ac:dyDescent="0.2">
      <c r="A6" s="339"/>
      <c r="B6" s="339"/>
      <c r="C6" s="157" t="s">
        <v>388</v>
      </c>
      <c r="D6" s="204" t="s">
        <v>254</v>
      </c>
      <c r="E6" s="158">
        <f>BS!K8</f>
        <v>533244.711665057</v>
      </c>
      <c r="F6" s="158">
        <f>BS!L8</f>
        <v>450963.14102564106</v>
      </c>
      <c r="G6" s="158">
        <f>BS!M8</f>
        <v>579855.12148007145</v>
      </c>
      <c r="H6" s="158">
        <f>BS!N8</f>
        <v>435844.99286287621</v>
      </c>
      <c r="I6" s="158">
        <f>BS!O8</f>
        <v>455633.18728028255</v>
      </c>
      <c r="J6" s="158">
        <f>BS!P8</f>
        <v>513427.42117030232</v>
      </c>
      <c r="K6" s="158">
        <f>BS!Q8</f>
        <v>632946.13812436897</v>
      </c>
      <c r="L6" s="158">
        <f>BS!R8</f>
        <v>452881.04241698899</v>
      </c>
      <c r="M6" s="158">
        <f>BS!S8</f>
        <v>470614.82021797838</v>
      </c>
      <c r="N6" s="158">
        <f>BS!T8</f>
        <v>429785.96056564001</v>
      </c>
      <c r="O6" s="158">
        <f>BS!U8</f>
        <v>473123.61348224385</v>
      </c>
      <c r="P6" s="158">
        <f>BS!V8</f>
        <v>375954.54162797297</v>
      </c>
      <c r="Q6" s="158">
        <f>BS!W8</f>
        <v>452314.46738543478</v>
      </c>
      <c r="R6" s="158">
        <f>BS!X8</f>
        <v>430637.27388050605</v>
      </c>
      <c r="S6" s="158">
        <f>BS!Y8</f>
        <v>551936.78160026041</v>
      </c>
      <c r="T6" s="158">
        <f>BS!Z8</f>
        <v>538698.20548523322</v>
      </c>
      <c r="U6" s="158">
        <f>BS!AA8</f>
        <v>585438.17702355038</v>
      </c>
      <c r="V6" s="158">
        <f>BS!AB8</f>
        <v>637879.87582994741</v>
      </c>
      <c r="W6" s="158">
        <f>BS!AC8</f>
        <v>616179.9066482269</v>
      </c>
    </row>
    <row r="7" spans="1:23" x14ac:dyDescent="0.2">
      <c r="A7" s="339"/>
      <c r="B7" s="339"/>
      <c r="C7" s="157" t="s">
        <v>389</v>
      </c>
      <c r="D7" s="204" t="s">
        <v>254</v>
      </c>
      <c r="E7" s="158">
        <f>BS!K31</f>
        <v>228177.565171597</v>
      </c>
      <c r="F7" s="158">
        <f>BS!L31</f>
        <v>169590.96907993968</v>
      </c>
      <c r="G7" s="158">
        <f>BS!M31</f>
        <v>215017.20590855449</v>
      </c>
      <c r="H7" s="158">
        <f>BS!N31</f>
        <v>159813.65463007777</v>
      </c>
      <c r="I7" s="158">
        <f>BS!O31</f>
        <v>146806.21178949616</v>
      </c>
      <c r="J7" s="158">
        <f>BS!P31</f>
        <v>138375.22808872617</v>
      </c>
      <c r="K7" s="158">
        <f>BS!Q31</f>
        <v>181720.36768637097</v>
      </c>
      <c r="L7" s="158">
        <f>BS!R31</f>
        <v>149023.84133879837</v>
      </c>
      <c r="M7" s="158">
        <f>BS!S31</f>
        <v>158056.73599222113</v>
      </c>
      <c r="N7" s="158">
        <f>BS!T31</f>
        <v>144532.10002685853</v>
      </c>
      <c r="O7" s="158">
        <f>BS!U31</f>
        <v>159144.53395549196</v>
      </c>
      <c r="P7" s="158">
        <f>BS!V31</f>
        <v>131736.01629974882</v>
      </c>
      <c r="Q7" s="158">
        <f>BS!W31</f>
        <v>130933.24687120202</v>
      </c>
      <c r="R7" s="158">
        <f>BS!X31</f>
        <v>132780.2661094809</v>
      </c>
      <c r="S7" s="158">
        <f>BS!Y31</f>
        <v>162261.86685885792</v>
      </c>
      <c r="T7" s="158">
        <f>BS!Z31</f>
        <v>155431.94499058096</v>
      </c>
      <c r="U7" s="158">
        <f>BS!AA31</f>
        <v>160036.09519097567</v>
      </c>
      <c r="V7" s="158">
        <f>BS!AB31</f>
        <v>180718.96145079774</v>
      </c>
      <c r="W7" s="158">
        <f>BS!AC31</f>
        <v>177366.31166650201</v>
      </c>
    </row>
    <row r="8" spans="1:23" x14ac:dyDescent="0.2">
      <c r="A8" s="339"/>
      <c r="B8" s="339"/>
      <c r="C8" s="157" t="s">
        <v>390</v>
      </c>
      <c r="D8" s="204" t="s">
        <v>254</v>
      </c>
      <c r="E8" s="158">
        <f>BS!K37</f>
        <v>155574.914421136</v>
      </c>
      <c r="F8" s="158">
        <f>BS!L37</f>
        <v>132837.95248868779</v>
      </c>
      <c r="G8" s="158">
        <f>BS!M37</f>
        <v>167470.9128753281</v>
      </c>
      <c r="H8" s="158">
        <f>BS!N37</f>
        <v>113910.62651463797</v>
      </c>
      <c r="I8" s="158">
        <f>BS!O37</f>
        <v>142137.71543878375</v>
      </c>
      <c r="J8" s="158">
        <f>BS!P37</f>
        <v>142170.39208167227</v>
      </c>
      <c r="K8" s="158">
        <f>BS!Q37</f>
        <v>146482.5303165291</v>
      </c>
      <c r="L8" s="158">
        <f>BS!R37</f>
        <v>113162.37264035712</v>
      </c>
      <c r="M8" s="158">
        <f>BS!S37</f>
        <v>127081.2839814738</v>
      </c>
      <c r="N8" s="158">
        <f>BS!T37</f>
        <v>112787.64825006117</v>
      </c>
      <c r="O8" s="158">
        <f>BS!U37</f>
        <v>136454.08208249244</v>
      </c>
      <c r="P8" s="158">
        <f>BS!V37</f>
        <v>90810.20967670242</v>
      </c>
      <c r="Q8" s="158">
        <f>BS!W37</f>
        <v>103644.20629617252</v>
      </c>
      <c r="R8" s="158">
        <f>BS!X37</f>
        <v>111333.73301710628</v>
      </c>
      <c r="S8" s="158">
        <f>BS!Y37</f>
        <v>142392.74942530674</v>
      </c>
      <c r="T8" s="158">
        <f>BS!Z37</f>
        <v>124680.1402489429</v>
      </c>
      <c r="U8" s="158">
        <f>BS!AA37</f>
        <v>117551.35741143874</v>
      </c>
      <c r="V8" s="158">
        <f>BS!AB37</f>
        <v>147137.88514517888</v>
      </c>
      <c r="W8" s="158">
        <f>BS!AC37</f>
        <v>136328.07754618197</v>
      </c>
    </row>
    <row r="9" spans="1:23" x14ac:dyDescent="0.2">
      <c r="A9" s="339"/>
      <c r="B9" s="339"/>
      <c r="C9" s="159" t="s">
        <v>391</v>
      </c>
      <c r="D9" s="205" t="s">
        <v>254</v>
      </c>
      <c r="E9" s="160">
        <f>BS!K43</f>
        <v>149492.23207232502</v>
      </c>
      <c r="F9" s="160">
        <f>BS!L43</f>
        <v>148534.21945701356</v>
      </c>
      <c r="G9" s="160">
        <f>BS!M43</f>
        <v>197367.00269618895</v>
      </c>
      <c r="H9" s="160">
        <f>BS!N43</f>
        <v>162120.71171816153</v>
      </c>
      <c r="I9" s="160">
        <f>BS!O43</f>
        <v>166689.26005200355</v>
      </c>
      <c r="J9" s="160">
        <f>BS!P43</f>
        <v>232881.80099990391</v>
      </c>
      <c r="K9" s="160">
        <f>BS!Q43</f>
        <v>304743.24012146896</v>
      </c>
      <c r="L9" s="160">
        <f>BS!R43</f>
        <v>190694.82843783332</v>
      </c>
      <c r="M9" s="160">
        <f>BS!S43</f>
        <v>185476.80024428348</v>
      </c>
      <c r="N9" s="160">
        <f>BS!T43</f>
        <v>172466.2122887203</v>
      </c>
      <c r="O9" s="160">
        <f>BS!U43</f>
        <v>177524.99744425935</v>
      </c>
      <c r="P9" s="160">
        <f>BS!V43</f>
        <v>153408.31565152138</v>
      </c>
      <c r="Q9" s="160">
        <f>BS!W43</f>
        <v>217737.01421806036</v>
      </c>
      <c r="R9" s="160">
        <f>BS!X43</f>
        <v>186523.27475391861</v>
      </c>
      <c r="S9" s="160">
        <f>BS!Y43</f>
        <v>247282.16531609549</v>
      </c>
      <c r="T9" s="160">
        <f>BS!Z43</f>
        <v>258586.1202457092</v>
      </c>
      <c r="U9" s="160">
        <f>BS!AA43</f>
        <v>307850.7243221848</v>
      </c>
      <c r="V9" s="160">
        <f>BS!AB43</f>
        <v>310023.02923397085</v>
      </c>
      <c r="W9" s="160">
        <f>BS!AC43</f>
        <v>302485.51743554283</v>
      </c>
    </row>
    <row r="10" spans="1:23" x14ac:dyDescent="0.2">
      <c r="A10" s="339"/>
      <c r="B10" s="339" t="s">
        <v>398</v>
      </c>
      <c r="C10" s="155" t="s">
        <v>310</v>
      </c>
      <c r="D10" s="203" t="s">
        <v>254</v>
      </c>
      <c r="E10" s="156">
        <f>PL!K6</f>
        <v>476566.84718686901</v>
      </c>
      <c r="F10" s="156">
        <f>PL!L6</f>
        <v>431883.95550527907</v>
      </c>
      <c r="G10" s="156">
        <f>PL!M6</f>
        <v>470276.95833658014</v>
      </c>
      <c r="H10" s="156">
        <f>PL!N6</f>
        <v>382317.10699519957</v>
      </c>
      <c r="I10" s="156">
        <f>PL!O6</f>
        <v>444717.01417659037</v>
      </c>
      <c r="J10" s="156">
        <f>PL!P6</f>
        <v>466028.2715769179</v>
      </c>
      <c r="K10" s="156">
        <f>PL!Q6</f>
        <v>571062.94556079933</v>
      </c>
      <c r="L10" s="156">
        <f>PL!R6</f>
        <v>380712.29461116524</v>
      </c>
      <c r="M10" s="156">
        <f>PL!S6</f>
        <v>481641.09597770061</v>
      </c>
      <c r="N10" s="156">
        <f>PL!T6</f>
        <v>399147.49110443954</v>
      </c>
      <c r="O10" s="156">
        <f>PL!U6</f>
        <v>466318.69523454586</v>
      </c>
      <c r="P10" s="156">
        <f>PL!V6</f>
        <v>401930.379131675</v>
      </c>
      <c r="Q10" s="156">
        <f>PL!W6</f>
        <v>420952.65570839075</v>
      </c>
      <c r="R10" s="156">
        <f>PL!X6</f>
        <v>433716.8601081805</v>
      </c>
      <c r="S10" s="156">
        <f>PL!Y6</f>
        <v>610593.27578583988</v>
      </c>
      <c r="T10" s="156">
        <f>PL!Z6</f>
        <v>497242.65165447723</v>
      </c>
      <c r="U10" s="156">
        <f>PL!AA6</f>
        <v>509828.00504650705</v>
      </c>
      <c r="V10" s="156">
        <f>PL!AB6</f>
        <v>552662.77653354476</v>
      </c>
      <c r="W10" s="156">
        <f>PL!AC6</f>
        <v>548953.19845895481</v>
      </c>
    </row>
    <row r="11" spans="1:23" x14ac:dyDescent="0.2">
      <c r="A11" s="339"/>
      <c r="B11" s="339"/>
      <c r="C11" s="157" t="s">
        <v>392</v>
      </c>
      <c r="D11" s="204" t="s">
        <v>254</v>
      </c>
      <c r="E11" s="158">
        <f>PL!K6-PL!K8</f>
        <v>113619.71737031499</v>
      </c>
      <c r="F11" s="158">
        <f>PL!L6-PL!L8</f>
        <v>98472.850678733026</v>
      </c>
      <c r="G11" s="158">
        <f>PL!M6-PL!M8</f>
        <v>115784.47058408416</v>
      </c>
      <c r="H11" s="158">
        <f>PL!N6-PL!N8</f>
        <v>78492.71200338233</v>
      </c>
      <c r="I11" s="158">
        <f>PL!O6-PL!O8</f>
        <v>87667.551823555375</v>
      </c>
      <c r="J11" s="158">
        <f>PL!P6-PL!P8</f>
        <v>88582.278941595519</v>
      </c>
      <c r="K11" s="158">
        <f>PL!Q6-PL!Q8</f>
        <v>98641.968368662812</v>
      </c>
      <c r="L11" s="158">
        <f>PL!R6-PL!R8</f>
        <v>78830.032634424453</v>
      </c>
      <c r="M11" s="158">
        <f>PL!S6-PL!S8</f>
        <v>88198.702371440944</v>
      </c>
      <c r="N11" s="158">
        <f>PL!T6-PL!T8</f>
        <v>91066.009391332453</v>
      </c>
      <c r="O11" s="158">
        <f>PL!U6-PL!U8</f>
        <v>97940.64602431102</v>
      </c>
      <c r="P11" s="158">
        <f>PL!V6-PL!V8</f>
        <v>77287.198332161177</v>
      </c>
      <c r="Q11" s="158">
        <f>PL!W6-PL!W8</f>
        <v>90183.409480724484</v>
      </c>
      <c r="R11" s="158">
        <f>PL!X6-PL!X8</f>
        <v>100689.71432177612</v>
      </c>
      <c r="S11" s="158">
        <f>PL!Y6-PL!Y8</f>
        <v>154741.78426618862</v>
      </c>
      <c r="T11" s="158">
        <f>PL!Z6-PL!Z8</f>
        <v>115897.78489313344</v>
      </c>
      <c r="U11" s="158">
        <f>PL!AA6-PL!AA8</f>
        <v>126112.56936473382</v>
      </c>
      <c r="V11" s="158">
        <f>PL!AB6-PL!AB8</f>
        <v>135811.41452779708</v>
      </c>
      <c r="W11" s="158">
        <f>PL!AC6-PL!AC8</f>
        <v>125952.00197569892</v>
      </c>
    </row>
    <row r="12" spans="1:23" x14ac:dyDescent="0.2">
      <c r="A12" s="339"/>
      <c r="B12" s="339"/>
      <c r="C12" s="157" t="s">
        <v>69</v>
      </c>
      <c r="D12" s="204" t="s">
        <v>254</v>
      </c>
      <c r="E12" s="158">
        <f>PL!K42</f>
        <v>14070.128148863034</v>
      </c>
      <c r="F12" s="158">
        <f>PL!L42</f>
        <v>12633.295625942701</v>
      </c>
      <c r="G12" s="158">
        <f>PL!M42</f>
        <v>8200.0331160771311</v>
      </c>
      <c r="H12" s="158">
        <f>PL!N42</f>
        <v>-1050.8901642554556</v>
      </c>
      <c r="I12" s="158">
        <f>PL!O42</f>
        <v>5845.6290274688508</v>
      </c>
      <c r="J12" s="158">
        <f>PL!P42</f>
        <v>1584.2078071520082</v>
      </c>
      <c r="K12" s="158">
        <f>PL!Q42</f>
        <v>166.11911319139099</v>
      </c>
      <c r="L12" s="158">
        <f>PL!R42</f>
        <v>6986.3330154404603</v>
      </c>
      <c r="M12" s="158">
        <f>PL!S42</f>
        <v>3679.3643688011598</v>
      </c>
      <c r="N12" s="158">
        <f>PL!T42</f>
        <v>11790.923927390375</v>
      </c>
      <c r="O12" s="158">
        <f>PL!U42</f>
        <v>17714.767715319871</v>
      </c>
      <c r="P12" s="158">
        <f>PL!V42</f>
        <v>15526.147858096676</v>
      </c>
      <c r="Q12" s="158">
        <f>PL!W42</f>
        <v>12821.694664080098</v>
      </c>
      <c r="R12" s="158">
        <f>PL!X42</f>
        <v>20287.037430354289</v>
      </c>
      <c r="S12" s="158">
        <f>PL!Y42</f>
        <v>34502.788514524043</v>
      </c>
      <c r="T12" s="158">
        <f>PL!Z42</f>
        <v>16919.494862570296</v>
      </c>
      <c r="U12" s="158">
        <f>PL!AA42</f>
        <v>28465.156045913322</v>
      </c>
      <c r="V12" s="158">
        <f>PL!AB42</f>
        <v>27089.759092260432</v>
      </c>
      <c r="W12" s="158">
        <f>PL!AC42</f>
        <v>22698.368270275609</v>
      </c>
    </row>
    <row r="13" spans="1:23" x14ac:dyDescent="0.2">
      <c r="A13" s="339"/>
      <c r="B13" s="339"/>
      <c r="C13" s="157" t="s">
        <v>311</v>
      </c>
      <c r="D13" s="204" t="s">
        <v>254</v>
      </c>
      <c r="E13" s="158">
        <f>PL!K34</f>
        <v>13674.265777231602</v>
      </c>
      <c r="F13" s="158">
        <f>PL!L34</f>
        <v>16694.570135746606</v>
      </c>
      <c r="G13" s="158">
        <f>PL!M34</f>
        <v>9079.0707428644273</v>
      </c>
      <c r="H13" s="158">
        <f>PL!N34</f>
        <v>3082.2768024796655</v>
      </c>
      <c r="I13" s="158">
        <f>PL!O34</f>
        <v>6865.6097148884965</v>
      </c>
      <c r="J13" s="158">
        <f>PL!P34</f>
        <v>1369.1385894512221</v>
      </c>
      <c r="K13" s="158">
        <f>PL!Q34</f>
        <v>2702.8496897490108</v>
      </c>
      <c r="L13" s="158">
        <f>PL!R34</f>
        <v>6234.1960336807178</v>
      </c>
      <c r="M13" s="158">
        <f>PL!S34</f>
        <v>6262.6598008963583</v>
      </c>
      <c r="N13" s="158">
        <f>PL!T34</f>
        <v>13732.672359275977</v>
      </c>
      <c r="O13" s="158">
        <f>PL!U34</f>
        <v>19225.646491871281</v>
      </c>
      <c r="P13" s="158">
        <f>PL!V34</f>
        <v>16776.347528637059</v>
      </c>
      <c r="Q13" s="158">
        <f>PL!W34</f>
        <v>15000.913303005145</v>
      </c>
      <c r="R13" s="158">
        <f>PL!X34</f>
        <v>21976.353230743764</v>
      </c>
      <c r="S13" s="158">
        <f>PL!Y34</f>
        <v>34865.859400268091</v>
      </c>
      <c r="T13" s="158">
        <f>PL!Z34</f>
        <v>26373.395206001584</v>
      </c>
      <c r="U13" s="158">
        <f>PL!AA34</f>
        <v>32709.981100336434</v>
      </c>
      <c r="V13" s="158">
        <f>PL!AB34</f>
        <v>31117.694282033495</v>
      </c>
      <c r="W13" s="158">
        <f>PL!AC34</f>
        <v>28642.931542032995</v>
      </c>
    </row>
    <row r="14" spans="1:23" x14ac:dyDescent="0.2">
      <c r="A14" s="339"/>
      <c r="B14" s="339"/>
      <c r="C14" s="157" t="s">
        <v>393</v>
      </c>
      <c r="D14" s="204" t="s">
        <v>254</v>
      </c>
      <c r="E14" s="158">
        <f>PL!K37</f>
        <v>12522.377775827299</v>
      </c>
      <c r="F14" s="158">
        <f>PL!L37</f>
        <v>7446.8325791855204</v>
      </c>
      <c r="G14" s="158">
        <f>PL!M37</f>
        <v>9053.9824026372298</v>
      </c>
      <c r="H14" s="158">
        <f>PL!N37</f>
        <v>5219.9508227011302</v>
      </c>
      <c r="I14" s="158">
        <f>PL!O37</f>
        <v>6572.4636777838605</v>
      </c>
      <c r="J14" s="158">
        <f>PL!P37</f>
        <v>2689.1692486873048</v>
      </c>
      <c r="K14" s="158">
        <f>PL!Q37</f>
        <v>1674.7781694375244</v>
      </c>
      <c r="L14" s="158">
        <f>PL!R37</f>
        <v>4308.3988154166045</v>
      </c>
      <c r="M14" s="158">
        <f>PL!S37</f>
        <v>2388.9090620868492</v>
      </c>
      <c r="N14" s="158">
        <f>PL!T37</f>
        <v>12104.170116011161</v>
      </c>
      <c r="O14" s="158">
        <f>PL!U37</f>
        <v>17046.858933532509</v>
      </c>
      <c r="P14" s="158">
        <f>PL!V37</f>
        <v>15360.923838591005</v>
      </c>
      <c r="Q14" s="158">
        <f>PL!W37</f>
        <v>13756.698323094546</v>
      </c>
      <c r="R14" s="158">
        <f>PL!X37</f>
        <v>21522.818341420952</v>
      </c>
      <c r="S14" s="158">
        <f>PL!Y37</f>
        <v>36284.084899344569</v>
      </c>
      <c r="T14" s="158">
        <f>PL!Z37</f>
        <v>22331.15762771514</v>
      </c>
      <c r="U14" s="158">
        <f>PL!AA37</f>
        <v>31388.769542845836</v>
      </c>
      <c r="V14" s="158">
        <f>PL!AB37</f>
        <v>28103.30284411852</v>
      </c>
      <c r="W14" s="158">
        <f>PL!AC37</f>
        <v>26583.181369159338</v>
      </c>
    </row>
    <row r="15" spans="1:23" x14ac:dyDescent="0.2">
      <c r="A15" s="339"/>
      <c r="B15" s="339"/>
      <c r="C15" s="159" t="s">
        <v>394</v>
      </c>
      <c r="D15" s="205" t="s">
        <v>254</v>
      </c>
      <c r="E15" s="160">
        <f>PL!K38</f>
        <v>8068.5359431229699</v>
      </c>
      <c r="F15" s="160">
        <f>PL!L38</f>
        <v>3795.9087481146307</v>
      </c>
      <c r="G15" s="160">
        <f>PL!M38</f>
        <v>1941.7759394961477</v>
      </c>
      <c r="H15" s="160">
        <f>PL!N38</f>
        <v>-840.99770914266651</v>
      </c>
      <c r="I15" s="160">
        <f>PL!O38</f>
        <v>2483.6581056210766</v>
      </c>
      <c r="J15" s="160">
        <f>PL!P38</f>
        <v>-777.02789697397793</v>
      </c>
      <c r="K15" s="160">
        <f>PL!Q38</f>
        <v>-1550.9490888707821</v>
      </c>
      <c r="L15" s="160">
        <f>PL!R38</f>
        <v>1148.6573494731438</v>
      </c>
      <c r="M15" s="160">
        <f>PL!S38</f>
        <v>-4829.2269687239641</v>
      </c>
      <c r="N15" s="160">
        <f>PL!T38</f>
        <v>8879.5262784086972</v>
      </c>
      <c r="O15" s="160">
        <f>PL!U38</f>
        <v>10769.538842515687</v>
      </c>
      <c r="P15" s="160">
        <f>PL!V38</f>
        <v>9945.3613190129781</v>
      </c>
      <c r="Q15" s="160">
        <f>PL!W38</f>
        <v>8727.024691697301</v>
      </c>
      <c r="R15" s="160">
        <f>PL!X38</f>
        <v>14663.948992896116</v>
      </c>
      <c r="S15" s="160">
        <f>PL!Y38</f>
        <v>26813.732660714802</v>
      </c>
      <c r="T15" s="160">
        <f>PL!Z38</f>
        <v>15306.307977942914</v>
      </c>
      <c r="U15" s="160">
        <f>PL!AA38</f>
        <v>21779.970017811203</v>
      </c>
      <c r="V15" s="160">
        <f>PL!AB38</f>
        <v>18426.199484689329</v>
      </c>
      <c r="W15" s="160">
        <f>PL!AC38</f>
        <v>18104.31176528697</v>
      </c>
    </row>
    <row r="16" spans="1:23" x14ac:dyDescent="0.2">
      <c r="A16" s="339"/>
      <c r="B16" s="78"/>
      <c r="C16" s="78" t="s">
        <v>317</v>
      </c>
      <c r="D16" s="202" t="s">
        <v>318</v>
      </c>
      <c r="E16" s="100">
        <f>PL!K5</f>
        <v>21.347318528921299</v>
      </c>
      <c r="F16" s="100">
        <f>PL!L5</f>
        <v>19.453054298642535</v>
      </c>
      <c r="G16" s="100">
        <f>PL!M5</f>
        <v>22.748031868795213</v>
      </c>
      <c r="H16" s="100">
        <f>PL!N5</f>
        <v>21.848411568045332</v>
      </c>
      <c r="I16" s="100">
        <f>PL!O5</f>
        <v>20.205459362863763</v>
      </c>
      <c r="J16" s="100">
        <f>PL!P5</f>
        <v>20.152178392700858</v>
      </c>
      <c r="K16" s="100">
        <f>PL!Q5</f>
        <v>22.821736819167953</v>
      </c>
      <c r="L16" s="100">
        <f>PL!R5</f>
        <v>19.853952851186037</v>
      </c>
      <c r="M16" s="100">
        <f>PL!S5</f>
        <v>23.141805274563811</v>
      </c>
      <c r="N16" s="100">
        <f>PL!T5</f>
        <v>19.858120360783609</v>
      </c>
      <c r="O16" s="100">
        <f>PL!U5</f>
        <v>20.072881892659066</v>
      </c>
      <c r="P16" s="100">
        <f>PL!V5</f>
        <v>17.618263452592512</v>
      </c>
      <c r="Q16" s="100">
        <f>PL!W5</f>
        <v>19.500963661852872</v>
      </c>
      <c r="R16" s="100">
        <f>PL!X5</f>
        <v>19.952157532469993</v>
      </c>
      <c r="S16" s="100">
        <f>PL!Y5</f>
        <v>25.465956937246414</v>
      </c>
      <c r="T16" s="100">
        <f>PL!Z5</f>
        <v>23.765799442876588</v>
      </c>
      <c r="U16" s="100">
        <f>PL!AA5</f>
        <v>21.333267365921234</v>
      </c>
      <c r="V16" s="100">
        <f>PL!AB5</f>
        <v>22.438014071945297</v>
      </c>
      <c r="W16" s="100">
        <f>PL!AC5</f>
        <v>23.274622147584708</v>
      </c>
    </row>
    <row r="17" spans="1:23"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row>
    <row r="18" spans="1:23" x14ac:dyDescent="0.2">
      <c r="A18" s="341"/>
      <c r="B18" s="163"/>
      <c r="C18" s="164" t="s">
        <v>399</v>
      </c>
      <c r="D18" s="204" t="s">
        <v>404</v>
      </c>
      <c r="E18" s="165">
        <f t="shared" ref="E18:M18" si="0">(E12/E6)*100</f>
        <v>2.6385874704559278</v>
      </c>
      <c r="F18" s="165">
        <f>(F12/F6)*100</f>
        <v>2.8014031473193932</v>
      </c>
      <c r="G18" s="165">
        <f t="shared" si="0"/>
        <v>1.4141520549385975</v>
      </c>
      <c r="H18" s="165">
        <f t="shared" si="0"/>
        <v>-0.24111557582722593</v>
      </c>
      <c r="I18" s="165">
        <f t="shared" si="0"/>
        <v>1.2829682276574192</v>
      </c>
      <c r="J18" s="165">
        <f t="shared" si="0"/>
        <v>0.30855535599189027</v>
      </c>
      <c r="K18" s="165">
        <f t="shared" si="0"/>
        <v>2.6245379059213071E-2</v>
      </c>
      <c r="L18" s="165">
        <f t="shared" si="0"/>
        <v>1.5426419657919381</v>
      </c>
      <c r="M18" s="165">
        <f t="shared" si="0"/>
        <v>0.78182076099876319</v>
      </c>
      <c r="N18" s="165">
        <f t="shared" ref="N18:W18" si="1">(N12/N6)*100</f>
        <v>2.7434409239130044</v>
      </c>
      <c r="O18" s="165">
        <f t="shared" si="1"/>
        <v>3.7442155095445684</v>
      </c>
      <c r="P18" s="165">
        <f t="shared" si="1"/>
        <v>4.129793934890305</v>
      </c>
      <c r="Q18" s="165">
        <f t="shared" si="1"/>
        <v>2.8346859516112342</v>
      </c>
      <c r="R18" s="165">
        <f t="shared" si="1"/>
        <v>4.7109339253302931</v>
      </c>
      <c r="S18" s="165">
        <f t="shared" ref="S18:T18" si="2">(S12/S6)*100</f>
        <v>6.2512210935622425</v>
      </c>
      <c r="T18" s="165">
        <f t="shared" si="2"/>
        <v>3.1408114395573374</v>
      </c>
      <c r="U18" s="165">
        <f t="shared" ref="U18:V18" si="3">(U12/U6)*100</f>
        <v>4.8621967550244429</v>
      </c>
      <c r="V18" s="165">
        <f t="shared" si="3"/>
        <v>4.2468433507192662</v>
      </c>
      <c r="W18" s="165">
        <f t="shared" si="1"/>
        <v>3.6837241892137782</v>
      </c>
    </row>
    <row r="19" spans="1:23" x14ac:dyDescent="0.2">
      <c r="A19" s="341"/>
      <c r="B19" s="163"/>
      <c r="C19" s="164" t="s">
        <v>400</v>
      </c>
      <c r="D19" s="204" t="s">
        <v>404</v>
      </c>
      <c r="E19" s="166">
        <f t="shared" ref="E19:M19" si="4">(E13/E6)*100</f>
        <v>2.5643509402153648</v>
      </c>
      <c r="F19" s="166">
        <f>(F13/F6)*100</f>
        <v>3.7019810749449649</v>
      </c>
      <c r="G19" s="166">
        <f t="shared" si="4"/>
        <v>1.5657481337217882</v>
      </c>
      <c r="H19" s="166">
        <f t="shared" si="4"/>
        <v>0.70719564362401632</v>
      </c>
      <c r="I19" s="166">
        <f t="shared" si="4"/>
        <v>1.5068282790966057</v>
      </c>
      <c r="J19" s="166">
        <f t="shared" si="4"/>
        <v>0.26666643287778019</v>
      </c>
      <c r="K19" s="166">
        <f t="shared" si="4"/>
        <v>0.4270268079616471</v>
      </c>
      <c r="L19" s="166">
        <f t="shared" si="4"/>
        <v>1.3765636999087718</v>
      </c>
      <c r="M19" s="166">
        <f t="shared" si="4"/>
        <v>1.3307400302429135</v>
      </c>
      <c r="N19" s="166">
        <f t="shared" ref="N19:W19" si="5">(N13/N6)*100</f>
        <v>3.1952352145710967</v>
      </c>
      <c r="O19" s="166">
        <f t="shared" si="5"/>
        <v>4.06355674162368</v>
      </c>
      <c r="P19" s="166">
        <f t="shared" si="5"/>
        <v>4.4623340513434062</v>
      </c>
      <c r="Q19" s="166">
        <f t="shared" si="5"/>
        <v>3.3164787740964035</v>
      </c>
      <c r="R19" s="166">
        <f t="shared" si="5"/>
        <v>5.1032166892366586</v>
      </c>
      <c r="S19" s="166">
        <f t="shared" ref="S19:T19" si="6">(S13/S6)*100</f>
        <v>6.3170023384162954</v>
      </c>
      <c r="T19" s="166">
        <f t="shared" si="6"/>
        <v>4.8957644442579324</v>
      </c>
      <c r="U19" s="166">
        <f t="shared" ref="U19:V19" si="7">(U13/U6)*100</f>
        <v>5.5872647845821319</v>
      </c>
      <c r="V19" s="166">
        <f t="shared" si="7"/>
        <v>4.8783000469400557</v>
      </c>
      <c r="W19" s="166">
        <f t="shared" si="5"/>
        <v>4.6484689346394177</v>
      </c>
    </row>
    <row r="20" spans="1:23" x14ac:dyDescent="0.2">
      <c r="A20" s="341"/>
      <c r="B20" s="163"/>
      <c r="C20" s="164" t="s">
        <v>401</v>
      </c>
      <c r="D20" s="204" t="s">
        <v>404</v>
      </c>
      <c r="E20" s="166">
        <f t="shared" ref="E20:M20" si="8">(E15/E6)*100</f>
        <v>1.5131019148654958</v>
      </c>
      <c r="F20" s="166">
        <f>(F15/F6)*100</f>
        <v>0.84173370344225118</v>
      </c>
      <c r="G20" s="166">
        <f t="shared" si="8"/>
        <v>0.33487260309778655</v>
      </c>
      <c r="H20" s="166">
        <f t="shared" si="8"/>
        <v>-0.19295798343776266</v>
      </c>
      <c r="I20" s="166">
        <f t="shared" si="8"/>
        <v>0.54510035154512471</v>
      </c>
      <c r="J20" s="166">
        <f t="shared" si="8"/>
        <v>-0.15134133178995909</v>
      </c>
      <c r="K20" s="166">
        <f t="shared" si="8"/>
        <v>-0.2450365039696368</v>
      </c>
      <c r="L20" s="166">
        <f t="shared" si="8"/>
        <v>0.25363334780869912</v>
      </c>
      <c r="M20" s="166">
        <f t="shared" si="8"/>
        <v>-1.0261527604437048</v>
      </c>
      <c r="N20" s="166">
        <f t="shared" ref="N20:W20" si="9">(N15/N6)*100</f>
        <v>2.0660345132545466</v>
      </c>
      <c r="O20" s="166">
        <f t="shared" si="9"/>
        <v>2.2762632292331912</v>
      </c>
      <c r="P20" s="166">
        <f t="shared" si="9"/>
        <v>2.6453627281498417</v>
      </c>
      <c r="Q20" s="166">
        <f t="shared" si="9"/>
        <v>1.9294153340137721</v>
      </c>
      <c r="R20" s="166">
        <f t="shared" si="9"/>
        <v>3.4051741180595276</v>
      </c>
      <c r="S20" s="166">
        <f t="shared" ref="S20:T20" si="10">(S15/S6)*100</f>
        <v>4.8581166457093667</v>
      </c>
      <c r="T20" s="166">
        <f t="shared" si="10"/>
        <v>2.8413512096547144</v>
      </c>
      <c r="U20" s="166">
        <f t="shared" ref="U20:V20" si="11">(U15/U6)*100</f>
        <v>3.7202852278174992</v>
      </c>
      <c r="V20" s="166">
        <f t="shared" si="11"/>
        <v>2.8886629258706344</v>
      </c>
      <c r="W20" s="166">
        <f t="shared" si="9"/>
        <v>2.9381535441113638</v>
      </c>
    </row>
    <row r="21" spans="1:23" x14ac:dyDescent="0.2">
      <c r="A21" s="341"/>
      <c r="B21" s="163"/>
      <c r="C21" s="164" t="s">
        <v>402</v>
      </c>
      <c r="D21" s="204" t="s">
        <v>404</v>
      </c>
      <c r="E21" s="166">
        <f>(E12/(E6-BS!K22-BS!K27-BS!K28))*100</f>
        <v>2.8851793749979158</v>
      </c>
      <c r="F21" s="166">
        <f>(F12/(F6-BS!L22-BS!L27-BS!L28))*100</f>
        <v>3.0309911345985907</v>
      </c>
      <c r="G21" s="166">
        <f>(G12/(G6-BS!M22-BS!M27-BS!M28))*100</f>
        <v>1.5703007620936953</v>
      </c>
      <c r="H21" s="166">
        <f>(H12/(H6-BS!N22-BS!N27-BS!N28))*100</f>
        <v>-0.25693158622320034</v>
      </c>
      <c r="I21" s="166">
        <f>(I12/(I6-BS!O22-BS!O27-BS!O28))*100</f>
        <v>1.4752064402180474</v>
      </c>
      <c r="J21" s="166">
        <f>(J12/(J6-BS!P22-BS!P27-BS!P28))*100</f>
        <v>0.3435441841193802</v>
      </c>
      <c r="K21" s="166">
        <f>(K12/(K6-BS!Q22-BS!Q27-BS!Q28))*100</f>
        <v>2.9095141256227097E-2</v>
      </c>
      <c r="L21" s="166">
        <f>(L12/(L6-BS!R22-BS!R27-BS!R28))*100</f>
        <v>1.6997371807839172</v>
      </c>
      <c r="M21" s="166">
        <f>(M12/(M6-BS!S22-BS!S27-BS!S28))*100</f>
        <v>0.85329816136569969</v>
      </c>
      <c r="N21" s="166">
        <f>(N12/(N6-BS!T22-BS!T27-BS!T28))*100</f>
        <v>3.0759315604450514</v>
      </c>
      <c r="O21" s="166">
        <f>(O12/(O6-BS!U22-BS!U27-BS!U28))*100</f>
        <v>4.0622029242599966</v>
      </c>
      <c r="P21" s="166">
        <f>(P12/(P6-BS!V22-BS!V27-BS!V28))*100</f>
        <v>4.5482076938908431</v>
      </c>
      <c r="Q21" s="166">
        <f>(Q12/(Q6-BS!W22-BS!W27-BS!W28))*100</f>
        <v>3.193860924483729</v>
      </c>
      <c r="R21" s="166">
        <f>(R12/(R6-BS!X22-BS!X27-BS!X28))*100</f>
        <v>5.3509177245548409</v>
      </c>
      <c r="S21" s="166">
        <f>(S12/(S6-BS!Y22-BS!Y27-BS!Y28))*100</f>
        <v>6.949544941743059</v>
      </c>
      <c r="T21" s="166">
        <f>(T12/(T6-BS!Z22-BS!Z27-BS!Z28))*100</f>
        <v>3.5931408951241792</v>
      </c>
      <c r="U21" s="166">
        <f>(U12/(U6-BS!AA22-BS!AA27-BS!AA28))*100</f>
        <v>5.3318913204543046</v>
      </c>
      <c r="V21" s="166">
        <f>(V12/(V6-BS!AB22-BS!AB27-BS!AB28))*100</f>
        <v>4.7862367442227267</v>
      </c>
      <c r="W21" s="166">
        <f>(W12/(W6-BS!AC22-BS!AC27-BS!AC28))*100</f>
        <v>4.158379425656026</v>
      </c>
    </row>
    <row r="22" spans="1:23" x14ac:dyDescent="0.2">
      <c r="A22" s="341"/>
      <c r="B22" s="167"/>
      <c r="C22" s="168" t="s">
        <v>403</v>
      </c>
      <c r="D22" s="205" t="s">
        <v>404</v>
      </c>
      <c r="E22" s="169">
        <f t="shared" ref="E22:M22" si="12">(E15/E9)*100</f>
        <v>5.3972944488643231</v>
      </c>
      <c r="F22" s="169">
        <f>(F15/F9)*100</f>
        <v>2.5555786148074673</v>
      </c>
      <c r="G22" s="169">
        <f t="shared" si="12"/>
        <v>0.98384021288764401</v>
      </c>
      <c r="H22" s="169">
        <f t="shared" si="12"/>
        <v>-0.51874785166542914</v>
      </c>
      <c r="I22" s="169">
        <f t="shared" si="12"/>
        <v>1.4899928794729951</v>
      </c>
      <c r="J22" s="169">
        <f t="shared" si="12"/>
        <v>-0.33365762959480827</v>
      </c>
      <c r="K22" s="169">
        <f t="shared" si="12"/>
        <v>-0.50893633875277511</v>
      </c>
      <c r="L22" s="169">
        <f t="shared" si="12"/>
        <v>0.60235369720454013</v>
      </c>
      <c r="M22" s="169">
        <f t="shared" si="12"/>
        <v>-2.6036824887875993</v>
      </c>
      <c r="N22" s="169">
        <f t="shared" ref="N22:W22" si="13">(N15/N9)*100</f>
        <v>5.148559918242861</v>
      </c>
      <c r="O22" s="169">
        <f t="shared" si="13"/>
        <v>6.06649147869848</v>
      </c>
      <c r="P22" s="169">
        <f t="shared" si="13"/>
        <v>6.4829349548460078</v>
      </c>
      <c r="Q22" s="169">
        <f t="shared" si="13"/>
        <v>4.008057483031946</v>
      </c>
      <c r="R22" s="169">
        <f t="shared" si="13"/>
        <v>7.8617261101824205</v>
      </c>
      <c r="S22" s="169">
        <f t="shared" ref="S22:T22" si="14">(S15/S9)*100</f>
        <v>10.84337506768407</v>
      </c>
      <c r="T22" s="169">
        <f t="shared" si="14"/>
        <v>5.9192302987487571</v>
      </c>
      <c r="U22" s="169">
        <f t="shared" ref="U22:V22" si="15">(U15/U9)*100</f>
        <v>7.0748477417961571</v>
      </c>
      <c r="V22" s="169">
        <f t="shared" si="15"/>
        <v>5.9434937882576735</v>
      </c>
      <c r="W22" s="169">
        <f t="shared" si="13"/>
        <v>5.9851829994290053</v>
      </c>
    </row>
    <row r="23" spans="1:23"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row>
    <row r="24" spans="1:23" x14ac:dyDescent="0.2">
      <c r="A24" s="341"/>
      <c r="B24" s="163"/>
      <c r="C24" s="164" t="s">
        <v>406</v>
      </c>
      <c r="D24" s="204" t="s">
        <v>404</v>
      </c>
      <c r="E24" s="166">
        <f t="shared" ref="E24:M24" si="16">(E11/E10)*100</f>
        <v>23.841296985092836</v>
      </c>
      <c r="F24" s="166">
        <f>(F11/F10)*100</f>
        <v>22.800766137173476</v>
      </c>
      <c r="G24" s="166">
        <f t="shared" si="16"/>
        <v>24.620485552519138</v>
      </c>
      <c r="H24" s="166">
        <f t="shared" si="16"/>
        <v>20.530787288147138</v>
      </c>
      <c r="I24" s="166">
        <f t="shared" si="16"/>
        <v>19.713109467123722</v>
      </c>
      <c r="J24" s="166">
        <f t="shared" si="16"/>
        <v>19.007919549999883</v>
      </c>
      <c r="K24" s="166">
        <f t="shared" si="16"/>
        <v>17.273396765709201</v>
      </c>
      <c r="L24" s="166">
        <f t="shared" si="16"/>
        <v>20.705932997235173</v>
      </c>
      <c r="M24" s="166">
        <f t="shared" si="16"/>
        <v>18.312121433990846</v>
      </c>
      <c r="N24" s="166">
        <f t="shared" ref="N24:W24" si="17">(N11/N10)*100</f>
        <v>22.815127595905256</v>
      </c>
      <c r="O24" s="166">
        <f t="shared" si="17"/>
        <v>21.002942199229111</v>
      </c>
      <c r="P24" s="166">
        <f t="shared" si="17"/>
        <v>19.229001425354163</v>
      </c>
      <c r="Q24" s="166">
        <f t="shared" si="17"/>
        <v>21.423646640014983</v>
      </c>
      <c r="R24" s="166">
        <f t="shared" si="17"/>
        <v>23.215540732417328</v>
      </c>
      <c r="S24" s="166">
        <f t="shared" ref="S24:T24" si="18">(S11/S10)*100</f>
        <v>25.342857578481247</v>
      </c>
      <c r="T24" s="166">
        <f t="shared" si="18"/>
        <v>23.308094047746376</v>
      </c>
      <c r="U24" s="166">
        <f t="shared" ref="U24:V24" si="19">(U11/U10)*100</f>
        <v>24.736296970039866</v>
      </c>
      <c r="V24" s="166">
        <f t="shared" si="19"/>
        <v>24.574011548171239</v>
      </c>
      <c r="W24" s="166">
        <f t="shared" si="17"/>
        <v>22.944032811772814</v>
      </c>
    </row>
    <row r="25" spans="1:23" x14ac:dyDescent="0.2">
      <c r="A25" s="341"/>
      <c r="B25" s="163"/>
      <c r="C25" s="164" t="s">
        <v>407</v>
      </c>
      <c r="D25" s="204" t="s">
        <v>404</v>
      </c>
      <c r="E25" s="166">
        <f t="shared" ref="E25:M25" si="20">(E12/E10)*100</f>
        <v>2.9523934012442803</v>
      </c>
      <c r="F25" s="166">
        <f>(F12/F10)*100</f>
        <v>2.9251597483315814</v>
      </c>
      <c r="G25" s="166">
        <f t="shared" si="20"/>
        <v>1.7436604049412763</v>
      </c>
      <c r="H25" s="166">
        <f t="shared" si="20"/>
        <v>-0.27487395803835973</v>
      </c>
      <c r="I25" s="166">
        <f t="shared" si="20"/>
        <v>1.3144603964146153</v>
      </c>
      <c r="J25" s="166">
        <f t="shared" si="20"/>
        <v>0.33993813332214007</v>
      </c>
      <c r="K25" s="166">
        <f t="shared" si="20"/>
        <v>2.9089457560279544E-2</v>
      </c>
      <c r="L25" s="166">
        <f t="shared" si="20"/>
        <v>1.8350689258868946</v>
      </c>
      <c r="M25" s="166">
        <f t="shared" si="20"/>
        <v>0.7639224309404673</v>
      </c>
      <c r="N25" s="166">
        <f t="shared" ref="N25:W25" si="21">(N12/N10)*100</f>
        <v>2.9540268171960529</v>
      </c>
      <c r="O25" s="166">
        <f t="shared" si="21"/>
        <v>3.7988542806352243</v>
      </c>
      <c r="P25" s="166">
        <f t="shared" si="21"/>
        <v>3.8628948355780319</v>
      </c>
      <c r="Q25" s="166">
        <f t="shared" si="21"/>
        <v>3.045875703647337</v>
      </c>
      <c r="R25" s="166">
        <f t="shared" si="21"/>
        <v>4.6774841598950436</v>
      </c>
      <c r="S25" s="166">
        <f t="shared" ref="S25:T25" si="22">(S12/S10)*100</f>
        <v>5.6506990631560097</v>
      </c>
      <c r="T25" s="166">
        <f t="shared" si="22"/>
        <v>3.4026636303772415</v>
      </c>
      <c r="U25" s="166">
        <f t="shared" ref="U25:V25" si="23">(U12/U10)*100</f>
        <v>5.5832860816103462</v>
      </c>
      <c r="V25" s="166">
        <f t="shared" si="23"/>
        <v>4.9016796937501317</v>
      </c>
      <c r="W25" s="166">
        <f t="shared" si="21"/>
        <v>4.1348457999690051</v>
      </c>
    </row>
    <row r="26" spans="1:23" x14ac:dyDescent="0.2">
      <c r="A26" s="341"/>
      <c r="B26" s="163"/>
      <c r="C26" s="164" t="s">
        <v>408</v>
      </c>
      <c r="D26" s="204" t="s">
        <v>404</v>
      </c>
      <c r="E26" s="166">
        <f t="shared" ref="E26:M26" si="24">(E13/E10)*100</f>
        <v>2.8693279563925933</v>
      </c>
      <c r="F26" s="166">
        <f>(F13/F10)*100</f>
        <v>3.8655221901482615</v>
      </c>
      <c r="G26" s="166">
        <f t="shared" si="24"/>
        <v>1.930579540825915</v>
      </c>
      <c r="H26" s="166">
        <f t="shared" si="24"/>
        <v>0.80620949104387496</v>
      </c>
      <c r="I26" s="166">
        <f t="shared" si="24"/>
        <v>1.5438153918172932</v>
      </c>
      <c r="J26" s="166">
        <f t="shared" si="24"/>
        <v>0.2937887405024624</v>
      </c>
      <c r="K26" s="166">
        <f t="shared" si="24"/>
        <v>0.47330153545415887</v>
      </c>
      <c r="L26" s="166">
        <f t="shared" si="24"/>
        <v>1.6375084603054177</v>
      </c>
      <c r="M26" s="166">
        <f t="shared" si="24"/>
        <v>1.3002752159641942</v>
      </c>
      <c r="N26" s="166">
        <f t="shared" ref="N26:W26" si="25">(N13/N10)*100</f>
        <v>3.4405007335202651</v>
      </c>
      <c r="O26" s="166">
        <f t="shared" si="25"/>
        <v>4.1228556110540016</v>
      </c>
      <c r="P26" s="166">
        <f t="shared" si="25"/>
        <v>4.1739436478726626</v>
      </c>
      <c r="Q26" s="166">
        <f t="shared" si="25"/>
        <v>3.5635630514698131</v>
      </c>
      <c r="R26" s="166">
        <f t="shared" si="25"/>
        <v>5.0669815384309196</v>
      </c>
      <c r="S26" s="166">
        <f t="shared" ref="S26:T26" si="26">(S13/S10)*100</f>
        <v>5.7101610487595638</v>
      </c>
      <c r="T26" s="166">
        <f t="shared" si="26"/>
        <v>5.3039285986930711</v>
      </c>
      <c r="U26" s="166">
        <f t="shared" ref="U26:V26" si="27">(U13/U10)*100</f>
        <v>6.415885509732365</v>
      </c>
      <c r="V26" s="166">
        <f t="shared" si="27"/>
        <v>5.6305030125626265</v>
      </c>
      <c r="W26" s="166">
        <f t="shared" si="25"/>
        <v>5.2177365251611016</v>
      </c>
    </row>
    <row r="27" spans="1:23" x14ac:dyDescent="0.2">
      <c r="A27" s="341"/>
      <c r="B27" s="163"/>
      <c r="C27" s="164" t="s">
        <v>409</v>
      </c>
      <c r="D27" s="204" t="s">
        <v>404</v>
      </c>
      <c r="E27" s="166">
        <f t="shared" ref="E27:M27" si="28">(E15/E10)*100</f>
        <v>1.693054393261052</v>
      </c>
      <c r="F27" s="166">
        <f>(F15/F10)*100</f>
        <v>0.87891867704917126</v>
      </c>
      <c r="G27" s="166">
        <f t="shared" si="28"/>
        <v>0.41290050577098586</v>
      </c>
      <c r="H27" s="166">
        <f t="shared" si="28"/>
        <v>-0.21997386299358718</v>
      </c>
      <c r="I27" s="166">
        <f t="shared" si="28"/>
        <v>0.55848056774253607</v>
      </c>
      <c r="J27" s="166">
        <f t="shared" si="28"/>
        <v>-0.16673406837416077</v>
      </c>
      <c r="K27" s="166">
        <f t="shared" si="28"/>
        <v>-0.27158986604317464</v>
      </c>
      <c r="L27" s="166">
        <f t="shared" si="28"/>
        <v>0.30171270162060504</v>
      </c>
      <c r="M27" s="166">
        <f t="shared" si="28"/>
        <v>-1.002660904365094</v>
      </c>
      <c r="N27" s="166">
        <f t="shared" ref="N27:W27" si="29">(N15/N10)*100</f>
        <v>2.2246228465169811</v>
      </c>
      <c r="O27" s="166">
        <f t="shared" si="29"/>
        <v>2.3094803945398108</v>
      </c>
      <c r="P27" s="166">
        <f t="shared" si="29"/>
        <v>2.4743990092261261</v>
      </c>
      <c r="Q27" s="166">
        <f t="shared" si="29"/>
        <v>2.0731606211181215</v>
      </c>
      <c r="R27" s="166">
        <f t="shared" si="29"/>
        <v>3.3809958389071011</v>
      </c>
      <c r="S27" s="166">
        <f t="shared" ref="S27:T27" si="30">(S15/S10)*100</f>
        <v>4.3914228544697371</v>
      </c>
      <c r="T27" s="166">
        <f t="shared" si="30"/>
        <v>3.0782371397574568</v>
      </c>
      <c r="U27" s="166">
        <f t="shared" ref="U27:V27" si="31">(U15/U10)*100</f>
        <v>4.2720230748847179</v>
      </c>
      <c r="V27" s="166">
        <f t="shared" si="31"/>
        <v>3.3340764507904073</v>
      </c>
      <c r="W27" s="166">
        <f t="shared" si="29"/>
        <v>3.2979699938191773</v>
      </c>
    </row>
    <row r="28" spans="1:23" x14ac:dyDescent="0.2">
      <c r="A28" s="341"/>
      <c r="B28" s="163"/>
      <c r="C28" s="164" t="s">
        <v>410</v>
      </c>
      <c r="D28" s="204" t="s">
        <v>404</v>
      </c>
      <c r="E28" s="166">
        <f>(PL!K11/PL!K6)*100</f>
        <v>11.735893325452295</v>
      </c>
      <c r="F28" s="166">
        <f>(PL!L11/PL!L6)*100</f>
        <v>12.527696077093916</v>
      </c>
      <c r="G28" s="166">
        <f>(PL!M11/PL!M6)*100</f>
        <v>12.697539161544357</v>
      </c>
      <c r="H28" s="166">
        <f>(PL!N11/PL!N6)*100</f>
        <v>13.741925514655504</v>
      </c>
      <c r="I28" s="166">
        <f>(PL!O11/PL!O6)*100</f>
        <v>11.036752432399313</v>
      </c>
      <c r="J28" s="166">
        <f>(PL!P11/PL!P6)*100</f>
        <v>11.235766591636111</v>
      </c>
      <c r="K28" s="166">
        <f>(PL!Q11/PL!Q6)*100</f>
        <v>12.431046729374284</v>
      </c>
      <c r="L28" s="166">
        <f>(PL!R11/PL!R6)*100</f>
        <v>12.293058859179645</v>
      </c>
      <c r="M28" s="166">
        <f>(PL!S11/PL!S6)*100</f>
        <v>15.268621445103653</v>
      </c>
      <c r="N28" s="166">
        <f>(PL!T11/PL!T6)*100</f>
        <v>12.579024737605533</v>
      </c>
      <c r="O28" s="166">
        <f>(PL!U11/PL!U6)*100</f>
        <v>10.191133565099584</v>
      </c>
      <c r="P28" s="166">
        <f>(PL!V11/PL!V6)*100</f>
        <v>10.784038600538457</v>
      </c>
      <c r="Q28" s="166">
        <f>(PL!W11/PL!W6)*100</f>
        <v>10.068268636638923</v>
      </c>
      <c r="R28" s="166">
        <f>(PL!X11/PL!X6)*100</f>
        <v>11.461013900879967</v>
      </c>
      <c r="S28" s="166">
        <f>(PL!Y11/PL!Y6)*100</f>
        <v>12.317572949219411</v>
      </c>
      <c r="T28" s="166">
        <f>(PL!Z11/PL!Z6)*100</f>
        <v>12.657464495218921</v>
      </c>
      <c r="U28" s="166">
        <f>(PL!AA11/PL!AA6)*100</f>
        <v>11.127789376155038</v>
      </c>
      <c r="V28" s="166">
        <f>(PL!AB11/PL!AB6)*100</f>
        <v>11.359715096135899</v>
      </c>
      <c r="W28" s="166">
        <f>(PL!AC11/PL!AC6)*100</f>
        <v>11.701852552418995</v>
      </c>
    </row>
    <row r="29" spans="1:23" x14ac:dyDescent="0.2">
      <c r="A29" s="341"/>
      <c r="B29" s="163"/>
      <c r="C29" s="164" t="s">
        <v>411</v>
      </c>
      <c r="D29" s="204" t="s">
        <v>404</v>
      </c>
      <c r="E29" s="166">
        <f>(PL!K16/PL!K6)*100</f>
        <v>20.888903583848499</v>
      </c>
      <c r="F29" s="166">
        <f>(PL!L16/PL!L6)*100</f>
        <v>19.875606388841895</v>
      </c>
      <c r="G29" s="166">
        <f>(PL!M16/PL!M6)*100</f>
        <v>22.876825147577861</v>
      </c>
      <c r="H29" s="166">
        <f>(PL!N16/PL!N6)*100</f>
        <v>20.80566124618564</v>
      </c>
      <c r="I29" s="166">
        <f>(PL!O16/PL!O6)*100</f>
        <v>18.398649070709379</v>
      </c>
      <c r="J29" s="166">
        <f>(PL!P16/PL!P6)*100</f>
        <v>18.667981416677797</v>
      </c>
      <c r="K29" s="166">
        <f>(PL!Q16/PL!Q6)*100</f>
        <v>17.244307308148883</v>
      </c>
      <c r="L29" s="166">
        <f>(PL!R16/PL!R6)*100</f>
        <v>18.870864071348279</v>
      </c>
      <c r="M29" s="166">
        <f>(PL!S16/PL!S6)*100</f>
        <v>17.548199003050389</v>
      </c>
      <c r="N29" s="166">
        <f>(PL!T16/PL!T6)*100</f>
        <v>19.861100778709197</v>
      </c>
      <c r="O29" s="166">
        <f>(PL!U16/PL!U6)*100</f>
        <v>17.204087918593888</v>
      </c>
      <c r="P29" s="166">
        <f>(PL!V16/PL!V6)*100</f>
        <v>15.366106589776141</v>
      </c>
      <c r="Q29" s="166">
        <f>(PL!W16/PL!W6)*100</f>
        <v>18.37777093636765</v>
      </c>
      <c r="R29" s="166">
        <f>(PL!X16/PL!X6)*100</f>
        <v>18.538056572522269</v>
      </c>
      <c r="S29" s="166">
        <f>(PL!Y16/PL!Y6)*100</f>
        <v>19.692158515325232</v>
      </c>
      <c r="T29" s="166">
        <f>(PL!Z16/PL!Z6)*100</f>
        <v>19.905430417369299</v>
      </c>
      <c r="U29" s="166">
        <f>(PL!AA16/PL!AA6)*100</f>
        <v>19.15301088842952</v>
      </c>
      <c r="V29" s="166">
        <f>(PL!AB16/PL!AB6)*100</f>
        <v>19.672331836490052</v>
      </c>
      <c r="W29" s="166">
        <f>(PL!AC16/PL!AC6)*100</f>
        <v>18.809187011803807</v>
      </c>
    </row>
    <row r="30" spans="1:23" x14ac:dyDescent="0.2">
      <c r="A30" s="341"/>
      <c r="B30" s="167"/>
      <c r="C30" s="168" t="s">
        <v>412</v>
      </c>
      <c r="D30" s="205" t="s">
        <v>404</v>
      </c>
      <c r="E30" s="169">
        <f>(PL!K17/PL!K6)*100</f>
        <v>9.0015563402514189</v>
      </c>
      <c r="F30" s="169">
        <f>(PL!L17/PL!L6)*100</f>
        <v>7.3956902055583136</v>
      </c>
      <c r="G30" s="169">
        <f>(PL!M17/PL!M6)*100</f>
        <v>9.650118480156662</v>
      </c>
      <c r="H30" s="169">
        <f>(PL!N17/PL!N6)*100</f>
        <v>9.3113892375521363</v>
      </c>
      <c r="I30" s="169">
        <f>(PL!O17/PL!O6)*100</f>
        <v>7.9554237520269702</v>
      </c>
      <c r="J30" s="169">
        <f>(PL!P17/PL!P6)*100</f>
        <v>7.2189503482562092</v>
      </c>
      <c r="K30" s="169">
        <f>(PL!Q17/PL!Q6)*100</f>
        <v>6.7897130177795528</v>
      </c>
      <c r="L30" s="169">
        <f>(PL!R17/PL!R6)*100</f>
        <v>8.0900528557890983</v>
      </c>
      <c r="M30" s="169">
        <f>(PL!S17/PL!S6)*100</f>
        <v>7.1042792660413454</v>
      </c>
      <c r="N30" s="169">
        <f>(PL!T17/PL!T6)*100</f>
        <v>7.9162487954845524</v>
      </c>
      <c r="O30" s="169">
        <f>(PL!U17/PL!U6)*100</f>
        <v>6.9297101670227468</v>
      </c>
      <c r="P30" s="169">
        <f>(PL!V17/PL!V6)*100</f>
        <v>6.8520376859340342</v>
      </c>
      <c r="Q30" s="169">
        <f>(PL!W17/PL!W6)*100</f>
        <v>7.7340753127311004</v>
      </c>
      <c r="R30" s="169">
        <f>(PL!X17/PL!X6)*100</f>
        <v>7.6429936483308065</v>
      </c>
      <c r="S30" s="169">
        <f>(PL!Y17/PL!Y6)*100</f>
        <v>7.6123926906237722</v>
      </c>
      <c r="T30" s="169">
        <f>(PL!Z17/PL!Z6)*100</f>
        <v>7.6141441161638843</v>
      </c>
      <c r="U30" s="169">
        <f>(PL!AA17/PL!AA6)*100</f>
        <v>7.5091262850326235</v>
      </c>
      <c r="V30" s="169">
        <f>(PL!AB17/PL!AB6)*100</f>
        <v>7.1562798716514084</v>
      </c>
      <c r="W30" s="169">
        <f>(PL!AC17/PL!AC6)*100</f>
        <v>8.0018427169184569</v>
      </c>
    </row>
    <row r="31" spans="1:23"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row>
    <row r="32" spans="1:23" x14ac:dyDescent="0.2">
      <c r="A32" s="341"/>
      <c r="B32" s="163"/>
      <c r="C32" s="164" t="s">
        <v>414</v>
      </c>
      <c r="D32" s="204" t="s">
        <v>136</v>
      </c>
      <c r="E32" s="166">
        <f t="shared" ref="E32:M32" si="32">E10/E6</f>
        <v>0.89371134258188645</v>
      </c>
      <c r="F32" s="166">
        <f>F10/F6</f>
        <v>0.95769236155981718</v>
      </c>
      <c r="G32" s="166">
        <f t="shared" si="32"/>
        <v>0.81102492832382911</v>
      </c>
      <c r="H32" s="166">
        <f t="shared" si="32"/>
        <v>0.87718595660334364</v>
      </c>
      <c r="I32" s="166">
        <f t="shared" si="32"/>
        <v>0.97604175154831929</v>
      </c>
      <c r="J32" s="166">
        <f t="shared" si="32"/>
        <v>0.90768091527845718</v>
      </c>
      <c r="K32" s="166">
        <f t="shared" si="32"/>
        <v>0.90222992315436157</v>
      </c>
      <c r="L32" s="166">
        <f t="shared" si="32"/>
        <v>0.84064524445389666</v>
      </c>
      <c r="M32" s="166">
        <f t="shared" si="32"/>
        <v>1.0234295123868287</v>
      </c>
      <c r="N32" s="166">
        <f t="shared" ref="N32:W32" si="33">N10/N6</f>
        <v>0.92871226081727454</v>
      </c>
      <c r="O32" s="166">
        <f t="shared" si="33"/>
        <v>0.98561703949288637</v>
      </c>
      <c r="P32" s="166">
        <f t="shared" si="33"/>
        <v>1.0690930275538646</v>
      </c>
      <c r="Q32" s="166">
        <f t="shared" si="33"/>
        <v>0.93066369984066988</v>
      </c>
      <c r="R32" s="166">
        <f t="shared" si="33"/>
        <v>1.0071512300826262</v>
      </c>
      <c r="S32" s="166">
        <f t="shared" ref="S32:T32" si="34">S10/S6</f>
        <v>1.10627393596693</v>
      </c>
      <c r="T32" s="166">
        <f t="shared" si="34"/>
        <v>0.92304493794737108</v>
      </c>
      <c r="U32" s="166">
        <f t="shared" ref="U32:V32" si="35">U10/U6</f>
        <v>0.87084857984244213</v>
      </c>
      <c r="V32" s="166">
        <f t="shared" si="35"/>
        <v>0.86640572539535532</v>
      </c>
      <c r="W32" s="166">
        <f t="shared" si="33"/>
        <v>0.89089759749720077</v>
      </c>
    </row>
    <row r="33" spans="1:23" x14ac:dyDescent="0.2">
      <c r="A33" s="341"/>
      <c r="B33" s="163"/>
      <c r="C33" s="164" t="s">
        <v>415</v>
      </c>
      <c r="D33" s="204" t="s">
        <v>136</v>
      </c>
      <c r="E33" s="166">
        <f t="shared" ref="E33:M33" si="36">E10/E5</f>
        <v>1.8740332923633238</v>
      </c>
      <c r="F33" s="166">
        <f>F10/F5</f>
        <v>2.1106799435361419</v>
      </c>
      <c r="G33" s="166">
        <f t="shared" si="36"/>
        <v>2.0088771289944729</v>
      </c>
      <c r="H33" s="166">
        <f t="shared" si="36"/>
        <v>1.9254592911831405</v>
      </c>
      <c r="I33" s="166">
        <f t="shared" si="36"/>
        <v>1.7812296535201313</v>
      </c>
      <c r="J33" s="166">
        <f t="shared" si="36"/>
        <v>1.8332943058779143</v>
      </c>
      <c r="K33" s="166">
        <f t="shared" si="36"/>
        <v>1.8885801783621181</v>
      </c>
      <c r="L33" s="166">
        <f t="shared" si="36"/>
        <v>1.8910404588787442</v>
      </c>
      <c r="M33" s="166">
        <f t="shared" si="36"/>
        <v>2.3753031515908556</v>
      </c>
      <c r="N33" s="166">
        <f t="shared" ref="N33:W33" si="37">N10/N5</f>
        <v>2.0129618595685796</v>
      </c>
      <c r="O33" s="166">
        <f t="shared" si="37"/>
        <v>2.0152354152511678</v>
      </c>
      <c r="P33" s="166">
        <f t="shared" si="37"/>
        <v>2.4234763211536468</v>
      </c>
      <c r="Q33" s="166">
        <f t="shared" si="37"/>
        <v>2.0324417313672494</v>
      </c>
      <c r="R33" s="166">
        <f t="shared" si="37"/>
        <v>2.1182571577634004</v>
      </c>
      <c r="S33" s="166">
        <f t="shared" ref="S33:T33" si="38">S10/S5</f>
        <v>2.3669545961417104</v>
      </c>
      <c r="T33" s="166">
        <f t="shared" si="38"/>
        <v>2.0356537509287445</v>
      </c>
      <c r="U33" s="166">
        <f t="shared" ref="U33:V33" si="39">U10/U5</f>
        <v>2.1103764569370456</v>
      </c>
      <c r="V33" s="166">
        <f t="shared" si="39"/>
        <v>2.0179177548517377</v>
      </c>
      <c r="W33" s="166">
        <f t="shared" si="37"/>
        <v>2.0858422752107266</v>
      </c>
    </row>
    <row r="34" spans="1:23" x14ac:dyDescent="0.2">
      <c r="A34" s="341"/>
      <c r="B34" s="163"/>
      <c r="C34" s="164" t="s">
        <v>416</v>
      </c>
      <c r="D34" s="204" t="s">
        <v>136</v>
      </c>
      <c r="E34" s="166">
        <f>PL!K6/BS!K16</f>
        <v>2.3031713535133593</v>
      </c>
      <c r="F34" s="166">
        <f>PL!L6/BS!L16</f>
        <v>2.718441618856557</v>
      </c>
      <c r="G34" s="166">
        <f>PL!M6/BS!M16</f>
        <v>2.6747951396304774</v>
      </c>
      <c r="H34" s="166">
        <f>PL!N6/BS!N16</f>
        <v>2.2170830021638541</v>
      </c>
      <c r="I34" s="166">
        <f>PL!O6/BS!O16</f>
        <v>2.3317023843883979</v>
      </c>
      <c r="J34" s="166">
        <f>PL!P6/BS!P16</f>
        <v>2.2875304587828031</v>
      </c>
      <c r="K34" s="166">
        <f>PL!Q6/BS!Q16</f>
        <v>2.3765087911498122</v>
      </c>
      <c r="L34" s="166">
        <f>PL!R6/BS!R16</f>
        <v>2.4448846282116032</v>
      </c>
      <c r="M34" s="166">
        <f>PL!S6/BS!S16</f>
        <v>2.9534075117018341</v>
      </c>
      <c r="N34" s="166">
        <f>PL!T6/BS!T16</f>
        <v>2.6759918714310627</v>
      </c>
      <c r="O34" s="166">
        <f>PL!U6/BS!U16</f>
        <v>2.389458797828433</v>
      </c>
      <c r="P34" s="166">
        <f>PL!V6/BS!V16</f>
        <v>3.1268639302724592</v>
      </c>
      <c r="Q34" s="166">
        <f>PL!W6/BS!W16</f>
        <v>2.7512119558940467</v>
      </c>
      <c r="R34" s="166">
        <f>PL!X6/BS!X16</f>
        <v>2.848775530246165</v>
      </c>
      <c r="S34" s="166">
        <f>PL!Y6/BS!Y16</f>
        <v>3.1299775051343413</v>
      </c>
      <c r="T34" s="166">
        <f>PL!Z6/BS!Z16</f>
        <v>2.7955594920781399</v>
      </c>
      <c r="U34" s="166">
        <f>PL!AA6/BS!AA16</f>
        <v>2.6770312891934478</v>
      </c>
      <c r="V34" s="166">
        <f>PL!AB6/BS!AB16</f>
        <v>2.7644135212197654</v>
      </c>
      <c r="W34" s="166">
        <f>PL!AC6/BS!AC16</f>
        <v>2.8651756455361936</v>
      </c>
    </row>
    <row r="35" spans="1:23" x14ac:dyDescent="0.2">
      <c r="A35" s="341"/>
      <c r="B35" s="163"/>
      <c r="C35" s="164" t="s">
        <v>417</v>
      </c>
      <c r="D35" s="204" t="s">
        <v>429</v>
      </c>
      <c r="E35" s="166">
        <f>(BS!K11/PL!K6)*365</f>
        <v>84.803556031903781</v>
      </c>
      <c r="F35" s="166">
        <f>(BS!L11/PL!L6)*365</f>
        <v>94.853433156714331</v>
      </c>
      <c r="G35" s="166">
        <f>(BS!M11/PL!M6)*365</f>
        <v>87.804401241950174</v>
      </c>
      <c r="H35" s="166">
        <f>(BS!N11/PL!N6)*365</f>
        <v>77.38454030850879</v>
      </c>
      <c r="I35" s="166">
        <f>(BS!O11/PL!O6)*365</f>
        <v>59.157232023559899</v>
      </c>
      <c r="J35" s="166">
        <f>(BS!P11/PL!P6)*365</f>
        <v>64.294863808892785</v>
      </c>
      <c r="K35" s="166">
        <f>(BS!Q11/PL!Q6)*365</f>
        <v>78.151932508031038</v>
      </c>
      <c r="L35" s="166">
        <f>(BS!R11/PL!R6)*365</f>
        <v>85.088597555137738</v>
      </c>
      <c r="M35" s="166">
        <f>(BS!S11/PL!S6)*365</f>
        <v>74.248308210142753</v>
      </c>
      <c r="N35" s="166">
        <f>(BS!T11/PL!T6)*365</f>
        <v>72.236261133932487</v>
      </c>
      <c r="O35" s="166">
        <f>(BS!U11/PL!U6)*365</f>
        <v>64.431171327426341</v>
      </c>
      <c r="P35" s="166">
        <f>(BS!V11/PL!V6)*365</f>
        <v>74.807372243020836</v>
      </c>
      <c r="Q35" s="166">
        <f>(BS!W11/PL!W6)*365</f>
        <v>73.485258165642719</v>
      </c>
      <c r="R35" s="166">
        <f>(BS!X11/PL!X6)*365</f>
        <v>77.76057208746451</v>
      </c>
      <c r="S35" s="166">
        <f>(BS!Y11/PL!Y6)*365</f>
        <v>67.027393151316502</v>
      </c>
      <c r="T35" s="166">
        <f>(BS!Z11/PL!Z6)*365</f>
        <v>77.078609540092998</v>
      </c>
      <c r="U35" s="166">
        <f>(BS!AA11/PL!AA6)*365</f>
        <v>76.59328748831787</v>
      </c>
      <c r="V35" s="166">
        <f>(BS!AB11/PL!AB6)*365</f>
        <v>64.117455647353466</v>
      </c>
      <c r="W35" s="166">
        <f>(BS!AC11/PL!AC6)*365</f>
        <v>72.473715330948423</v>
      </c>
    </row>
    <row r="36" spans="1:23"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row>
    <row r="37" spans="1:23"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row>
    <row r="38" spans="1:23"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row>
    <row r="39" spans="1:23"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row>
    <row r="40" spans="1:23" x14ac:dyDescent="0.2">
      <c r="A40" s="341"/>
      <c r="B40" s="163"/>
      <c r="C40" s="164" t="s">
        <v>422</v>
      </c>
      <c r="D40" s="204" t="s">
        <v>429</v>
      </c>
      <c r="E40" s="166">
        <f>BS!K13/PL!K6*365</f>
        <v>34.438839946710758</v>
      </c>
      <c r="F40" s="166">
        <f>BS!L13/PL!L6*365</f>
        <v>21.411745253932999</v>
      </c>
      <c r="G40" s="166">
        <f>BS!M13/PL!M6*365</f>
        <v>46.134817184398152</v>
      </c>
      <c r="H40" s="166">
        <f>BS!N13/PL!N6*365</f>
        <v>44.80989680951425</v>
      </c>
      <c r="I40" s="166">
        <f>BS!O13/PL!O6*365</f>
        <v>28.477257929966932</v>
      </c>
      <c r="J40" s="166">
        <f>BS!P13/PL!P6*365</f>
        <v>30.150486966710837</v>
      </c>
      <c r="K40" s="166">
        <f>BS!Q13/PL!Q6*365</f>
        <v>31.109706215084241</v>
      </c>
      <c r="L40" s="166">
        <f>BS!R13/PL!R6*365</f>
        <v>38.823789622871061</v>
      </c>
      <c r="M40" s="166">
        <f>BS!S13/PL!S6*365</f>
        <v>42.337769716233815</v>
      </c>
      <c r="N40" s="166">
        <f>BS!T13/PL!T6*365</f>
        <v>37.233276691908706</v>
      </c>
      <c r="O40" s="166">
        <f>BS!U13/PL!U6*365</f>
        <v>34.838443480064399</v>
      </c>
      <c r="P40" s="166">
        <f>BS!V13/PL!V6*365</f>
        <v>37.977486874377455</v>
      </c>
      <c r="Q40" s="166">
        <f>BS!W13/PL!W6*365</f>
        <v>29.26601683322286</v>
      </c>
      <c r="R40" s="166">
        <f>BS!X13/PL!X6*365</f>
        <v>31.025168388587904</v>
      </c>
      <c r="S40" s="166">
        <f>BS!Y13/PL!Y6*365</f>
        <v>29.701782016743195</v>
      </c>
      <c r="T40" s="166">
        <f>BS!Z13/PL!Z6*365</f>
        <v>38.843242975926735</v>
      </c>
      <c r="U40" s="166">
        <f>BS!AA13/PL!AA6*365</f>
        <v>39.396511219750721</v>
      </c>
      <c r="V40" s="166">
        <f>BS!AB13/PL!AB6*365</f>
        <v>33.004861501621107</v>
      </c>
      <c r="W40" s="166">
        <f>BS!AC13/PL!AC6*365</f>
        <v>39.816353255380413</v>
      </c>
    </row>
    <row r="41" spans="1:23"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row>
    <row r="42" spans="1:23"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row>
    <row r="43" spans="1:23"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row>
    <row r="44" spans="1:23" x14ac:dyDescent="0.2">
      <c r="A44" s="341"/>
      <c r="B44" s="163"/>
      <c r="C44" s="164" t="s">
        <v>426</v>
      </c>
      <c r="D44" s="204" t="s">
        <v>429</v>
      </c>
      <c r="E44" s="166">
        <f>BS!K32/PL!K6*365</f>
        <v>62.578628294242193</v>
      </c>
      <c r="F44" s="166">
        <f>BS!L32/PL!L6*365</f>
        <v>59.638701932259067</v>
      </c>
      <c r="G44" s="166">
        <f>BS!M32/PL!M6*365</f>
        <v>64.629844281227122</v>
      </c>
      <c r="H44" s="166">
        <f>BS!N32/PL!N6*365</f>
        <v>62.244111292121652</v>
      </c>
      <c r="I44" s="166">
        <f>BS!O32/PL!O6*365</f>
        <v>51.640998477562896</v>
      </c>
      <c r="J44" s="166">
        <f>BS!P32/PL!P6*365</f>
        <v>45.478595632519635</v>
      </c>
      <c r="K44" s="166">
        <f>BS!Q32/PL!Q6*365</f>
        <v>58.292871008536729</v>
      </c>
      <c r="L44" s="166">
        <f>BS!R32/PL!R6*365</f>
        <v>53.668076971793134</v>
      </c>
      <c r="M44" s="166">
        <f>BS!S32/PL!S6*365</f>
        <v>48.379328246365901</v>
      </c>
      <c r="N44" s="166">
        <f>BS!T32/PL!T6*365</f>
        <v>51.566381154217922</v>
      </c>
      <c r="O44" s="166">
        <f>BS!U32/PL!U6*365</f>
        <v>43.460990162008201</v>
      </c>
      <c r="P44" s="166">
        <f>BS!V32/PL!V6*365</f>
        <v>45.293792849973684</v>
      </c>
      <c r="Q44" s="166">
        <f>BS!W32/PL!W6*365</f>
        <v>45.928720072929941</v>
      </c>
      <c r="R44" s="166">
        <f>BS!X32/PL!X6*365</f>
        <v>49.806139719847152</v>
      </c>
      <c r="S44" s="166">
        <f>BS!Y32/PL!Y6*365</f>
        <v>50.125200956584941</v>
      </c>
      <c r="T44" s="166">
        <f>BS!Z32/PL!Z6*365</f>
        <v>51.976987015684159</v>
      </c>
      <c r="U44" s="166">
        <f>BS!AA32/PL!AA6*365</f>
        <v>53.004968916713551</v>
      </c>
      <c r="V44" s="166">
        <f>BS!AB32/PL!AB6*365</f>
        <v>47.859247429043037</v>
      </c>
      <c r="W44" s="166">
        <f>BS!AC32/PL!AC6*365</f>
        <v>54.192667599908042</v>
      </c>
    </row>
    <row r="45" spans="1:23"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row>
    <row r="46" spans="1:23"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row>
    <row r="47" spans="1:23"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row>
    <row r="48" spans="1:23" x14ac:dyDescent="0.2">
      <c r="A48" s="341"/>
      <c r="B48" s="167"/>
      <c r="C48" s="168" t="s">
        <v>431</v>
      </c>
      <c r="D48" s="205" t="s">
        <v>441</v>
      </c>
      <c r="E48" s="169">
        <f t="shared" ref="E48:M48" si="40">E6/E9</f>
        <v>3.5670395998038935</v>
      </c>
      <c r="F48" s="169">
        <f>F6/F9</f>
        <v>3.0360892101106152</v>
      </c>
      <c r="G48" s="169">
        <f t="shared" si="40"/>
        <v>2.9379537286313977</v>
      </c>
      <c r="H48" s="169">
        <f t="shared" si="40"/>
        <v>2.6883979736072847</v>
      </c>
      <c r="I48" s="169">
        <f t="shared" si="40"/>
        <v>2.7334285792506043</v>
      </c>
      <c r="J48" s="169">
        <f t="shared" si="40"/>
        <v>2.2046695747192122</v>
      </c>
      <c r="K48" s="169">
        <f t="shared" si="40"/>
        <v>2.0769817170417961</v>
      </c>
      <c r="L48" s="169">
        <f t="shared" si="40"/>
        <v>2.3748994460257666</v>
      </c>
      <c r="M48" s="169">
        <f t="shared" si="40"/>
        <v>2.5373244502716887</v>
      </c>
      <c r="N48" s="169">
        <f t="shared" ref="N48:W48" si="41">N6/N9</f>
        <v>2.4920009250632162</v>
      </c>
      <c r="O48" s="169">
        <f t="shared" si="41"/>
        <v>2.6651098171726422</v>
      </c>
      <c r="P48" s="169">
        <f t="shared" si="41"/>
        <v>2.4506790263050813</v>
      </c>
      <c r="Q48" s="169">
        <f t="shared" si="41"/>
        <v>2.077343023232828</v>
      </c>
      <c r="R48" s="169">
        <f t="shared" si="41"/>
        <v>2.3087589173450267</v>
      </c>
      <c r="S48" s="169">
        <f t="shared" ref="S48:T48" si="42">S6/S9</f>
        <v>2.2320120858482917</v>
      </c>
      <c r="T48" s="169">
        <f t="shared" si="42"/>
        <v>2.0832448585150694</v>
      </c>
      <c r="U48" s="169">
        <f t="shared" ref="U48:V48" si="43">U6/U9</f>
        <v>1.9016949799697505</v>
      </c>
      <c r="V48" s="169">
        <f t="shared" si="43"/>
        <v>2.0575241697562627</v>
      </c>
      <c r="W48" s="169">
        <f t="shared" si="41"/>
        <v>2.0370558956745088</v>
      </c>
    </row>
    <row r="49" spans="1:23"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row>
    <row r="50" spans="1:23" x14ac:dyDescent="0.2">
      <c r="A50" s="341"/>
      <c r="B50" s="163"/>
      <c r="C50" s="164" t="s">
        <v>433</v>
      </c>
      <c r="D50" s="204" t="s">
        <v>404</v>
      </c>
      <c r="E50" s="166">
        <f t="shared" ref="E50:M50" si="44">(E4/E7)*100</f>
        <v>121.33621477234963</v>
      </c>
      <c r="F50" s="166">
        <f>(F4/F7)*100</f>
        <v>144.07074736759603</v>
      </c>
      <c r="G50" s="166">
        <f t="shared" si="44"/>
        <v>159.98488747363893</v>
      </c>
      <c r="H50" s="166">
        <f t="shared" si="44"/>
        <v>146.87520768876874</v>
      </c>
      <c r="I50" s="166">
        <f t="shared" si="44"/>
        <v>138.72181818145924</v>
      </c>
      <c r="J50" s="166">
        <f t="shared" si="44"/>
        <v>186.13311821583488</v>
      </c>
      <c r="K50" s="166">
        <f t="shared" si="44"/>
        <v>179.47100528621985</v>
      </c>
      <c r="L50" s="166">
        <f t="shared" si="44"/>
        <v>168.40347607411013</v>
      </c>
      <c r="M50" s="166">
        <f t="shared" si="44"/>
        <v>168.7761587924156</v>
      </c>
      <c r="N50" s="166">
        <f t="shared" ref="N50:W50" si="45">(N4/N7)*100</f>
        <v>158.4208309068182</v>
      </c>
      <c r="O50" s="166">
        <f t="shared" si="45"/>
        <v>151.69182486069892</v>
      </c>
      <c r="P50" s="166">
        <f t="shared" si="45"/>
        <v>157.69976007927971</v>
      </c>
      <c r="Q50" s="166">
        <f t="shared" si="45"/>
        <v>187.09852280395484</v>
      </c>
      <c r="R50" s="166">
        <f t="shared" si="45"/>
        <v>169.68953650303558</v>
      </c>
      <c r="S50" s="166">
        <f t="shared" ref="S50:T50" si="46">(S4/S7)*100</f>
        <v>180.93137191124782</v>
      </c>
      <c r="T50" s="166">
        <f t="shared" si="46"/>
        <v>188.75322593354065</v>
      </c>
      <c r="U50" s="166">
        <f t="shared" ref="U50:V50" si="47">(U4/U7)*100</f>
        <v>214.30674717579822</v>
      </c>
      <c r="V50" s="166">
        <f t="shared" si="47"/>
        <v>200.64195498239604</v>
      </c>
      <c r="W50" s="166">
        <f t="shared" si="45"/>
        <v>197.85960925763413</v>
      </c>
    </row>
    <row r="51" spans="1:23" x14ac:dyDescent="0.2">
      <c r="A51" s="341"/>
      <c r="B51" s="167"/>
      <c r="C51" s="168" t="s">
        <v>434</v>
      </c>
      <c r="D51" s="205" t="s">
        <v>404</v>
      </c>
      <c r="E51" s="169">
        <f>((BS!K10+BS!K11+BS!K12)/BS!K31)*100</f>
        <v>87.175621733425245</v>
      </c>
      <c r="F51" s="169">
        <f>((BS!L10+BS!L11+BS!L12)/BS!L31)*100</f>
        <v>120.57958189481943</v>
      </c>
      <c r="G51" s="169">
        <f>((BS!M10+BS!M11+BS!M12)/BS!M31)*100</f>
        <v>117.97141132491058</v>
      </c>
      <c r="H51" s="169">
        <f>((BS!N10+BS!N11+BS!N12)/BS!N31)*100</f>
        <v>103.72805590845404</v>
      </c>
      <c r="I51" s="169">
        <f>((BS!O10+BS!O11+BS!O12)/BS!O31)*100</f>
        <v>97.673140846365456</v>
      </c>
      <c r="J51" s="169">
        <f>((BS!P10+BS!P11+BS!P12)/BS!P31)*100</f>
        <v>140.12252372713789</v>
      </c>
      <c r="K51" s="169">
        <f>((BS!Q10+BS!Q11+BS!Q12)/BS!Q31)*100</f>
        <v>135.91799636659618</v>
      </c>
      <c r="L51" s="169">
        <f>((BS!R10+BS!R11+BS!R12)/BS!R31)*100</f>
        <v>117.4044271433236</v>
      </c>
      <c r="M51" s="169">
        <f>((BS!S10+BS!S11+BS!S12)/BS!S31)*100</f>
        <v>117.74473496397049</v>
      </c>
      <c r="N51" s="169">
        <f>((BS!T10+BS!T11+BS!T12)/BS!T31)*100</f>
        <v>110.43150080844279</v>
      </c>
      <c r="O51" s="169">
        <f>((BS!U10+BS!U11+BS!U12)/BS!U31)*100</f>
        <v>98.980155697680175</v>
      </c>
      <c r="P51" s="169">
        <f>((BS!V10+BS!V11+BS!V12)/BS!V31)*100</f>
        <v>105.00565672307135</v>
      </c>
      <c r="Q51" s="169">
        <f>((BS!W10+BS!W11+BS!W12)/BS!W31)*100</f>
        <v>140.29953217133425</v>
      </c>
      <c r="R51" s="169">
        <f>((BS!X10+BS!X11+BS!X12)/BS!X31)*100</f>
        <v>124.77334631199852</v>
      </c>
      <c r="S51" s="169">
        <f>((BS!Y10+BS!Y11+BS!Y12)/BS!Y31)*100</f>
        <v>132.41963889222117</v>
      </c>
      <c r="T51" s="169">
        <f>((BS!Z10+BS!Z11+BS!Z12)/BS!Z31)*100</f>
        <v>134.11792879569643</v>
      </c>
      <c r="U51" s="169">
        <f>((BS!AA10+BS!AA11+BS!AA12)/BS!AA31)*100</f>
        <v>148.45847820183459</v>
      </c>
      <c r="V51" s="169">
        <f>((BS!AB10+BS!AB11+BS!AB12)/BS!AB31)*100</f>
        <v>148.9536005515665</v>
      </c>
      <c r="W51" s="169">
        <f>((BS!AC10+BS!AC11+BS!AC12)/BS!AC31)*100</f>
        <v>137.57476706748747</v>
      </c>
    </row>
    <row r="52" spans="1:23"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row>
    <row r="53" spans="1:23" x14ac:dyDescent="0.2">
      <c r="A53" s="341"/>
      <c r="B53" s="163"/>
      <c r="C53" s="164" t="s">
        <v>436</v>
      </c>
      <c r="D53" s="204" t="s">
        <v>404</v>
      </c>
      <c r="E53" s="166">
        <f t="shared" ref="E53:M53" si="48">(E9/E6)*100</f>
        <v>28.034451875863038</v>
      </c>
      <c r="F53" s="166">
        <f>(F9/F6)*100</f>
        <v>32.937108589229055</v>
      </c>
      <c r="G53" s="166">
        <f t="shared" si="48"/>
        <v>34.037295763192134</v>
      </c>
      <c r="H53" s="166">
        <f t="shared" si="48"/>
        <v>37.196873744782764</v>
      </c>
      <c r="I53" s="166">
        <f t="shared" si="48"/>
        <v>36.584091041960193</v>
      </c>
      <c r="J53" s="166">
        <f t="shared" si="48"/>
        <v>45.358270983866625</v>
      </c>
      <c r="K53" s="166">
        <f t="shared" si="48"/>
        <v>48.146788765395591</v>
      </c>
      <c r="L53" s="166">
        <f t="shared" si="48"/>
        <v>42.107045907709157</v>
      </c>
      <c r="M53" s="166">
        <f t="shared" si="48"/>
        <v>39.411593574204637</v>
      </c>
      <c r="N53" s="166">
        <f t="shared" ref="N53:W53" si="49">(N9/N6)*100</f>
        <v>40.128396018738734</v>
      </c>
      <c r="O53" s="166">
        <f t="shared" si="49"/>
        <v>37.521905985130417</v>
      </c>
      <c r="P53" s="166">
        <f t="shared" si="49"/>
        <v>40.805017273425328</v>
      </c>
      <c r="Q53" s="166">
        <f t="shared" si="49"/>
        <v>48.138414735365551</v>
      </c>
      <c r="R53" s="166">
        <f t="shared" si="49"/>
        <v>43.313314027172531</v>
      </c>
      <c r="S53" s="166">
        <f t="shared" ref="S53:T53" si="50">(S9/S6)*100</f>
        <v>44.802624785964944</v>
      </c>
      <c r="T53" s="166">
        <f t="shared" si="50"/>
        <v>48.002038546385606</v>
      </c>
      <c r="U53" s="166">
        <f t="shared" ref="U53:V53" si="51">(U9/U6)*100</f>
        <v>52.584668442249693</v>
      </c>
      <c r="V53" s="166">
        <f t="shared" si="51"/>
        <v>48.602102210952957</v>
      </c>
      <c r="W53" s="166">
        <f t="shared" si="49"/>
        <v>49.090454617539137</v>
      </c>
    </row>
    <row r="54" spans="1:23" x14ac:dyDescent="0.2">
      <c r="A54" s="341"/>
      <c r="B54" s="167"/>
      <c r="C54" s="168" t="s">
        <v>437</v>
      </c>
      <c r="D54" s="205" t="s">
        <v>404</v>
      </c>
      <c r="E54" s="169">
        <f t="shared" ref="E54:M54" si="52">(E7+E8)/E9*100</f>
        <v>256.70395998039004</v>
      </c>
      <c r="F54" s="169">
        <f>(F7+F8)/F9*100</f>
        <v>203.60892101106148</v>
      </c>
      <c r="G54" s="169">
        <f t="shared" si="52"/>
        <v>193.79537286313982</v>
      </c>
      <c r="H54" s="169">
        <f t="shared" si="52"/>
        <v>168.83979736072911</v>
      </c>
      <c r="I54" s="169">
        <f t="shared" si="52"/>
        <v>173.34285792506094</v>
      </c>
      <c r="J54" s="169">
        <f t="shared" si="52"/>
        <v>120.46695747192122</v>
      </c>
      <c r="K54" s="169">
        <f t="shared" si="52"/>
        <v>107.69817170417963</v>
      </c>
      <c r="L54" s="169">
        <f t="shared" si="52"/>
        <v>137.4899446025766</v>
      </c>
      <c r="M54" s="169">
        <f t="shared" si="52"/>
        <v>153.73244502716886</v>
      </c>
      <c r="N54" s="169">
        <f t="shared" ref="N54:W54" si="53">(N7+N8)/N9*100</f>
        <v>149.20009250632162</v>
      </c>
      <c r="O54" s="169">
        <f t="shared" si="53"/>
        <v>166.51098171726417</v>
      </c>
      <c r="P54" s="169">
        <f t="shared" si="53"/>
        <v>145.06790263050792</v>
      </c>
      <c r="Q54" s="169">
        <f t="shared" si="53"/>
        <v>107.73430232328288</v>
      </c>
      <c r="R54" s="169">
        <f t="shared" si="53"/>
        <v>130.87589173450252</v>
      </c>
      <c r="S54" s="169">
        <f t="shared" ref="S54:T54" si="54">(S7+S8)/S9*100</f>
        <v>123.20120858482908</v>
      </c>
      <c r="T54" s="169">
        <f t="shared" si="54"/>
        <v>108.32448585150689</v>
      </c>
      <c r="U54" s="169">
        <f t="shared" ref="U54:V54" si="55">(U7+U8)/U9*100</f>
        <v>90.169497964832459</v>
      </c>
      <c r="V54" s="169">
        <f t="shared" si="55"/>
        <v>105.75241697562628</v>
      </c>
      <c r="W54" s="169">
        <f t="shared" si="53"/>
        <v>103.70558956745084</v>
      </c>
    </row>
    <row r="55" spans="1:23"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row>
    <row r="56" spans="1:23" x14ac:dyDescent="0.2">
      <c r="A56" s="341"/>
      <c r="B56" s="163"/>
      <c r="C56" s="164" t="s">
        <v>439</v>
      </c>
      <c r="D56" s="204" t="s">
        <v>404</v>
      </c>
      <c r="E56" s="166">
        <f t="shared" ref="E56:M56" si="56">(E5/(E8+E9))*100</f>
        <v>83.35872920880513</v>
      </c>
      <c r="F56" s="166">
        <f>(F5/(F8+F9))*100</f>
        <v>72.721619835995483</v>
      </c>
      <c r="G56" s="166">
        <f t="shared" si="56"/>
        <v>64.165319400688745</v>
      </c>
      <c r="H56" s="166">
        <f t="shared" si="56"/>
        <v>71.933468093699489</v>
      </c>
      <c r="I56" s="166">
        <f t="shared" si="56"/>
        <v>80.844150234206182</v>
      </c>
      <c r="J56" s="166">
        <f t="shared" si="56"/>
        <v>67.77794000985287</v>
      </c>
      <c r="K56" s="166">
        <f t="shared" si="56"/>
        <v>67.012320779372601</v>
      </c>
      <c r="L56" s="166">
        <f t="shared" si="56"/>
        <v>66.256203678457368</v>
      </c>
      <c r="M56" s="166">
        <f t="shared" si="56"/>
        <v>64.874459820064573</v>
      </c>
      <c r="N56" s="166">
        <f t="shared" ref="N56:W56" si="57">(N5/(N8+N9))*100</f>
        <v>69.513047204793239</v>
      </c>
      <c r="O56" s="166">
        <f t="shared" si="57"/>
        <v>73.698106271836409</v>
      </c>
      <c r="P56" s="166">
        <f t="shared" si="57"/>
        <v>67.909955750530003</v>
      </c>
      <c r="Q56" s="166">
        <f t="shared" si="57"/>
        <v>64.445805234335879</v>
      </c>
      <c r="R56" s="166">
        <f t="shared" si="57"/>
        <v>68.741625917187989</v>
      </c>
      <c r="S56" s="166">
        <f t="shared" ref="S56:T56" si="58">(S5/(S8+S9))*100</f>
        <v>66.200251753360519</v>
      </c>
      <c r="T56" s="166">
        <f t="shared" si="58"/>
        <v>63.732928507211561</v>
      </c>
      <c r="U56" s="166">
        <f t="shared" ref="U56:V56" si="59">(U5/(U8+U9))*100</f>
        <v>56.788989851260595</v>
      </c>
      <c r="V56" s="166">
        <f t="shared" si="59"/>
        <v>59.908391651820693</v>
      </c>
      <c r="W56" s="166">
        <f t="shared" si="57"/>
        <v>59.975486622469788</v>
      </c>
    </row>
    <row r="57" spans="1:23" x14ac:dyDescent="0.2">
      <c r="A57" s="341"/>
      <c r="B57" s="167"/>
      <c r="C57" s="168" t="s">
        <v>440</v>
      </c>
      <c r="D57" s="205" t="s">
        <v>404</v>
      </c>
      <c r="E57" s="169">
        <f t="shared" ref="E57:M57" si="60">(E5/E9)*100</f>
        <v>170.1092378013872</v>
      </c>
      <c r="F57" s="169">
        <f>(F5/F9)*100</f>
        <v>137.75842493039386</v>
      </c>
      <c r="G57" s="169">
        <f t="shared" si="60"/>
        <v>118.61122204993562</v>
      </c>
      <c r="H57" s="169">
        <f t="shared" si="60"/>
        <v>122.47597022734944</v>
      </c>
      <c r="I57" s="169">
        <f t="shared" si="60"/>
        <v>149.78082208273997</v>
      </c>
      <c r="J57" s="169">
        <f t="shared" si="60"/>
        <v>109.15522352584912</v>
      </c>
      <c r="K57" s="169">
        <f t="shared" si="60"/>
        <v>99.223484204138842</v>
      </c>
      <c r="L57" s="169">
        <f t="shared" si="60"/>
        <v>105.57404607522302</v>
      </c>
      <c r="M57" s="169">
        <f t="shared" si="60"/>
        <v>109.32384454462361</v>
      </c>
      <c r="N57" s="169">
        <f t="shared" ref="N57:W57" si="61">(N5/N9)*100</f>
        <v>114.97246219907086</v>
      </c>
      <c r="O57" s="169">
        <f t="shared" si="61"/>
        <v>130.34594509633212</v>
      </c>
      <c r="P57" s="169">
        <f t="shared" si="61"/>
        <v>108.10932365735087</v>
      </c>
      <c r="Q57" s="169">
        <f t="shared" si="61"/>
        <v>95.122419206552408</v>
      </c>
      <c r="R57" s="169">
        <f t="shared" si="61"/>
        <v>109.77276177475321</v>
      </c>
      <c r="S57" s="169">
        <f t="shared" ref="S57:T57" si="62">(S5/S9)*100</f>
        <v>104.32041237132856</v>
      </c>
      <c r="T57" s="169">
        <f t="shared" si="62"/>
        <v>94.46246053779565</v>
      </c>
      <c r="U57" s="169">
        <f t="shared" ref="U57:V57" si="63">(U5/U9)*100</f>
        <v>78.473599682009763</v>
      </c>
      <c r="V57" s="169">
        <f t="shared" si="63"/>
        <v>88.341098963526747</v>
      </c>
      <c r="W57" s="169">
        <f t="shared" si="61"/>
        <v>87.006013110007729</v>
      </c>
    </row>
    <row r="58" spans="1:23"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row>
    <row r="59" spans="1:23" x14ac:dyDescent="0.2">
      <c r="A59" s="341"/>
      <c r="B59" s="163"/>
      <c r="C59" s="164" t="s">
        <v>443</v>
      </c>
      <c r="D59" s="204" t="s">
        <v>441</v>
      </c>
      <c r="E59" s="176" t="s">
        <v>1</v>
      </c>
      <c r="F59" s="166">
        <f>(ＣＦ!D22+PL!L32+(PL!L37-PL!L38))/PL!L32</f>
        <v>6.0949387040842415</v>
      </c>
      <c r="G59" s="166">
        <f>(ＣＦ!E22+PL!M32+(PL!M37-PL!M38))/PL!M32</f>
        <v>2.0068883042819303</v>
      </c>
      <c r="H59" s="166">
        <f>(ＣＦ!F22+PL!N32+(PL!N37-PL!N38))/PL!N32</f>
        <v>6.7033875171873021</v>
      </c>
      <c r="I59" s="166">
        <f>(ＣＦ!G22+PL!O32+(PL!O37-PL!O38))/PL!O32</f>
        <v>9.595035514166641</v>
      </c>
      <c r="J59" s="166">
        <f>(ＣＦ!H22+PL!P32+(PL!P37-PL!P38))/PL!P32</f>
        <v>5.0549684508598087</v>
      </c>
      <c r="K59" s="166">
        <f>(ＣＦ!I22+PL!Q32+(PL!Q37-PL!Q38))/PL!Q32</f>
        <v>9.5796824327668118E-2</v>
      </c>
      <c r="L59" s="166">
        <f>(ＣＦ!J22+PL!R32+(PL!R37-PL!R38))/PL!R32</f>
        <v>4.4670846903835937</v>
      </c>
      <c r="M59" s="166">
        <f>(ＣＦ!K22+PL!S32+(PL!S37-PL!S38))/PL!S32</f>
        <v>11.715151749598748</v>
      </c>
      <c r="N59" s="166">
        <f>(ＣＦ!L22+PL!T32+(PL!T37-PL!T38))/PL!T32</f>
        <v>8.7655948899702718</v>
      </c>
      <c r="O59" s="166">
        <f>(ＣＦ!M22+PL!U32+(PL!U37-PL!U38))/PL!U32</f>
        <v>10.513084962688785</v>
      </c>
      <c r="P59" s="166">
        <f>(ＣＦ!N22+PL!V32+(PL!V37-PL!V38))/PL!V32</f>
        <v>11.03638774237222</v>
      </c>
      <c r="Q59" s="166">
        <f>(ＣＦ!O22+PL!W32+(PL!W37-PL!W38))/PL!W32</f>
        <v>20.525228812209608</v>
      </c>
      <c r="R59" s="166">
        <f>(ＣＦ!P22+PL!X32+(PL!X37-PL!X38))/PL!X32</f>
        <v>18.766312487458507</v>
      </c>
      <c r="S59" s="166">
        <f>(ＣＦ!Q22+PL!Y32+(PL!Y37-PL!Y38))/PL!Y32</f>
        <v>33.447981475871416</v>
      </c>
      <c r="T59" s="166">
        <f>(ＣＦ!R22+PL!Z32+(PL!Z37-PL!Z38))/PL!Z32</f>
        <v>0.29235841043213007</v>
      </c>
      <c r="U59" s="166">
        <f>(ＣＦ!S22+PL!AA32+(PL!AA37-PL!AA38))/PL!AA32</f>
        <v>10.147636390770229</v>
      </c>
      <c r="V59" s="166">
        <f>(ＣＦ!T22+PL!AB32+(PL!AB37-PL!AB38))/PL!AB32</f>
        <v>27.383629790805983</v>
      </c>
      <c r="W59" s="166">
        <f>(ＣＦ!U22+PL!AC32+(PL!AC37-PL!AC38))/PL!AC32</f>
        <v>3.3511884751925081</v>
      </c>
    </row>
    <row r="60" spans="1:23" x14ac:dyDescent="0.2">
      <c r="A60" s="341"/>
      <c r="B60" s="163"/>
      <c r="C60" s="164" t="s">
        <v>444</v>
      </c>
      <c r="D60" s="204" t="s">
        <v>404</v>
      </c>
      <c r="E60" s="176" t="s">
        <v>455</v>
      </c>
      <c r="F60" s="166">
        <f>(ＣＦ!D22/(BS!L33+BS!L38+BS!L39))*100</f>
        <v>9.8371401534136425</v>
      </c>
      <c r="G60" s="166">
        <f>(ＣＦ!E22/(BS!M33+BS!M38+BS!M39))*100</f>
        <v>-0.63986458317679484</v>
      </c>
      <c r="H60" s="166">
        <f>(ＣＦ!F22/(BS!N33+BS!N38+BS!N39))*100</f>
        <v>12.121469204556663</v>
      </c>
      <c r="I60" s="166">
        <f>(ＣＦ!G22/(BS!O33+BS!O38+BS!O39))*100</f>
        <v>23.183796258938706</v>
      </c>
      <c r="J60" s="166">
        <f>(ＣＦ!H22/(BS!P33+BS!P38+BS!P39))*100</f>
        <v>9.9727270977243787</v>
      </c>
      <c r="K60" s="166">
        <f>(ＣＦ!I22/(BS!Q33+BS!Q38+BS!Q39))*100</f>
        <v>-4.8389775471354177</v>
      </c>
      <c r="L60" s="166">
        <f>(ＣＦ!J22/(BS!R33+BS!R38+BS!R39))*100</f>
        <v>4.2247480508034334</v>
      </c>
      <c r="M60" s="166">
        <f>(ＣＦ!K22/(BS!S33+BS!S38+BS!S39))*100</f>
        <v>22.744226902263001</v>
      </c>
      <c r="N60" s="166">
        <f>(ＣＦ!L22/(BS!T33+BS!T38+BS!T39))*100</f>
        <v>17.136753746912305</v>
      </c>
      <c r="O60" s="166">
        <f>(ＣＦ!M22/(BS!U33+BS!U38+BS!U39))*100</f>
        <v>22.982888611730061</v>
      </c>
      <c r="P60" s="166">
        <f>(ＣＦ!N22/(BS!V33+BS!V38+BS!V39))*100</f>
        <v>17.225537733613049</v>
      </c>
      <c r="Q60" s="166">
        <f>(ＣＦ!O22/(BS!W33+BS!W38+BS!W39))*100</f>
        <v>32.825816130510766</v>
      </c>
      <c r="R60" s="166">
        <f>(ＣＦ!P22/(BS!X33+BS!X38+BS!X39))*100</f>
        <v>27.647687789649339</v>
      </c>
      <c r="S60" s="166">
        <f>(ＣＦ!Q22/(BS!Y33+BS!Y38+BS!Y39))*100</f>
        <v>52.523102840952319</v>
      </c>
      <c r="T60" s="166">
        <f>(ＣＦ!R22/(BS!Z33+BS!Z38+BS!Z39))*100</f>
        <v>-7.1263785189015456</v>
      </c>
      <c r="U60" s="166">
        <f>(ＣＦ!S22/(BS!AA33+BS!AA38+BS!AA39))*100</f>
        <v>8.4962324672976628</v>
      </c>
      <c r="V60" s="166">
        <f>(ＣＦ!T22/(BS!AB33+BS!AB38+BS!AB39))*100</f>
        <v>45.791519572297275</v>
      </c>
      <c r="W60" s="166">
        <f>(ＣＦ!U22/(BS!AC33+BS!AC38+BS!AC39))*100</f>
        <v>-2.4524772584398997</v>
      </c>
    </row>
    <row r="61" spans="1:23" x14ac:dyDescent="0.2">
      <c r="A61" s="341"/>
      <c r="B61" s="167"/>
      <c r="C61" s="168" t="s">
        <v>445</v>
      </c>
      <c r="D61" s="205" t="s">
        <v>404</v>
      </c>
      <c r="E61" s="177" t="s">
        <v>455</v>
      </c>
      <c r="F61" s="169">
        <f>(ＣＦ!D22/ＣＦ!D26)</f>
        <v>27.770189493533781</v>
      </c>
      <c r="G61" s="169">
        <f>(ＣＦ!E22/ＣＦ!E26)</f>
        <v>-3.2629657481105016E-2</v>
      </c>
      <c r="H61" s="169">
        <f>(ＣＦ!F22/ＣＦ!F26)</f>
        <v>-0.63389686971153558</v>
      </c>
      <c r="I61" s="169">
        <f>(ＣＦ!G22/ＣＦ!G26)</f>
        <v>-1.0742521870538579</v>
      </c>
      <c r="J61" s="169">
        <f>(ＣＦ!H22/ＣＦ!H26)</f>
        <v>0.27484235184604294</v>
      </c>
      <c r="K61" s="169">
        <f>(ＣＦ!I22/ＣＦ!I26)</f>
        <v>0.36938487288407101</v>
      </c>
      <c r="L61" s="169">
        <f>(ＣＦ!J22/ＣＦ!J26)</f>
        <v>-2.604260623618039</v>
      </c>
      <c r="M61" s="169">
        <f>(ＣＦ!K22/ＣＦ!K26)</f>
        <v>-0.79890407190917068</v>
      </c>
      <c r="N61" s="169">
        <f>(ＣＦ!L22/ＣＦ!L26)</f>
        <v>-1.2105499384502787</v>
      </c>
      <c r="O61" s="169">
        <f>(ＣＦ!M22/ＣＦ!M26)</f>
        <v>-0.32038520708671608</v>
      </c>
      <c r="P61" s="169">
        <f>(ＣＦ!N22/ＣＦ!N26)</f>
        <v>0.30266306728522785</v>
      </c>
      <c r="Q61" s="169">
        <f>(ＣＦ!O22/ＣＦ!O26)</f>
        <v>-1.8329588283084024</v>
      </c>
      <c r="R61" s="169">
        <f>(ＣＦ!P22/ＣＦ!P26)</f>
        <v>-0.92239576378672195</v>
      </c>
      <c r="S61" s="169">
        <f>(ＣＦ!Q22/ＣＦ!Q26)</f>
        <v>-1.1702840222441464</v>
      </c>
      <c r="T61" s="169">
        <f>(ＣＦ!R22/ＣＦ!R26)</f>
        <v>0.85733140041407485</v>
      </c>
      <c r="U61" s="169">
        <f>(ＣＦ!S22/ＣＦ!S26)</f>
        <v>0.27465335871171453</v>
      </c>
      <c r="V61" s="169">
        <f>(ＣＦ!T22/ＣＦ!T26)</f>
        <v>-1.3055579634054919</v>
      </c>
      <c r="W61" s="169">
        <f>(ＣＦ!U22/ＣＦ!U26)</f>
        <v>7.9978685558015364E-2</v>
      </c>
    </row>
    <row r="62" spans="1:23"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row>
    <row r="63" spans="1:23" x14ac:dyDescent="0.2">
      <c r="A63" s="341"/>
      <c r="B63" s="163"/>
      <c r="C63" s="164" t="s">
        <v>447</v>
      </c>
      <c r="D63" s="204" t="s">
        <v>404</v>
      </c>
      <c r="E63" s="166">
        <f>(PL!K47/PL!K6)*100</f>
        <v>47.086083161265343</v>
      </c>
      <c r="F63" s="166">
        <f>(PL!L47/PL!L6)*100</f>
        <v>48.941366496232078</v>
      </c>
      <c r="G63" s="166">
        <f>(PL!M47/PL!M6)*100</f>
        <v>52.016092708631021</v>
      </c>
      <c r="H63" s="166">
        <f>(PL!N47/PL!N6)*100</f>
        <v>50.724035889458975</v>
      </c>
      <c r="I63" s="166">
        <f>(PL!O47/PL!O6)*100</f>
        <v>45.60305381762231</v>
      </c>
      <c r="J63" s="166">
        <f>(PL!P47/PL!P6)*100</f>
        <v>46.434301936940578</v>
      </c>
      <c r="K63" s="166">
        <f>(PL!Q47/PL!Q6)*100</f>
        <v>50.050165312498109</v>
      </c>
      <c r="L63" s="166">
        <f>(PL!R47/PL!R6)*100</f>
        <v>50.257370470826878</v>
      </c>
      <c r="M63" s="166">
        <f>(PL!S47/PL!S6)*100</f>
        <v>48.135091633298366</v>
      </c>
      <c r="N63" s="166">
        <f>(PL!T47/PL!T6)*100</f>
        <v>52.349232787195717</v>
      </c>
      <c r="O63" s="166">
        <f>(PL!U47/PL!U6)*100</f>
        <v>55.670862184972734</v>
      </c>
      <c r="P63" s="166">
        <f>(PL!V47/PL!V6)*100</f>
        <v>51.542930459016944</v>
      </c>
      <c r="Q63" s="166">
        <f>(PL!W47/PL!W6)*100</f>
        <v>48.992057615032415</v>
      </c>
      <c r="R63" s="166">
        <f>(PL!X47/PL!X6)*100</f>
        <v>49.44801475693324</v>
      </c>
      <c r="S63" s="166">
        <f>(PL!Y47/PL!Y6)*100</f>
        <v>51.132246157011309</v>
      </c>
      <c r="T63" s="166">
        <f>(PL!Z47/PL!Z6)*100</f>
        <v>56.203308338845872</v>
      </c>
      <c r="U63" s="166">
        <f>(PL!AA47/PL!AA6)*100</f>
        <v>55.55952948132412</v>
      </c>
      <c r="V63" s="166">
        <f>(PL!AB47/PL!AB6)*100</f>
        <v>54.851005935466446</v>
      </c>
      <c r="W63" s="166">
        <f>(PL!AC47/PL!AC6)*100</f>
        <v>54.046496079378556</v>
      </c>
    </row>
    <row r="64" spans="1:23" x14ac:dyDescent="0.2">
      <c r="A64" s="341"/>
      <c r="B64" s="167"/>
      <c r="C64" s="168" t="s">
        <v>448</v>
      </c>
      <c r="D64" s="205" t="s">
        <v>404</v>
      </c>
      <c r="E64" s="172">
        <f>(PL!K34+PL!K11+PL!K17+PL!K32+PL!K18+PL!K26+PL!K24+PL!K13)/(BS!K18+BS!K19)*100</f>
        <v>232.37896851995626</v>
      </c>
      <c r="F64" s="172">
        <f>(PL!L34+PL!L11+PL!L17+PL!L32+PL!L18+PL!L26+PL!L24+PL!L13)/(BS!L18+BS!L19)*100</f>
        <v>271.26042628281067</v>
      </c>
      <c r="G64" s="172">
        <f>(PL!M34+PL!M11+PL!M17+PL!M32+PL!M18+PL!M26+PL!M24+PL!M13)/(BS!M18+BS!M19)*100</f>
        <v>267.9838409367411</v>
      </c>
      <c r="H64" s="172">
        <f>(PL!N34+PL!N11+PL!N17+PL!N32+PL!N18+PL!N26+PL!N24+PL!N13)/(BS!N18+BS!N19)*100</f>
        <v>202.22279997751497</v>
      </c>
      <c r="I64" s="172">
        <f>(PL!O34+PL!O11+PL!O17+PL!O32+PL!O18+PL!O26+PL!O24+PL!O13)/(BS!O18+BS!O19)*100</f>
        <v>284.41878186819707</v>
      </c>
      <c r="J64" s="172">
        <f>(PL!P34+PL!P11+PL!P17+PL!P32+PL!P18+PL!P26+PL!P24+PL!P13)/(BS!P18+BS!P19)*100</f>
        <v>267.49191289443081</v>
      </c>
      <c r="K64" s="172">
        <f>(PL!Q34+PL!Q11+PL!Q17+PL!Q32+PL!Q18+PL!Q26+PL!Q24+PL!Q13)/(BS!Q18+BS!Q19)*100</f>
        <v>188.74505110706374</v>
      </c>
      <c r="L64" s="172">
        <f>(PL!R34+PL!R11+PL!R17+PL!R32+PL!R18+PL!R26+PL!R24+PL!R13)/(BS!R18+BS!R19)*100</f>
        <v>234.99257201214249</v>
      </c>
      <c r="M64" s="172">
        <f>(PL!S34+PL!S11+PL!S17+PL!S32+PL!S18+PL!S26+PL!S24+PL!S13)/(BS!S18+BS!S19)*100</f>
        <v>191.21264275727714</v>
      </c>
      <c r="N64" s="172">
        <f>(PL!T34+PL!T11+PL!T17+PL!T32+PL!T18+PL!T26+PL!T24+PL!T13)/(BS!T18+BS!T19)*100</f>
        <v>283.60632073601141</v>
      </c>
      <c r="O64" s="172">
        <f>(PL!U34+PL!U11+PL!U17+PL!U32+PL!U18+PL!U26+PL!U24+PL!U13)/(BS!U18+BS!U19)*100</f>
        <v>200.12357715979516</v>
      </c>
      <c r="P64" s="172">
        <f>(PL!V34+PL!V11+PL!V17+PL!V32+PL!V18+PL!V26+PL!V24+PL!V13)/(BS!V18+BS!V19)*100</f>
        <v>333.60699379689646</v>
      </c>
      <c r="Q64" s="172">
        <f>(PL!W34+PL!W11+PL!W17+PL!W32+PL!W18+PL!W26+PL!W24+PL!W13)/(BS!W18+BS!W19)*100</f>
        <v>128.42921936109758</v>
      </c>
      <c r="R64" s="172">
        <f>(PL!X34+PL!X11+PL!X17+PL!X32+PL!X18+PL!X26+PL!X24+PL!X13)/(BS!X18+BS!X19)*100</f>
        <v>432.2955446935764</v>
      </c>
      <c r="S64" s="172">
        <f>(PL!Y34+PL!Y11+PL!Y17+PL!Y32+PL!Y18+PL!Y26+PL!Y24+PL!Y13)/(BS!Y18+BS!Y19)*100</f>
        <v>349.75431578742541</v>
      </c>
      <c r="T64" s="172">
        <f>(PL!Z34+PL!Z11+PL!Z17+PL!Z32+PL!Z18+PL!Z26+PL!Z24+PL!Z13)/(BS!Z18+BS!Z19)*100</f>
        <v>293.79468475030006</v>
      </c>
      <c r="U64" s="172">
        <f>(PL!AA34+PL!AA11+PL!AA17+PL!AA32+PL!AA18+PL!AA26+PL!AA24+PL!AA13)/(BS!AA18+BS!AA19)*100</f>
        <v>127.94331127172782</v>
      </c>
      <c r="V64" s="172">
        <f>(PL!AB34+PL!AB11+PL!AB17+PL!AB32+PL!AB18+PL!AB26+PL!AB24+PL!AB13)/(BS!AB18+BS!AB19)*100</f>
        <v>324.0750518437456</v>
      </c>
      <c r="W64" s="172">
        <f>(PL!AC34+PL!AC11+PL!AC17+PL!AC32+PL!AC18+PL!AC26+PL!AC24+PL!AC13)/(BS!AC18+BS!AC19)*100</f>
        <v>266.57358401943912</v>
      </c>
    </row>
    <row r="65" spans="1:23"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row>
    <row r="66" spans="1:23" x14ac:dyDescent="0.2">
      <c r="A66" s="341"/>
      <c r="B66" s="167"/>
      <c r="C66" s="168" t="s">
        <v>450</v>
      </c>
      <c r="D66" s="205" t="s">
        <v>404</v>
      </c>
      <c r="E66" s="169">
        <f>(PL!K11+PL!K17)/PL!K47*100</f>
        <v>44.041568704451223</v>
      </c>
      <c r="F66" s="169">
        <f>(PL!L11+PL!L17)/PL!L47*100</f>
        <v>40.708684103019685</v>
      </c>
      <c r="G66" s="169">
        <f>(PL!M11+PL!M17)/PL!M47*100</f>
        <v>42.962968723702076</v>
      </c>
      <c r="H66" s="169">
        <f>(PL!N11+PL!N17)/PL!N47*100</f>
        <v>45.448502564833134</v>
      </c>
      <c r="I66" s="169">
        <f>(PL!O11+PL!O17)/PL!O47*100</f>
        <v>41.646720108658968</v>
      </c>
      <c r="J66" s="169">
        <f>(PL!P11+PL!P17)/PL!P47*100</f>
        <v>39.743715680176429</v>
      </c>
      <c r="K66" s="169">
        <f>(PL!Q11+PL!Q17)/PL!Q47*100</f>
        <v>38.402989534890089</v>
      </c>
      <c r="L66" s="169">
        <f>(PL!R11+PL!R17)/PL!R47*100</f>
        <v>40.55745759082366</v>
      </c>
      <c r="M66" s="169">
        <f>(PL!S11+PL!S17)/PL!S47*100</f>
        <v>46.479397778206611</v>
      </c>
      <c r="N66" s="169">
        <f>(PL!T11+PL!T17)/PL!T47*100</f>
        <v>39.15104852903039</v>
      </c>
      <c r="O66" s="169">
        <f>(PL!U11+PL!U17)/PL!U47*100</f>
        <v>30.753688842174547</v>
      </c>
      <c r="P66" s="169">
        <f>(PL!V11+PL!V17)/PL!V47*100</f>
        <v>34.216285588370596</v>
      </c>
      <c r="Q66" s="169">
        <f>(PL!W11+PL!W17)/PL!W47*100</f>
        <v>36.337204061230658</v>
      </c>
      <c r="R66" s="169">
        <f>(PL!X11+PL!X17)/PL!X47*100</f>
        <v>38.634528894877718</v>
      </c>
      <c r="S66" s="169">
        <f>(PL!Y11+PL!Y17)/PL!Y47*100</f>
        <v>38.977293464958343</v>
      </c>
      <c r="T66" s="169">
        <f>(PL!Z11+PL!Z17)/PL!Z47*100</f>
        <v>36.068354711730976</v>
      </c>
      <c r="U66" s="169">
        <f>(PL!AA11+PL!AA17)/PL!AA47*100</f>
        <v>33.544048762062154</v>
      </c>
      <c r="V66" s="169">
        <f>(PL!AB11+PL!AB17)/PL!AB47*100</f>
        <v>33.756892242909508</v>
      </c>
      <c r="W66" s="169">
        <f>(PL!AC11+PL!AC17)/PL!AC47*100</f>
        <v>36.456933749041681</v>
      </c>
    </row>
    <row r="67" spans="1:23"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row>
    <row r="68" spans="1:23" x14ac:dyDescent="0.2">
      <c r="A68" s="341"/>
      <c r="B68" s="163"/>
      <c r="C68" s="164" t="s">
        <v>452</v>
      </c>
      <c r="D68" s="204" t="s">
        <v>404</v>
      </c>
      <c r="E68" s="166">
        <f>(BS!K33+BS!K34+BS!K38+BS!K39+BS!K40)/BS!K8*100</f>
        <v>44.571135015358244</v>
      </c>
      <c r="F68" s="166">
        <f>(BS!L33+BS!L34+BS!L38+BS!L39+BS!L40)/BS!L8*100</f>
        <v>42.451937438242311</v>
      </c>
      <c r="G68" s="166">
        <f>(BS!M33+BS!M34+BS!M38+BS!M39+BS!M40)/BS!M8*100</f>
        <v>41.548627103623204</v>
      </c>
      <c r="H68" s="166">
        <f>(BS!N33+BS!N34+BS!N38+BS!N39+BS!N40)/BS!N8*100</f>
        <v>40.07232735919866</v>
      </c>
      <c r="I68" s="166">
        <f>(BS!O33+BS!O34+BS!O38+BS!O39+BS!O40)/BS!O8*100</f>
        <v>40.951095759937829</v>
      </c>
      <c r="J68" s="166">
        <f>(BS!P33+BS!P34+BS!P38+BS!P39+BS!P40)/BS!P8*100</f>
        <v>32.062500186131317</v>
      </c>
      <c r="K68" s="166">
        <f>(BS!Q33+BS!Q34+BS!Q38+BS!Q39+BS!Q40)/BS!Q8*100</f>
        <v>28.969877090154107</v>
      </c>
      <c r="L68" s="166">
        <f>(BS!R33+BS!R34+BS!R38+BS!R39+BS!R40)/BS!R8*100</f>
        <v>37.413011045479436</v>
      </c>
      <c r="M68" s="166">
        <f>(BS!S33+BS!S34+BS!S38+BS!S39+BS!S40)/BS!S8*100</f>
        <v>34.118543353817735</v>
      </c>
      <c r="N68" s="166">
        <f>(BS!T33+BS!T34+BS!T38+BS!T39+BS!T40)/BS!T8*100</f>
        <v>36.918260375345746</v>
      </c>
      <c r="O68" s="166">
        <f>(BS!U33+BS!U34+BS!U38+BS!U39+BS!U40)/BS!U8*100</f>
        <v>38.354122407808603</v>
      </c>
      <c r="P68" s="166">
        <f>(BS!V33+BS!V34+BS!V38+BS!V39+BS!V40)/BS!V8*100</f>
        <v>33.431313108703748</v>
      </c>
      <c r="Q68" s="166">
        <f>(BS!W33+BS!W34+BS!W38+BS!W39+BS!W40)/BS!W8*100</f>
        <v>28.99505516280685</v>
      </c>
      <c r="R68" s="166">
        <f>(BS!X33+BS!X34+BS!X38+BS!X39+BS!X40)/BS!X8*100</f>
        <v>30.172666495336486</v>
      </c>
      <c r="S68" s="166">
        <f>(BS!Y33+BS!Y34+BS!Y38+BS!Y39+BS!Y40)/BS!Y8*100</f>
        <v>24.183936031244158</v>
      </c>
      <c r="T68" s="166">
        <f>(BS!Z33+BS!Z34+BS!Z38+BS!Z39+BS!Z40)/BS!Z8*100</f>
        <v>26.912133715655745</v>
      </c>
      <c r="U68" s="166">
        <f>(BS!AA33+BS!AA34+BS!AA38+BS!AA39+BS!AA40)/BS!AA8*100</f>
        <v>24.573439232789003</v>
      </c>
      <c r="V68" s="166">
        <f>(BS!AB33+BS!AB34+BS!AB38+BS!AB39+BS!AB40)/BS!AB8*100</f>
        <v>28.183416859084577</v>
      </c>
      <c r="W68" s="166">
        <f>(BS!AC33+BS!AC34+BS!AC38+BS!AC39+BS!AC40)/BS!AC8*100</f>
        <v>27.866941644591581</v>
      </c>
    </row>
    <row r="69" spans="1:23" x14ac:dyDescent="0.2">
      <c r="A69" s="341"/>
      <c r="B69" s="163"/>
      <c r="C69" s="164" t="s">
        <v>453</v>
      </c>
      <c r="D69" s="204" t="s">
        <v>404</v>
      </c>
      <c r="E69" s="166">
        <f>PL!K32/PL!K6*100</f>
        <v>1.0762828842028831</v>
      </c>
      <c r="F69" s="166">
        <f>PL!L32/PL!L6*100</f>
        <v>0.89022520285718942</v>
      </c>
      <c r="G69" s="166">
        <f>PL!M32/PL!M6*100</f>
        <v>1.2509485482348779</v>
      </c>
      <c r="H69" s="166">
        <f>PL!N32/PL!N6*100</f>
        <v>1.0716276446971831</v>
      </c>
      <c r="I69" s="166">
        <f>PL!O32/PL!O6*100</f>
        <v>1.0543137568654195</v>
      </c>
      <c r="J69" s="166">
        <f>PL!P32/PL!P6*100</f>
        <v>0.93239481967534676</v>
      </c>
      <c r="K69" s="166">
        <f>PL!Q32/PL!Q6*100</f>
        <v>0.86319212074382545</v>
      </c>
      <c r="L69" s="166">
        <f>PL!R32/PL!R6*100</f>
        <v>0.70090501946650063</v>
      </c>
      <c r="M69" s="166">
        <f>PL!S32/PL!S6*100</f>
        <v>0.73065924465925669</v>
      </c>
      <c r="N69" s="166">
        <f>PL!T32/PL!T6*100</f>
        <v>0.81363151285484969</v>
      </c>
      <c r="O69" s="166">
        <f>PL!U32/PL!U6*100</f>
        <v>0.81434838664737297</v>
      </c>
      <c r="P69" s="166">
        <f>PL!V32/PL!V6*100</f>
        <v>0.52292769121598148</v>
      </c>
      <c r="Q69" s="166">
        <f>PL!W32/PL!W6*100</f>
        <v>0.49974803360276931</v>
      </c>
      <c r="R69" s="166">
        <f>PL!X32/PL!X6*100</f>
        <v>0.48885036332104237</v>
      </c>
      <c r="S69" s="166">
        <f>PL!Y32/PL!Y6*100</f>
        <v>0.35199315687281846</v>
      </c>
      <c r="T69" s="166">
        <f>PL!Z32/PL!Z6*100</f>
        <v>0.37508253814840364</v>
      </c>
      <c r="U69" s="166">
        <f>PL!AA32/PL!AA6*100</f>
        <v>0.43135671219220473</v>
      </c>
      <c r="V69" s="166">
        <f>PL!AB32/PL!AB6*100</f>
        <v>0.54993056330473011</v>
      </c>
      <c r="W69" s="166">
        <f>PL!AC32/PL!AC6*100</f>
        <v>0.3775893650662725</v>
      </c>
    </row>
    <row r="70" spans="1:23" x14ac:dyDescent="0.2">
      <c r="A70" s="341"/>
      <c r="B70" s="163"/>
      <c r="C70" s="164" t="s">
        <v>566</v>
      </c>
      <c r="D70" s="204" t="s">
        <v>254</v>
      </c>
      <c r="E70" s="158">
        <f>PL!K28+PL!K13+PL!K24</f>
        <v>13492.737645922931</v>
      </c>
      <c r="F70" s="158">
        <f>PL!L28+PL!L13+PL!L24</f>
        <v>14629.147812971341</v>
      </c>
      <c r="G70" s="158">
        <f>PL!M28+PL!M13+PL!M24</f>
        <v>18307.870898231744</v>
      </c>
      <c r="H70" s="158">
        <f>PL!N28+PL!N13+PL!N24</f>
        <v>12119.07442977519</v>
      </c>
      <c r="I70" s="158">
        <f>PL!O28+PL!O13+PL!O24</f>
        <v>13249.204715490068</v>
      </c>
      <c r="J70" s="158">
        <f>PL!P28+PL!P13+PL!P24</f>
        <v>15233.92150076004</v>
      </c>
      <c r="K70" s="158">
        <f>PL!Q28+PL!Q13+PL!Q24</f>
        <v>27682.479770128288</v>
      </c>
      <c r="L70" s="158">
        <f>PL!R28+PL!R13+PL!R24</f>
        <v>19390.881669335671</v>
      </c>
      <c r="M70" s="158">
        <f>PL!S28+PL!S13+PL!S24</f>
        <v>19808.41027076343</v>
      </c>
      <c r="N70" s="158">
        <f>PL!T28+PL!T13+PL!T24</f>
        <v>23892.952074623758</v>
      </c>
      <c r="O70" s="158">
        <f>PL!U28+PL!U13+PL!U24</f>
        <v>34886.256705970176</v>
      </c>
      <c r="P70" s="158">
        <f>PL!V28+PL!V13+PL!V24</f>
        <v>25776.545762724949</v>
      </c>
      <c r="Q70" s="158">
        <f>PL!W28+PL!W13+PL!W24</f>
        <v>26872.951061296433</v>
      </c>
      <c r="R70" s="158">
        <f>PL!X28+PL!X13+PL!X24</f>
        <v>34104.985227626465</v>
      </c>
      <c r="S70" s="158">
        <f>PL!Y28+PL!Y13+PL!Y24</f>
        <v>55712.042866341486</v>
      </c>
      <c r="T70" s="158">
        <f>PL!Z28+PL!Z13+PL!Z24</f>
        <v>32364.13625037199</v>
      </c>
      <c r="U70" s="158">
        <f>PL!AA28+PL!AA13+PL!AA24</f>
        <v>45130.234415198895</v>
      </c>
      <c r="V70" s="158">
        <f>PL!AB28+PL!AB13+PL!AB24</f>
        <v>47489.475374095731</v>
      </c>
      <c r="W70" s="158">
        <f>PL!AC28+PL!AC13+PL!AC24</f>
        <v>39119.196779610786</v>
      </c>
    </row>
    <row r="71" spans="1:23" x14ac:dyDescent="0.2">
      <c r="A71" s="342"/>
      <c r="B71" s="167"/>
      <c r="C71" s="168" t="s">
        <v>567</v>
      </c>
      <c r="D71" s="205" t="s">
        <v>441</v>
      </c>
      <c r="E71" s="266">
        <f>(BS!K33+BS!K34+BS!K38+BS!K39+BS!K40-BS!K10)/E70</f>
        <v>11.389354445626667</v>
      </c>
      <c r="F71" s="266">
        <f>(BS!L33+BS!L34+BS!L38+BS!L39+BS!L40-BS!L10)/F70</f>
        <v>7.2750828038611752</v>
      </c>
      <c r="G71" s="266">
        <f>(BS!M33+BS!M34+BS!M38+BS!M39+BS!M40-BS!M10)/G70</f>
        <v>5.7088766699221747</v>
      </c>
      <c r="H71" s="266">
        <f>(BS!N33+BS!N34+BS!N38+BS!N39+BS!N40-BS!N10)/H70</f>
        <v>7.9009069977878399</v>
      </c>
      <c r="I71" s="266">
        <f>(BS!O33+BS!O34+BS!O38+BS!O39+BS!O40-BS!O10)/I70</f>
        <v>9.2308499099703809</v>
      </c>
      <c r="J71" s="266">
        <f>(BS!P33+BS!P34+BS!P38+BS!P39+BS!P40-BS!P10)/J70</f>
        <v>3.7825486406099165</v>
      </c>
      <c r="K71" s="266">
        <f>(BS!Q33+BS!Q34+BS!Q38+BS!Q39+BS!Q40-BS!Q10)/K70</f>
        <v>2.3084950729859304</v>
      </c>
      <c r="L71" s="266">
        <f>(BS!R33+BS!R34+BS!R38+BS!R39+BS!R40-BS!R10)/L70</f>
        <v>4.4528495236503778</v>
      </c>
      <c r="M71" s="266">
        <f>(BS!S33+BS!S34+BS!S38+BS!S39+BS!S40-BS!S10)/M70</f>
        <v>3.7871502382211522</v>
      </c>
      <c r="N71" s="266">
        <f>(BS!T33+BS!T34+BS!T38+BS!T39+BS!T40-BS!T10)/N70</f>
        <v>3.3866135204075136</v>
      </c>
      <c r="O71" s="266">
        <f>(BS!U33+BS!U34+BS!U38+BS!U39+BS!U40-BS!U10)/O70</f>
        <v>3.3627446726481649</v>
      </c>
      <c r="P71" s="266">
        <f>(BS!V33+BS!V34+BS!V38+BS!V39+BS!V40-BS!V10)/P70</f>
        <v>2.7800024861145047</v>
      </c>
      <c r="Q71" s="266">
        <f>(BS!W33+BS!W34+BS!W38+BS!W39+BS!W40-BS!W10)/Q70</f>
        <v>1.8145138776621317</v>
      </c>
      <c r="R71" s="266">
        <f>(BS!X33+BS!X34+BS!X38+BS!X39+BS!X40-BS!X10)/R70</f>
        <v>1.7384008208594657</v>
      </c>
      <c r="S71" s="266">
        <f>(BS!Y33+BS!Y34+BS!Y38+BS!Y39+BS!Y40-BS!Y10)/S70</f>
        <v>0.66666690851304</v>
      </c>
      <c r="T71" s="266">
        <f>(BS!Z33+BS!Z34+BS!Z38+BS!Z39+BS!Z40-BS!Z10)/T70</f>
        <v>1.2828376162865787</v>
      </c>
      <c r="U71" s="266">
        <f>(BS!AA33+BS!AA34+BS!AA38+BS!AA39+BS!AA40-BS!AA10)/U70</f>
        <v>0.2938120973281303</v>
      </c>
      <c r="V71" s="266">
        <f>(BS!AB33+BS!AB34+BS!AB38+BS!AB39+BS!AB40-BS!AB10)/V70</f>
        <v>0.16155249653697076</v>
      </c>
      <c r="W71" s="266">
        <f>(BS!AC33+BS!AC34+BS!AC38+BS!AC39+BS!AC40-BS!AC10)/W70</f>
        <v>0.93811543328053637</v>
      </c>
    </row>
    <row r="72" spans="1:23" x14ac:dyDescent="0.2">
      <c r="B72" s="76" t="s">
        <v>577</v>
      </c>
    </row>
  </sheetData>
  <sheetProtection algorithmName="SHA-512" hashValue="uQaXPDFu4ysPI7/73YuLEWd+eqLSTf3CrlaKVTLae6O8Itp6cUAvE5eS/AFgI7HFeU107hqnOPgOM64rql5YMw==" saltValue="g6d0xw30skkXHNqKTfJ+U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6"/>
  <sheetViews>
    <sheetView topLeftCell="B1" workbookViewId="0">
      <selection activeCell="U3" sqref="U3"/>
    </sheetView>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1" ht="12.6" x14ac:dyDescent="0.2">
      <c r="A1" s="252" t="s">
        <v>540</v>
      </c>
      <c r="B1" s="253"/>
      <c r="C1" s="252"/>
      <c r="D1" s="252"/>
      <c r="E1" s="252"/>
      <c r="F1" s="252"/>
      <c r="G1" s="252"/>
      <c r="H1" s="252"/>
      <c r="I1" s="252"/>
      <c r="J1" s="252"/>
      <c r="K1" s="252"/>
      <c r="L1" s="252"/>
      <c r="M1" s="252"/>
      <c r="N1" s="252"/>
      <c r="O1" s="252"/>
      <c r="P1" s="252"/>
      <c r="Q1" s="252"/>
    </row>
    <row r="2" spans="1:21" ht="12.6" x14ac:dyDescent="0.2">
      <c r="A2" s="254" t="str">
        <f>BS!A2</f>
        <v>２１　窯業・土石製品製造業</v>
      </c>
      <c r="B2" s="253"/>
      <c r="C2" s="252"/>
      <c r="D2" s="252"/>
      <c r="E2" s="252"/>
      <c r="F2" s="252"/>
      <c r="G2" s="252"/>
      <c r="H2" s="252"/>
      <c r="I2" s="252"/>
      <c r="J2" s="252"/>
      <c r="K2" s="252"/>
      <c r="L2" s="252"/>
      <c r="M2" s="252"/>
      <c r="N2" s="252"/>
      <c r="O2" s="252"/>
      <c r="P2" s="252"/>
      <c r="Q2" s="252"/>
    </row>
    <row r="3" spans="1:21"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578</v>
      </c>
      <c r="T3" s="257" t="s">
        <v>576</v>
      </c>
      <c r="U3" s="257" t="s">
        <v>580</v>
      </c>
    </row>
    <row r="4" spans="1:21" ht="12.6" x14ac:dyDescent="0.2">
      <c r="A4" s="255" t="s">
        <v>310</v>
      </c>
      <c r="B4" s="256" t="s">
        <v>254</v>
      </c>
      <c r="C4" s="258">
        <f>PL!K6</f>
        <v>476566.84718686901</v>
      </c>
      <c r="D4" s="258">
        <f>PL!L6</f>
        <v>431883.95550527907</v>
      </c>
      <c r="E4" s="258">
        <f>PL!M6</f>
        <v>470276.95833658014</v>
      </c>
      <c r="F4" s="258">
        <f>PL!N6</f>
        <v>382317.10699519957</v>
      </c>
      <c r="G4" s="258">
        <f>PL!O6</f>
        <v>444717.01417659037</v>
      </c>
      <c r="H4" s="258">
        <f>PL!P6</f>
        <v>466028.2715769179</v>
      </c>
      <c r="I4" s="258">
        <f>PL!Q6</f>
        <v>571062.94556079933</v>
      </c>
      <c r="J4" s="258">
        <f>PL!R6</f>
        <v>380712.29461116524</v>
      </c>
      <c r="K4" s="258">
        <f>PL!S6</f>
        <v>481641.09597770061</v>
      </c>
      <c r="L4" s="258">
        <f>PL!T6</f>
        <v>399147.49110443954</v>
      </c>
      <c r="M4" s="258">
        <f>PL!U6</f>
        <v>466318.69523454586</v>
      </c>
      <c r="N4" s="258">
        <f>PL!V6</f>
        <v>401930.379131675</v>
      </c>
      <c r="O4" s="258">
        <f>PL!W6</f>
        <v>420952.65570839075</v>
      </c>
      <c r="P4" s="258">
        <f>PL!X6</f>
        <v>433716.8601081805</v>
      </c>
      <c r="Q4" s="258">
        <f>PL!Y6</f>
        <v>610593.27578583988</v>
      </c>
      <c r="R4" s="258">
        <f>PL!Z6</f>
        <v>497242.65165447723</v>
      </c>
      <c r="S4" s="258">
        <f>PL!AA6</f>
        <v>509828.00504650705</v>
      </c>
      <c r="T4" s="258">
        <f>PL!AB6</f>
        <v>552662.77653354476</v>
      </c>
      <c r="U4" s="258">
        <f>PL!AC6</f>
        <v>548953.19845895481</v>
      </c>
    </row>
    <row r="5" spans="1:21" ht="12.6" x14ac:dyDescent="0.2">
      <c r="A5" s="259" t="s">
        <v>69</v>
      </c>
      <c r="B5" s="256" t="s">
        <v>254</v>
      </c>
      <c r="C5" s="258">
        <f>PL!K42</f>
        <v>14070.128148863034</v>
      </c>
      <c r="D5" s="258">
        <f>PL!L42</f>
        <v>12633.295625942701</v>
      </c>
      <c r="E5" s="258">
        <f>PL!M42</f>
        <v>8200.0331160771311</v>
      </c>
      <c r="F5" s="258">
        <f>PL!N42</f>
        <v>-1050.8901642554556</v>
      </c>
      <c r="G5" s="258">
        <f>PL!O42</f>
        <v>5845.6290274688508</v>
      </c>
      <c r="H5" s="258">
        <f>PL!P42</f>
        <v>1584.2078071520082</v>
      </c>
      <c r="I5" s="258">
        <f>PL!Q42</f>
        <v>166.11911319139099</v>
      </c>
      <c r="J5" s="258">
        <f>PL!R42</f>
        <v>6986.3330154404603</v>
      </c>
      <c r="K5" s="258">
        <f>PL!S42</f>
        <v>3679.3643688011598</v>
      </c>
      <c r="L5" s="258">
        <f>PL!T42</f>
        <v>11790.923927390375</v>
      </c>
      <c r="M5" s="258">
        <f>PL!U42</f>
        <v>17714.767715319871</v>
      </c>
      <c r="N5" s="258">
        <f>PL!V42</f>
        <v>15526.147858096676</v>
      </c>
      <c r="O5" s="258">
        <f>PL!W42</f>
        <v>12821.694664080098</v>
      </c>
      <c r="P5" s="258">
        <f>PL!X42</f>
        <v>20287.037430354289</v>
      </c>
      <c r="Q5" s="258">
        <f>PL!Y42</f>
        <v>34502.788514524043</v>
      </c>
      <c r="R5" s="258">
        <f>PL!Z42</f>
        <v>16919.494862570296</v>
      </c>
      <c r="S5" s="258">
        <f>PL!AA42</f>
        <v>28465.156045913322</v>
      </c>
      <c r="T5" s="258">
        <f>PL!AB42</f>
        <v>27089.759092260432</v>
      </c>
      <c r="U5" s="258">
        <f>PL!AC42</f>
        <v>22698.368270275609</v>
      </c>
    </row>
    <row r="6" spans="1:21" ht="12.6" x14ac:dyDescent="0.2">
      <c r="A6" s="255" t="s">
        <v>317</v>
      </c>
      <c r="B6" s="256" t="s">
        <v>318</v>
      </c>
      <c r="C6" s="260">
        <f>PL!K5</f>
        <v>21.347318528921299</v>
      </c>
      <c r="D6" s="260">
        <f>PL!L5</f>
        <v>19.453054298642535</v>
      </c>
      <c r="E6" s="260">
        <f>PL!M5</f>
        <v>22.748031868795213</v>
      </c>
      <c r="F6" s="260">
        <f>PL!N5</f>
        <v>21.848411568045332</v>
      </c>
      <c r="G6" s="260">
        <f>PL!O5</f>
        <v>20.205459362863763</v>
      </c>
      <c r="H6" s="260">
        <f>PL!P5</f>
        <v>20.152178392700858</v>
      </c>
      <c r="I6" s="260">
        <f>PL!Q5</f>
        <v>22.821736819167953</v>
      </c>
      <c r="J6" s="260">
        <f>PL!R5</f>
        <v>19.853952851186037</v>
      </c>
      <c r="K6" s="260">
        <f>PL!S5</f>
        <v>23.141805274563811</v>
      </c>
      <c r="L6" s="260">
        <f>PL!T5</f>
        <v>19.858120360783609</v>
      </c>
      <c r="M6" s="260">
        <f>PL!U5</f>
        <v>20.072881892659066</v>
      </c>
      <c r="N6" s="260">
        <f>PL!V5</f>
        <v>17.618263452592512</v>
      </c>
      <c r="O6" s="260">
        <f>PL!W5</f>
        <v>19.500963661852872</v>
      </c>
      <c r="P6" s="260">
        <f>PL!X5</f>
        <v>19.952157532469993</v>
      </c>
      <c r="Q6" s="260">
        <f>PL!Y5</f>
        <v>25.465956937246414</v>
      </c>
      <c r="R6" s="260">
        <f>PL!Z5</f>
        <v>23.765799442876588</v>
      </c>
      <c r="S6" s="260">
        <f>PL!AA5</f>
        <v>21.333267365921234</v>
      </c>
      <c r="T6" s="260">
        <f>PL!AB5</f>
        <v>22.438014071945297</v>
      </c>
      <c r="U6" s="260">
        <f>PL!AC5</f>
        <v>23.274622147584708</v>
      </c>
    </row>
    <row r="7" spans="1:21" ht="12.6" x14ac:dyDescent="0.2">
      <c r="A7" s="259" t="s">
        <v>344</v>
      </c>
      <c r="B7" s="256" t="s">
        <v>254</v>
      </c>
      <c r="C7" s="258">
        <f>BS!K33+BS!K34+BS!K38+BS!K39+BS!K40</f>
        <v>237673.22039849032</v>
      </c>
      <c r="D7" s="258">
        <f>BS!L33+BS!L34+BS!L38+BS!L39+BS!L40</f>
        <v>191442.59049773758</v>
      </c>
      <c r="E7" s="258">
        <f>BS!M33+BS!M34+BS!M38+BS!M39+BS!M40</f>
        <v>240921.84216501622</v>
      </c>
      <c r="F7" s="258">
        <f>BS!N33+BS!N34+BS!N38+BS!N39+BS!N40</f>
        <v>174653.23231868781</v>
      </c>
      <c r="G7" s="258">
        <f>BS!O33+BS!O34+BS!O38+BS!O39+BS!O40</f>
        <v>186586.78283720536</v>
      </c>
      <c r="H7" s="258">
        <f>BS!P33+BS!P34+BS!P38+BS!P39+BS!P40</f>
        <v>164617.66786837738</v>
      </c>
      <c r="I7" s="258">
        <f>BS!Q33+BS!Q34+BS!Q38+BS!Q39+BS!Q40</f>
        <v>183363.71826150673</v>
      </c>
      <c r="J7" s="258">
        <f>BS!R33+BS!R34+BS!R38+BS!R39+BS!R40</f>
        <v>169436.43442235049</v>
      </c>
      <c r="K7" s="258">
        <f>BS!S33+BS!S34+BS!S38+BS!S39+BS!S40</f>
        <v>160566.92146556237</v>
      </c>
      <c r="L7" s="258">
        <f>BS!T33+BS!T34+BS!T38+BS!T39+BS!T40</f>
        <v>158669.49997830376</v>
      </c>
      <c r="M7" s="258">
        <f>BS!U33+BS!U34+BS!U38+BS!U39+BS!U40</f>
        <v>181462.40985522704</v>
      </c>
      <c r="N7" s="258">
        <f>BS!V33+BS!V34+BS!V38+BS!V39+BS!V40</f>
        <v>125686.5399580396</v>
      </c>
      <c r="O7" s="258">
        <f>BS!W33+BS!W34+BS!W38+BS!W39+BS!W40</f>
        <v>131148.8293277628</v>
      </c>
      <c r="P7" s="258">
        <f>BS!X33+BS!X34+BS!X38+BS!X39+BS!X40</f>
        <v>129934.74845257387</v>
      </c>
      <c r="Q7" s="258">
        <f>BS!Y33+BS!Y34+BS!Y38+BS!Y39+BS!Y40</f>
        <v>133480.03819511476</v>
      </c>
      <c r="R7" s="258">
        <f>BS!Z33+BS!Z34+BS!Z38+BS!Z39+BS!Z40</f>
        <v>144975.18138402392</v>
      </c>
      <c r="S7" s="258">
        <f>BS!AA33+BS!AA34+BS!AA38+BS!AA39+BS!AA40</f>
        <v>143862.29467642985</v>
      </c>
      <c r="T7" s="258">
        <f>BS!AB33+BS!AB34+BS!AB38+BS!AB39+BS!AB40</f>
        <v>179776.34446536517</v>
      </c>
      <c r="U7" s="258">
        <f>BS!AC33+BS!AC34+BS!AC38+BS!AC39+BS!AC40</f>
        <v>171710.49501136027</v>
      </c>
    </row>
    <row r="8" spans="1:21" ht="12.6" x14ac:dyDescent="0.2">
      <c r="A8" s="259" t="s">
        <v>486</v>
      </c>
      <c r="B8" s="256" t="s">
        <v>254</v>
      </c>
      <c r="C8" s="258">
        <f>BS!K10</f>
        <v>83999.648907223687</v>
      </c>
      <c r="D8" s="258">
        <f>BS!L10</f>
        <v>85014.328808446444</v>
      </c>
      <c r="E8" s="258">
        <f>BS!M10</f>
        <v>136404.46511815389</v>
      </c>
      <c r="F8" s="258">
        <f>BS!N10</f>
        <v>78901.552349765334</v>
      </c>
      <c r="G8" s="258">
        <f>BS!O10</f>
        <v>64285.36268204471</v>
      </c>
      <c r="H8" s="258">
        <f>BS!P10</f>
        <v>106994.61880451931</v>
      </c>
      <c r="I8" s="258">
        <f>BS!Q10</f>
        <v>119458.85010413289</v>
      </c>
      <c r="J8" s="258">
        <f>BS!R10</f>
        <v>83091.756217888309</v>
      </c>
      <c r="K8" s="258">
        <f>BS!S10</f>
        <v>85549.495789858323</v>
      </c>
      <c r="L8" s="258">
        <f>BS!T10</f>
        <v>77753.305439934193</v>
      </c>
      <c r="M8" s="258">
        <f>BS!U10</f>
        <v>64148.835968589512</v>
      </c>
      <c r="N8" s="258">
        <f>BS!V10</f>
        <v>54027.678654219941</v>
      </c>
      <c r="O8" s="258">
        <f>BS!W10</f>
        <v>82387.486693305109</v>
      </c>
      <c r="P8" s="258">
        <f>BS!X10</f>
        <v>70646.614137468074</v>
      </c>
      <c r="Q8" s="258">
        <f>BS!Y10</f>
        <v>96338.662810464913</v>
      </c>
      <c r="R8" s="258">
        <f>BS!Z10</f>
        <v>103457.24998342266</v>
      </c>
      <c r="S8" s="258">
        <f>BS!AA10</f>
        <v>130602.4858499901</v>
      </c>
      <c r="T8" s="258">
        <f>BS!AB10</f>
        <v>172104.30115944901</v>
      </c>
      <c r="U8" s="258">
        <f>BS!AC10</f>
        <v>135012.17277486913</v>
      </c>
    </row>
    <row r="9" spans="1:21" ht="12.6" x14ac:dyDescent="0.2">
      <c r="A9" s="259" t="s">
        <v>326</v>
      </c>
      <c r="B9" s="256" t="s">
        <v>254</v>
      </c>
      <c r="C9" s="258">
        <f>PL!K13+PL!K24</f>
        <v>13492.737645922931</v>
      </c>
      <c r="D9" s="258">
        <f>PL!L13+PL!L24</f>
        <v>14629.147812971341</v>
      </c>
      <c r="E9" s="258">
        <f>PL!M13+PL!M24</f>
        <v>18307.870898231744</v>
      </c>
      <c r="F9" s="258">
        <f>PL!N13+PL!N24</f>
        <v>12119.07442977519</v>
      </c>
      <c r="G9" s="258">
        <f>PL!O13+PL!O24</f>
        <v>13249.204715490068</v>
      </c>
      <c r="H9" s="258">
        <f>PL!P13+PL!P24</f>
        <v>15233.92150076004</v>
      </c>
      <c r="I9" s="258">
        <f>PL!Q13+PL!Q24</f>
        <v>27516.360656936897</v>
      </c>
      <c r="J9" s="258">
        <f>PL!R13+PL!R24</f>
        <v>12404.54865389521</v>
      </c>
      <c r="K9" s="258">
        <f>PL!S13+PL!S24</f>
        <v>16129.045901962272</v>
      </c>
      <c r="L9" s="258">
        <f>PL!T13+PL!T24</f>
        <v>12102.028147233385</v>
      </c>
      <c r="M9" s="258">
        <f>PL!U13+PL!U24</f>
        <v>17171.488990650305</v>
      </c>
      <c r="N9" s="258">
        <f>PL!V13+PL!V24</f>
        <v>10250.397904628273</v>
      </c>
      <c r="O9" s="258">
        <f>PL!W13+PL!W24</f>
        <v>14051.256397216333</v>
      </c>
      <c r="P9" s="258">
        <f>PL!X13+PL!X24</f>
        <v>13817.947797272176</v>
      </c>
      <c r="Q9" s="258">
        <f>PL!Y13+PL!Y24</f>
        <v>21209.254351817439</v>
      </c>
      <c r="R9" s="258">
        <f>PL!Z13+PL!Z24</f>
        <v>15444.641387801694</v>
      </c>
      <c r="S9" s="258">
        <f>PL!AA13+PL!AA24</f>
        <v>16665.078369285573</v>
      </c>
      <c r="T9" s="258">
        <f>PL!AB13+PL!AB24</f>
        <v>20399.716281835299</v>
      </c>
      <c r="U9" s="258">
        <f>PL!AC13+PL!AC24</f>
        <v>16420.828509335177</v>
      </c>
    </row>
    <row r="10" spans="1:21" ht="12.6" x14ac:dyDescent="0.2">
      <c r="A10" s="255" t="s">
        <v>314</v>
      </c>
      <c r="B10" s="256" t="s">
        <v>254</v>
      </c>
      <c r="C10" s="258">
        <f>BS!K43</f>
        <v>149492.23207232502</v>
      </c>
      <c r="D10" s="258">
        <f>BS!L43</f>
        <v>148534.21945701356</v>
      </c>
      <c r="E10" s="258">
        <f>BS!M43</f>
        <v>197367.00269618895</v>
      </c>
      <c r="F10" s="258">
        <f>BS!N43</f>
        <v>162120.71171816153</v>
      </c>
      <c r="G10" s="258">
        <f>BS!O43</f>
        <v>166689.26005200355</v>
      </c>
      <c r="H10" s="258">
        <f>BS!P43</f>
        <v>232881.80099990391</v>
      </c>
      <c r="I10" s="258">
        <f>BS!Q43</f>
        <v>304743.24012146896</v>
      </c>
      <c r="J10" s="258">
        <f>BS!R43</f>
        <v>190694.82843783332</v>
      </c>
      <c r="K10" s="258">
        <f>BS!S43</f>
        <v>185476.80024428348</v>
      </c>
      <c r="L10" s="258">
        <f>BS!T43</f>
        <v>172466.2122887203</v>
      </c>
      <c r="M10" s="258">
        <f>BS!U43</f>
        <v>177524.99744425935</v>
      </c>
      <c r="N10" s="258">
        <f>BS!V43</f>
        <v>153408.31565152138</v>
      </c>
      <c r="O10" s="258">
        <f>BS!W43</f>
        <v>217737.01421806036</v>
      </c>
      <c r="P10" s="258">
        <f>BS!X43</f>
        <v>186523.27475391861</v>
      </c>
      <c r="Q10" s="258">
        <f>BS!Y43</f>
        <v>247282.16531609549</v>
      </c>
      <c r="R10" s="258">
        <f>BS!Z43</f>
        <v>258586.1202457092</v>
      </c>
      <c r="S10" s="258">
        <f>BS!AA43</f>
        <v>307850.7243221848</v>
      </c>
      <c r="T10" s="258">
        <f>BS!AB43</f>
        <v>310023.02923397085</v>
      </c>
      <c r="U10" s="258">
        <f>BS!AC43</f>
        <v>302485.51743554283</v>
      </c>
    </row>
    <row r="11" spans="1:21" ht="12.6" x14ac:dyDescent="0.2">
      <c r="A11" s="255" t="s">
        <v>542</v>
      </c>
      <c r="B11" s="256" t="s">
        <v>254</v>
      </c>
      <c r="C11" s="258">
        <f>BS!K30</f>
        <v>383752.47959273198</v>
      </c>
      <c r="D11" s="258">
        <f>BS!L30</f>
        <v>302428.92156862747</v>
      </c>
      <c r="E11" s="258">
        <f>BS!M30</f>
        <v>382488.11878388253</v>
      </c>
      <c r="F11" s="258">
        <f>BS!N30</f>
        <v>273724.28114471474</v>
      </c>
      <c r="G11" s="258">
        <f>BS!O30</f>
        <v>288943.92722827988</v>
      </c>
      <c r="H11" s="258">
        <f>BS!P30</f>
        <v>280545.62017039739</v>
      </c>
      <c r="I11" s="258">
        <f>BS!Q30</f>
        <v>328202.89800290007</v>
      </c>
      <c r="J11" s="258">
        <f>BS!R30</f>
        <v>262186.21397915535</v>
      </c>
      <c r="K11" s="258">
        <f>BS!S30</f>
        <v>285138.01997369505</v>
      </c>
      <c r="L11" s="258">
        <f>BS!T30</f>
        <v>257319.74827691971</v>
      </c>
      <c r="M11" s="258">
        <f>BS!U30</f>
        <v>295598.6160379845</v>
      </c>
      <c r="N11" s="258">
        <f>BS!V30</f>
        <v>222546.22597645104</v>
      </c>
      <c r="O11" s="258">
        <f>BS!W30</f>
        <v>234577.45316737451</v>
      </c>
      <c r="P11" s="258">
        <f>BS!X30</f>
        <v>244113.99912658738</v>
      </c>
      <c r="Q11" s="258">
        <f>BS!Y30</f>
        <v>304654.61628416466</v>
      </c>
      <c r="R11" s="258">
        <f>BS!Z30</f>
        <v>280112.08523952396</v>
      </c>
      <c r="S11" s="258">
        <f>BS!AA30</f>
        <v>277587.45260241441</v>
      </c>
      <c r="T11" s="258">
        <f>BS!AB30</f>
        <v>327856.84659597662</v>
      </c>
      <c r="U11" s="258">
        <f>BS!AC30</f>
        <v>313694.38921268395</v>
      </c>
    </row>
    <row r="12" spans="1:21" ht="12.6" x14ac:dyDescent="0.2">
      <c r="A12" s="255" t="s">
        <v>543</v>
      </c>
      <c r="B12" s="256" t="s">
        <v>254</v>
      </c>
      <c r="C12" s="258">
        <f>BS!K11</f>
        <v>110724.83103660101</v>
      </c>
      <c r="D12" s="258">
        <f>BS!L11</f>
        <v>112234.72850678733</v>
      </c>
      <c r="E12" s="258">
        <f>BS!M11</f>
        <v>113129.82669761361</v>
      </c>
      <c r="F12" s="258">
        <f>BS!N11</f>
        <v>81055.982402472582</v>
      </c>
      <c r="G12" s="258">
        <f>BS!O11</f>
        <v>72077.335869778995</v>
      </c>
      <c r="H12" s="258">
        <f>BS!P11</f>
        <v>82091.025348305862</v>
      </c>
      <c r="I12" s="258">
        <f>BS!Q11</f>
        <v>122273.07610768492</v>
      </c>
      <c r="J12" s="258">
        <f>BS!R11</f>
        <v>88751.438960171159</v>
      </c>
      <c r="K12" s="258">
        <f>BS!S11</f>
        <v>97975.442577597962</v>
      </c>
      <c r="L12" s="258">
        <f>BS!T11</f>
        <v>78994.307940751474</v>
      </c>
      <c r="M12" s="258">
        <f>BS!U11</f>
        <v>82316.328070791598</v>
      </c>
      <c r="N12" s="258">
        <f>BS!V11</f>
        <v>82376.316404059471</v>
      </c>
      <c r="O12" s="258">
        <f>BS!W11</f>
        <v>84750.176932175367</v>
      </c>
      <c r="P12" s="258">
        <f>BS!X11</f>
        <v>92400.194975317616</v>
      </c>
      <c r="Q12" s="258">
        <f>BS!Y11</f>
        <v>112127.33027848689</v>
      </c>
      <c r="R12" s="258">
        <f>BS!Z11</f>
        <v>105004.85532481076</v>
      </c>
      <c r="S12" s="258">
        <f>BS!AA11</f>
        <v>106984.66564417176</v>
      </c>
      <c r="T12" s="258">
        <f>BS!AB11</f>
        <v>97083.098800911714</v>
      </c>
      <c r="U12" s="258">
        <f>BS!AC11</f>
        <v>108999.11735651486</v>
      </c>
    </row>
    <row r="13" spans="1:21" ht="12.6" x14ac:dyDescent="0.2">
      <c r="A13" s="255" t="s">
        <v>544</v>
      </c>
      <c r="B13" s="256" t="s">
        <v>254</v>
      </c>
      <c r="C13" s="258">
        <f>BS!K13</f>
        <v>44965.505134731902</v>
      </c>
      <c r="D13" s="258">
        <f>BS!L13</f>
        <v>25335.312971342384</v>
      </c>
      <c r="E13" s="258">
        <f>BS!M13</f>
        <v>59441.483558610824</v>
      </c>
      <c r="F13" s="258">
        <f>BS!N13</f>
        <v>46935.863323197016</v>
      </c>
      <c r="G13" s="258">
        <f>BS!O13</f>
        <v>34696.770187812399</v>
      </c>
      <c r="H13" s="258">
        <f>BS!P13</f>
        <v>38495.83377616066</v>
      </c>
      <c r="I13" s="258">
        <f>BS!Q13</f>
        <v>48672.877991005786</v>
      </c>
      <c r="J13" s="258">
        <f>BS!R13</f>
        <v>40495.052144724352</v>
      </c>
      <c r="K13" s="258">
        <f>BS!S13</f>
        <v>55867.424129803716</v>
      </c>
      <c r="L13" s="258">
        <f>BS!T13</f>
        <v>40716.627334719902</v>
      </c>
      <c r="M13" s="258">
        <f>BS!U13</f>
        <v>44509.089061989318</v>
      </c>
      <c r="N13" s="258">
        <f>BS!V13</f>
        <v>41820.01561064861</v>
      </c>
      <c r="O13" s="258">
        <f>BS!W13</f>
        <v>33752.349336853782</v>
      </c>
      <c r="P13" s="258">
        <f>BS!X13</f>
        <v>36866.133199523079</v>
      </c>
      <c r="Q13" s="258">
        <f>BS!Y13</f>
        <v>49686.872269260755</v>
      </c>
      <c r="R13" s="258">
        <f>BS!Z13</f>
        <v>52916.485304682072</v>
      </c>
      <c r="S13" s="258">
        <f>BS!AA13</f>
        <v>55028.615673857108</v>
      </c>
      <c r="T13" s="258">
        <f>BS!AB13</f>
        <v>49974.132593400056</v>
      </c>
      <c r="U13" s="258">
        <f>BS!AC13</f>
        <v>59883.053343870393</v>
      </c>
    </row>
    <row r="14" spans="1:21" ht="12.6" x14ac:dyDescent="0.2">
      <c r="A14" s="255" t="s">
        <v>545</v>
      </c>
      <c r="B14" s="256" t="s">
        <v>254</v>
      </c>
      <c r="C14" s="258">
        <f>BS!K32</f>
        <v>81706.574212235602</v>
      </c>
      <c r="D14" s="258">
        <f>BS!L32</f>
        <v>70567.119155354449</v>
      </c>
      <c r="E14" s="258">
        <f>BS!M32</f>
        <v>83271.031743403582</v>
      </c>
      <c r="F14" s="258">
        <f>BS!N32</f>
        <v>65197.228922441594</v>
      </c>
      <c r="G14" s="258">
        <f>BS!O32</f>
        <v>62919.536032985256</v>
      </c>
      <c r="H14" s="258">
        <f>BS!P32</f>
        <v>58066.606346215602</v>
      </c>
      <c r="I14" s="258">
        <f>BS!Q32</f>
        <v>91202.461981727974</v>
      </c>
      <c r="J14" s="258">
        <f>BS!R32</f>
        <v>55978.347209041101</v>
      </c>
      <c r="K14" s="258">
        <f>BS!S32</f>
        <v>63839.651176012609</v>
      </c>
      <c r="L14" s="258">
        <f>BS!T32</f>
        <v>56390.662090524216</v>
      </c>
      <c r="M14" s="258">
        <f>BS!U32</f>
        <v>55525.12938616192</v>
      </c>
      <c r="N14" s="258">
        <f>BS!V32</f>
        <v>49876.578993154719</v>
      </c>
      <c r="O14" s="258">
        <f>BS!W32</f>
        <v>52969.360789005841</v>
      </c>
      <c r="P14" s="258">
        <f>BS!X32</f>
        <v>59182.911050414907</v>
      </c>
      <c r="Q14" s="258">
        <f>BS!Y32</f>
        <v>83852.357949327983</v>
      </c>
      <c r="R14" s="258">
        <f>BS!Z32</f>
        <v>70808.698215586643</v>
      </c>
      <c r="S14" s="258">
        <f>BS!AA32</f>
        <v>74036.760439342965</v>
      </c>
      <c r="T14" s="258">
        <f>BS!AB32</f>
        <v>72465.820731344764</v>
      </c>
      <c r="U14" s="258">
        <f>BS!AC32</f>
        <v>81504.762224636957</v>
      </c>
    </row>
    <row r="15" spans="1:21"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row>
    <row r="16" spans="1:21" ht="12.6" x14ac:dyDescent="0.2">
      <c r="A16" s="255" t="s">
        <v>547</v>
      </c>
      <c r="B16" s="256" t="s">
        <v>110</v>
      </c>
      <c r="C16" s="261"/>
      <c r="D16" s="262">
        <f>D4/C4-1</f>
        <v>-9.3759966614020751E-2</v>
      </c>
      <c r="E16" s="262">
        <f t="shared" ref="E16:M16" si="0">E4/D4-1</f>
        <v>8.8896571270825397E-2</v>
      </c>
      <c r="F16" s="262">
        <f t="shared" si="0"/>
        <v>-0.18703840318374088</v>
      </c>
      <c r="G16" s="262">
        <f t="shared" si="0"/>
        <v>0.16321505378563739</v>
      </c>
      <c r="H16" s="262">
        <f t="shared" si="0"/>
        <v>4.7920940105667276E-2</v>
      </c>
      <c r="I16" s="262">
        <f t="shared" si="0"/>
        <v>0.22538262245007479</v>
      </c>
      <c r="J16" s="262">
        <f t="shared" si="0"/>
        <v>-0.3333269168124795</v>
      </c>
      <c r="K16" s="262">
        <f t="shared" si="0"/>
        <v>0.26510517993546134</v>
      </c>
      <c r="L16" s="262">
        <f t="shared" si="0"/>
        <v>-0.17127609243103381</v>
      </c>
      <c r="M16" s="262">
        <f t="shared" si="0"/>
        <v>0.168286675043964</v>
      </c>
      <c r="N16" s="262">
        <f t="shared" ref="N16:R16" si="1">N4/M4-1</f>
        <v>-0.13807792130333796</v>
      </c>
      <c r="O16" s="262">
        <f t="shared" si="1"/>
        <v>4.7327292397780996E-2</v>
      </c>
      <c r="P16" s="262">
        <f t="shared" si="1"/>
        <v>3.0322185230806431E-2</v>
      </c>
      <c r="Q16" s="262">
        <f t="shared" si="1"/>
        <v>0.4078154020425715</v>
      </c>
      <c r="R16" s="262">
        <f t="shared" si="1"/>
        <v>-0.18564014480093849</v>
      </c>
      <c r="S16" s="262">
        <f>S4/R4-1</f>
        <v>2.5310285330822913E-2</v>
      </c>
      <c r="T16" s="262">
        <f>T4/S4-1</f>
        <v>8.4018082692672635E-2</v>
      </c>
      <c r="U16" s="262">
        <f>U4/T4-1</f>
        <v>-6.7121909274538982E-3</v>
      </c>
    </row>
    <row r="17" spans="1:21" ht="12.6" x14ac:dyDescent="0.2">
      <c r="A17" s="255" t="s">
        <v>548</v>
      </c>
      <c r="B17" s="256" t="s">
        <v>110</v>
      </c>
      <c r="C17" s="262">
        <f>C5/C4</f>
        <v>2.9523934012442802E-2</v>
      </c>
      <c r="D17" s="262">
        <f t="shared" ref="D17:M17" si="2">D5/D4</f>
        <v>2.9251597483315815E-2</v>
      </c>
      <c r="E17" s="262">
        <f t="shared" si="2"/>
        <v>1.7436604049412763E-2</v>
      </c>
      <c r="F17" s="262">
        <f t="shared" si="2"/>
        <v>-2.7487395803835971E-3</v>
      </c>
      <c r="G17" s="262">
        <f t="shared" si="2"/>
        <v>1.3144603964146153E-2</v>
      </c>
      <c r="H17" s="262">
        <f t="shared" si="2"/>
        <v>3.3993813332214005E-3</v>
      </c>
      <c r="I17" s="262">
        <f t="shared" si="2"/>
        <v>2.9089457560279545E-4</v>
      </c>
      <c r="J17" s="262">
        <f t="shared" si="2"/>
        <v>1.8350689258868947E-2</v>
      </c>
      <c r="K17" s="262">
        <f t="shared" si="2"/>
        <v>7.6392243094046729E-3</v>
      </c>
      <c r="L17" s="262">
        <f t="shared" si="2"/>
        <v>2.9540268171960531E-2</v>
      </c>
      <c r="M17" s="262">
        <f t="shared" si="2"/>
        <v>3.7988542806352242E-2</v>
      </c>
      <c r="N17" s="262">
        <f>N5/N4</f>
        <v>3.8628948355780318E-2</v>
      </c>
      <c r="O17" s="262">
        <f>O5/O4</f>
        <v>3.0458757036473369E-2</v>
      </c>
      <c r="P17" s="262">
        <f t="shared" ref="P17:Q17" si="3">P5/P4</f>
        <v>4.6774841598950435E-2</v>
      </c>
      <c r="Q17" s="262">
        <f t="shared" si="3"/>
        <v>5.6506990631560096E-2</v>
      </c>
      <c r="R17" s="262">
        <f>R5/R4</f>
        <v>3.4026636303772416E-2</v>
      </c>
      <c r="S17" s="262">
        <f>S5/S4</f>
        <v>5.5832860816103461E-2</v>
      </c>
      <c r="T17" s="262">
        <f>T5/T4</f>
        <v>4.9016796937501321E-2</v>
      </c>
      <c r="U17" s="262">
        <f>U5/U4</f>
        <v>4.1348457999690051E-2</v>
      </c>
    </row>
    <row r="18" spans="1:21" ht="12.6" x14ac:dyDescent="0.2">
      <c r="A18" s="255" t="s">
        <v>549</v>
      </c>
      <c r="B18" s="256" t="s">
        <v>254</v>
      </c>
      <c r="C18" s="263">
        <f>C5/C6</f>
        <v>659.10517659634183</v>
      </c>
      <c r="D18" s="263">
        <f t="shared" ref="D18:M18" si="4">D5/D6</f>
        <v>649.42478605142605</v>
      </c>
      <c r="E18" s="263">
        <f t="shared" si="4"/>
        <v>360.47220099623604</v>
      </c>
      <c r="F18" s="263">
        <f t="shared" si="4"/>
        <v>-48.099156361208799</v>
      </c>
      <c r="G18" s="263">
        <f t="shared" si="4"/>
        <v>289.30938527498722</v>
      </c>
      <c r="H18" s="263">
        <f t="shared" si="4"/>
        <v>78.612236170249972</v>
      </c>
      <c r="I18" s="263">
        <f t="shared" si="4"/>
        <v>7.2789864552231505</v>
      </c>
      <c r="J18" s="263">
        <f t="shared" si="4"/>
        <v>351.88624994760727</v>
      </c>
      <c r="K18" s="263">
        <f t="shared" si="4"/>
        <v>158.9921064993712</v>
      </c>
      <c r="L18" s="263">
        <f t="shared" si="4"/>
        <v>593.75830708909552</v>
      </c>
      <c r="M18" s="263">
        <f t="shared" si="4"/>
        <v>882.522390658733</v>
      </c>
      <c r="N18" s="263">
        <f>N5/N6</f>
        <v>881.25301905461163</v>
      </c>
      <c r="O18" s="263">
        <f>O5/O6</f>
        <v>657.4903110640355</v>
      </c>
      <c r="P18" s="263">
        <f t="shared" ref="P18:R18" si="5">P5/P6</f>
        <v>1016.7841446389602</v>
      </c>
      <c r="Q18" s="263">
        <f t="shared" si="5"/>
        <v>1354.8592970429629</v>
      </c>
      <c r="R18" s="263">
        <f t="shared" si="5"/>
        <v>711.92618212730224</v>
      </c>
      <c r="S18" s="263">
        <f t="shared" ref="S18:T18" si="6">S5/S6</f>
        <v>1334.3083156303053</v>
      </c>
      <c r="T18" s="263">
        <f t="shared" si="6"/>
        <v>1207.3153624647782</v>
      </c>
      <c r="U18" s="263">
        <f>U5/U6</f>
        <v>975.24110708843887</v>
      </c>
    </row>
    <row r="19" spans="1:21" ht="12.6" x14ac:dyDescent="0.2">
      <c r="A19" s="255" t="s">
        <v>550</v>
      </c>
      <c r="B19" s="256" t="s">
        <v>441</v>
      </c>
      <c r="C19" s="264">
        <f>(C7-C8)/(C5+C9)</f>
        <v>5.5753843825752281</v>
      </c>
      <c r="D19" s="264">
        <f t="shared" ref="D19:M19" si="7">(D7-D8)/(D5+D9)</f>
        <v>3.9038416320885188</v>
      </c>
      <c r="E19" s="264">
        <f t="shared" si="7"/>
        <v>3.9428759433580343</v>
      </c>
      <c r="F19" s="264">
        <f t="shared" si="7"/>
        <v>8.6510738954006943</v>
      </c>
      <c r="G19" s="264">
        <f t="shared" si="7"/>
        <v>6.4049481551657088</v>
      </c>
      <c r="H19" s="264">
        <f t="shared" si="7"/>
        <v>3.4262460472788399</v>
      </c>
      <c r="I19" s="264">
        <f t="shared" si="7"/>
        <v>2.3084950729859304</v>
      </c>
      <c r="J19" s="264">
        <f t="shared" si="7"/>
        <v>4.4528495236503778</v>
      </c>
      <c r="K19" s="264">
        <f t="shared" si="7"/>
        <v>3.7871502382211522</v>
      </c>
      <c r="L19" s="264">
        <f t="shared" si="7"/>
        <v>3.3866135204075132</v>
      </c>
      <c r="M19" s="264">
        <f t="shared" si="7"/>
        <v>3.3627446726481649</v>
      </c>
      <c r="N19" s="264">
        <f>(N7-N8)/(N5+N9)</f>
        <v>2.7800024861145047</v>
      </c>
      <c r="O19" s="264">
        <f>(O7-O8)/(O5+O9)</f>
        <v>1.8145138776621319</v>
      </c>
      <c r="P19" s="264">
        <f t="shared" ref="P19:Q19" si="8">(P7-P8)/(P5+P9)</f>
        <v>1.7384008208594657</v>
      </c>
      <c r="Q19" s="264">
        <f t="shared" si="8"/>
        <v>0.66666690851304011</v>
      </c>
      <c r="R19" s="264">
        <f>(R7-R8)/(R5+R9)</f>
        <v>1.2828376162865787</v>
      </c>
      <c r="S19" s="264">
        <f>(S7-S8)/(S5+S9)</f>
        <v>0.2938120973281303</v>
      </c>
      <c r="T19" s="264">
        <f>(T7-T8)/(T5+T9)</f>
        <v>0.16155249653697076</v>
      </c>
      <c r="U19" s="264">
        <f>(U7-U8)/(U5+U9)</f>
        <v>0.93811543328053637</v>
      </c>
    </row>
    <row r="20" spans="1:21" ht="12.6" x14ac:dyDescent="0.2">
      <c r="A20" s="255" t="s">
        <v>551</v>
      </c>
      <c r="B20" s="256" t="s">
        <v>552</v>
      </c>
      <c r="C20" s="264">
        <f>(C12+C13-C14)/(C4/12)</f>
        <v>1.8629183896232004</v>
      </c>
      <c r="D20" s="264">
        <f t="shared" ref="D20:M20" si="9">(D12+D13-D14)/(D4/12)</f>
        <v>1.8616923773716691</v>
      </c>
      <c r="E20" s="264">
        <f t="shared" si="9"/>
        <v>2.2786643554560393</v>
      </c>
      <c r="F20" s="264">
        <f t="shared" si="9"/>
        <v>1.9709696161940187</v>
      </c>
      <c r="G20" s="264">
        <f t="shared" si="9"/>
        <v>1.1833476649631978</v>
      </c>
      <c r="H20" s="264">
        <f t="shared" si="9"/>
        <v>1.6098659225123502</v>
      </c>
      <c r="I20" s="264">
        <f t="shared" si="9"/>
        <v>1.6756855139039524</v>
      </c>
      <c r="J20" s="264">
        <f t="shared" si="9"/>
        <v>2.3094019793824332</v>
      </c>
      <c r="K20" s="264">
        <f t="shared" si="9"/>
        <v>2.2424136881099388</v>
      </c>
      <c r="L20" s="264">
        <f t="shared" si="9"/>
        <v>1.9036654248204907</v>
      </c>
      <c r="M20" s="264">
        <f t="shared" si="9"/>
        <v>1.8348040979336724</v>
      </c>
      <c r="N20" s="264">
        <f t="shared" ref="N20:R20" si="10">(N12+N13-N14)/(N4/12)</f>
        <v>2.2188843704358776</v>
      </c>
      <c r="O20" s="264">
        <f t="shared" si="10"/>
        <v>1.8681387920855552</v>
      </c>
      <c r="P20" s="264">
        <f t="shared" si="10"/>
        <v>1.9390553673272963</v>
      </c>
      <c r="Q20" s="264">
        <f t="shared" si="10"/>
        <v>1.5321854535279373</v>
      </c>
      <c r="R20" s="264">
        <f t="shared" si="10"/>
        <v>2.1022969479562379</v>
      </c>
      <c r="S20" s="264">
        <f t="shared" ref="S20:T20" si="11">(S12+S13-S14)/(S4/12)</f>
        <v>2.0707341301267417</v>
      </c>
      <c r="T20" s="264">
        <f t="shared" si="11"/>
        <v>1.6196077716141872</v>
      </c>
      <c r="U20" s="264">
        <f>(U12+U13-U14)/(U4/12)</f>
        <v>1.9100515392795878</v>
      </c>
    </row>
    <row r="21" spans="1:21" ht="12.6" x14ac:dyDescent="0.2">
      <c r="A21" s="255" t="s">
        <v>553</v>
      </c>
      <c r="B21" s="256" t="s">
        <v>110</v>
      </c>
      <c r="C21" s="262">
        <f>C10/(C10+C11)</f>
        <v>0.28034451875863037</v>
      </c>
      <c r="D21" s="262">
        <f t="shared" ref="D21:U21" si="12">D10/(D10+D11)</f>
        <v>0.32937108589229058</v>
      </c>
      <c r="E21" s="262">
        <f t="shared" si="12"/>
        <v>0.34037295763192132</v>
      </c>
      <c r="F21" s="262">
        <f t="shared" si="12"/>
        <v>0.37196873744782766</v>
      </c>
      <c r="G21" s="262">
        <f t="shared" si="12"/>
        <v>0.36584091041960121</v>
      </c>
      <c r="H21" s="262">
        <f t="shared" si="12"/>
        <v>0.45358270983866716</v>
      </c>
      <c r="I21" s="262">
        <f t="shared" si="12"/>
        <v>0.48146788765395587</v>
      </c>
      <c r="J21" s="262">
        <f t="shared" si="12"/>
        <v>0.42107045907709184</v>
      </c>
      <c r="K21" s="262">
        <f t="shared" si="12"/>
        <v>0.39411593574204623</v>
      </c>
      <c r="L21" s="262">
        <f t="shared" si="12"/>
        <v>0.40128396018738732</v>
      </c>
      <c r="M21" s="262">
        <f t="shared" si="12"/>
        <v>0.37521905985130416</v>
      </c>
      <c r="N21" s="262">
        <f>N10/(N10+N11)</f>
        <v>0.40805017273425387</v>
      </c>
      <c r="O21" s="262">
        <f>O10/(O10+O11)</f>
        <v>0.48138414735365542</v>
      </c>
      <c r="P21" s="262">
        <f>P10/(P10+P11)</f>
        <v>0.43313314027172534</v>
      </c>
      <c r="Q21" s="262">
        <f>Q10/(Q10+Q11)</f>
        <v>0.44802624785964967</v>
      </c>
      <c r="R21" s="262">
        <f t="shared" ref="R21:S21" si="13">R10/(R10+R11)</f>
        <v>0.48002038546385617</v>
      </c>
      <c r="S21" s="262">
        <f t="shared" si="13"/>
        <v>0.52584668451137595</v>
      </c>
      <c r="T21" s="262">
        <f t="shared" ref="T21" si="14">T10/(T10+T11)</f>
        <v>0.48602102210952958</v>
      </c>
      <c r="U21" s="262">
        <f t="shared" si="12"/>
        <v>0.49090454617539142</v>
      </c>
    </row>
    <row r="23" spans="1:21" x14ac:dyDescent="0.2">
      <c r="A23" s="286"/>
      <c r="B23" s="287"/>
      <c r="C23" s="287"/>
      <c r="D23" s="287"/>
      <c r="E23" s="287"/>
      <c r="F23" s="287"/>
      <c r="G23" s="287"/>
      <c r="H23" s="287"/>
      <c r="I23" s="288"/>
      <c r="J23" s="286"/>
      <c r="K23" s="287"/>
      <c r="L23" s="287"/>
      <c r="M23" s="287"/>
      <c r="N23" s="287"/>
      <c r="O23" s="287"/>
      <c r="P23" s="287"/>
      <c r="Q23" s="287"/>
      <c r="R23" s="287"/>
      <c r="S23" s="287"/>
      <c r="T23" s="287"/>
      <c r="U23" s="288"/>
    </row>
    <row r="24" spans="1:21" x14ac:dyDescent="0.2">
      <c r="A24" s="289"/>
      <c r="B24" s="290"/>
      <c r="C24" s="290"/>
      <c r="D24" s="290"/>
      <c r="E24" s="290"/>
      <c r="F24" s="290"/>
      <c r="G24" s="290"/>
      <c r="H24" s="290"/>
      <c r="I24" s="291"/>
      <c r="J24" s="289"/>
      <c r="K24" s="290"/>
      <c r="L24" s="290"/>
      <c r="M24" s="290"/>
      <c r="N24" s="290"/>
      <c r="O24" s="290"/>
      <c r="P24" s="290"/>
      <c r="Q24" s="290"/>
      <c r="R24" s="290"/>
      <c r="S24" s="290"/>
      <c r="T24" s="290"/>
      <c r="U24" s="291"/>
    </row>
    <row r="25" spans="1:21" x14ac:dyDescent="0.2">
      <c r="A25" s="289"/>
      <c r="B25" s="290"/>
      <c r="C25" s="290"/>
      <c r="D25" s="290"/>
      <c r="E25" s="290"/>
      <c r="F25" s="290"/>
      <c r="G25" s="290"/>
      <c r="H25" s="290"/>
      <c r="I25" s="291"/>
      <c r="J25" s="289"/>
      <c r="K25" s="290"/>
      <c r="L25" s="290"/>
      <c r="M25" s="290"/>
      <c r="N25" s="290"/>
      <c r="O25" s="290"/>
      <c r="P25" s="290"/>
      <c r="Q25" s="290"/>
      <c r="R25" s="290"/>
      <c r="S25" s="290"/>
      <c r="T25" s="290"/>
      <c r="U25" s="291"/>
    </row>
    <row r="26" spans="1:21" x14ac:dyDescent="0.2">
      <c r="A26" s="289"/>
      <c r="B26" s="290"/>
      <c r="C26" s="290"/>
      <c r="D26" s="290"/>
      <c r="E26" s="290"/>
      <c r="F26" s="290"/>
      <c r="G26" s="290"/>
      <c r="H26" s="290"/>
      <c r="I26" s="291"/>
      <c r="J26" s="289"/>
      <c r="K26" s="290"/>
      <c r="L26" s="290"/>
      <c r="M26" s="290"/>
      <c r="N26" s="290"/>
      <c r="O26" s="290"/>
      <c r="P26" s="290"/>
      <c r="Q26" s="290"/>
      <c r="R26" s="290"/>
      <c r="S26" s="290"/>
      <c r="T26" s="290"/>
      <c r="U26" s="291"/>
    </row>
    <row r="27" spans="1:21" x14ac:dyDescent="0.2">
      <c r="A27" s="289"/>
      <c r="B27" s="290"/>
      <c r="C27" s="290"/>
      <c r="D27" s="290"/>
      <c r="E27" s="290"/>
      <c r="F27" s="290"/>
      <c r="G27" s="290"/>
      <c r="H27" s="290"/>
      <c r="I27" s="291"/>
      <c r="J27" s="289"/>
      <c r="K27" s="290"/>
      <c r="L27" s="290"/>
      <c r="M27" s="290"/>
      <c r="N27" s="290"/>
      <c r="O27" s="290"/>
      <c r="P27" s="290"/>
      <c r="Q27" s="290"/>
      <c r="R27" s="290"/>
      <c r="S27" s="290"/>
      <c r="T27" s="290"/>
      <c r="U27" s="291"/>
    </row>
    <row r="28" spans="1:21" x14ac:dyDescent="0.2">
      <c r="A28" s="289"/>
      <c r="B28" s="290"/>
      <c r="C28" s="290"/>
      <c r="D28" s="290"/>
      <c r="E28" s="290"/>
      <c r="F28" s="290"/>
      <c r="G28" s="290"/>
      <c r="H28" s="290"/>
      <c r="I28" s="291"/>
      <c r="J28" s="289"/>
      <c r="K28" s="290"/>
      <c r="L28" s="290"/>
      <c r="M28" s="290"/>
      <c r="N28" s="290"/>
      <c r="O28" s="290"/>
      <c r="P28" s="290"/>
      <c r="Q28" s="290"/>
      <c r="R28" s="290"/>
      <c r="S28" s="290"/>
      <c r="T28" s="290"/>
      <c r="U28" s="291"/>
    </row>
    <row r="29" spans="1:21" x14ac:dyDescent="0.2">
      <c r="A29" s="289"/>
      <c r="B29" s="290"/>
      <c r="C29" s="290"/>
      <c r="D29" s="290"/>
      <c r="E29" s="290"/>
      <c r="F29" s="290"/>
      <c r="G29" s="290"/>
      <c r="H29" s="290"/>
      <c r="I29" s="291"/>
      <c r="J29" s="289"/>
      <c r="K29" s="290"/>
      <c r="L29" s="290"/>
      <c r="M29" s="290"/>
      <c r="N29" s="290"/>
      <c r="O29" s="290"/>
      <c r="P29" s="290"/>
      <c r="Q29" s="290"/>
      <c r="R29" s="290"/>
      <c r="S29" s="290"/>
      <c r="T29" s="290"/>
      <c r="U29" s="291"/>
    </row>
    <row r="30" spans="1:21" x14ac:dyDescent="0.2">
      <c r="A30" s="289"/>
      <c r="B30" s="290"/>
      <c r="C30" s="290"/>
      <c r="D30" s="290"/>
      <c r="E30" s="290"/>
      <c r="F30" s="290"/>
      <c r="G30" s="290"/>
      <c r="H30" s="290"/>
      <c r="I30" s="291"/>
      <c r="J30" s="289"/>
      <c r="K30" s="290"/>
      <c r="L30" s="290"/>
      <c r="M30" s="290"/>
      <c r="N30" s="290"/>
      <c r="O30" s="290"/>
      <c r="P30" s="290"/>
      <c r="Q30" s="290"/>
      <c r="R30" s="290"/>
      <c r="S30" s="290"/>
      <c r="T30" s="290"/>
      <c r="U30" s="291"/>
    </row>
    <row r="31" spans="1:21" x14ac:dyDescent="0.2">
      <c r="A31" s="289"/>
      <c r="B31" s="290"/>
      <c r="C31" s="290"/>
      <c r="D31" s="290"/>
      <c r="E31" s="290"/>
      <c r="F31" s="290"/>
      <c r="G31" s="290"/>
      <c r="H31" s="290"/>
      <c r="I31" s="291"/>
      <c r="J31" s="289"/>
      <c r="K31" s="290"/>
      <c r="L31" s="290"/>
      <c r="M31" s="290"/>
      <c r="N31" s="290"/>
      <c r="O31" s="290"/>
      <c r="P31" s="290"/>
      <c r="Q31" s="290"/>
      <c r="R31" s="290"/>
      <c r="S31" s="290"/>
      <c r="T31" s="290"/>
      <c r="U31" s="291"/>
    </row>
    <row r="32" spans="1:21" x14ac:dyDescent="0.2">
      <c r="A32" s="289"/>
      <c r="B32" s="290"/>
      <c r="C32" s="290"/>
      <c r="D32" s="290"/>
      <c r="E32" s="290"/>
      <c r="F32" s="290"/>
      <c r="G32" s="290"/>
      <c r="H32" s="290"/>
      <c r="I32" s="291"/>
      <c r="J32" s="289"/>
      <c r="K32" s="290"/>
      <c r="L32" s="290"/>
      <c r="M32" s="290"/>
      <c r="N32" s="290"/>
      <c r="O32" s="290"/>
      <c r="P32" s="290"/>
      <c r="Q32" s="290"/>
      <c r="R32" s="290"/>
      <c r="S32" s="290"/>
      <c r="T32" s="290"/>
      <c r="U32" s="291"/>
    </row>
    <row r="33" spans="1:21" x14ac:dyDescent="0.2">
      <c r="A33" s="289"/>
      <c r="B33" s="290"/>
      <c r="C33" s="290"/>
      <c r="D33" s="290"/>
      <c r="E33" s="290"/>
      <c r="F33" s="290"/>
      <c r="G33" s="290"/>
      <c r="H33" s="290"/>
      <c r="I33" s="291"/>
      <c r="J33" s="289"/>
      <c r="K33" s="290"/>
      <c r="L33" s="290"/>
      <c r="M33" s="290"/>
      <c r="N33" s="290"/>
      <c r="O33" s="290"/>
      <c r="P33" s="290"/>
      <c r="Q33" s="290"/>
      <c r="R33" s="290"/>
      <c r="S33" s="290"/>
      <c r="T33" s="290"/>
      <c r="U33" s="291"/>
    </row>
    <row r="34" spans="1:21" x14ac:dyDescent="0.2">
      <c r="A34" s="289"/>
      <c r="B34" s="290"/>
      <c r="C34" s="290"/>
      <c r="D34" s="290"/>
      <c r="E34" s="290"/>
      <c r="F34" s="290"/>
      <c r="G34" s="290"/>
      <c r="H34" s="290"/>
      <c r="I34" s="291"/>
      <c r="J34" s="289"/>
      <c r="K34" s="290"/>
      <c r="L34" s="290"/>
      <c r="M34" s="290"/>
      <c r="N34" s="290"/>
      <c r="O34" s="290"/>
      <c r="P34" s="290"/>
      <c r="Q34" s="290"/>
      <c r="R34" s="290"/>
      <c r="S34" s="290"/>
      <c r="T34" s="290"/>
      <c r="U34" s="291"/>
    </row>
    <row r="35" spans="1:21" x14ac:dyDescent="0.2">
      <c r="A35" s="289"/>
      <c r="B35" s="290"/>
      <c r="C35" s="290"/>
      <c r="D35" s="290"/>
      <c r="E35" s="290"/>
      <c r="F35" s="290"/>
      <c r="G35" s="290"/>
      <c r="H35" s="290"/>
      <c r="I35" s="291"/>
      <c r="J35" s="289"/>
      <c r="K35" s="290"/>
      <c r="L35" s="290"/>
      <c r="M35" s="290"/>
      <c r="N35" s="290"/>
      <c r="O35" s="290"/>
      <c r="P35" s="290"/>
      <c r="Q35" s="290"/>
      <c r="R35" s="290"/>
      <c r="S35" s="290"/>
      <c r="T35" s="290"/>
      <c r="U35" s="291"/>
    </row>
    <row r="36" spans="1:21" x14ac:dyDescent="0.2">
      <c r="A36" s="289"/>
      <c r="B36" s="290"/>
      <c r="C36" s="290"/>
      <c r="D36" s="290"/>
      <c r="E36" s="290"/>
      <c r="F36" s="290"/>
      <c r="G36" s="290"/>
      <c r="H36" s="290"/>
      <c r="I36" s="291"/>
      <c r="J36" s="289"/>
      <c r="K36" s="290"/>
      <c r="L36" s="290"/>
      <c r="M36" s="290"/>
      <c r="N36" s="290"/>
      <c r="O36" s="290"/>
      <c r="P36" s="290"/>
      <c r="Q36" s="290"/>
      <c r="R36" s="290"/>
      <c r="S36" s="290"/>
      <c r="T36" s="290"/>
      <c r="U36" s="291"/>
    </row>
    <row r="37" spans="1:21" x14ac:dyDescent="0.2">
      <c r="A37" s="289"/>
      <c r="B37" s="290"/>
      <c r="C37" s="290"/>
      <c r="D37" s="290"/>
      <c r="E37" s="290"/>
      <c r="F37" s="290"/>
      <c r="G37" s="290"/>
      <c r="H37" s="290"/>
      <c r="I37" s="291"/>
      <c r="J37" s="289"/>
      <c r="K37" s="290"/>
      <c r="L37" s="290"/>
      <c r="M37" s="290"/>
      <c r="N37" s="290"/>
      <c r="O37" s="290"/>
      <c r="P37" s="290"/>
      <c r="Q37" s="290"/>
      <c r="R37" s="290"/>
      <c r="S37" s="290"/>
      <c r="T37" s="290"/>
      <c r="U37" s="291"/>
    </row>
    <row r="38" spans="1:21" x14ac:dyDescent="0.2">
      <c r="A38" s="289"/>
      <c r="B38" s="290"/>
      <c r="C38" s="290"/>
      <c r="D38" s="290"/>
      <c r="E38" s="290"/>
      <c r="F38" s="290"/>
      <c r="G38" s="290"/>
      <c r="H38" s="290"/>
      <c r="I38" s="291"/>
      <c r="J38" s="289"/>
      <c r="K38" s="290"/>
      <c r="L38" s="290"/>
      <c r="M38" s="290"/>
      <c r="N38" s="290"/>
      <c r="O38" s="290"/>
      <c r="P38" s="290"/>
      <c r="Q38" s="290"/>
      <c r="R38" s="290"/>
      <c r="S38" s="290"/>
      <c r="T38" s="290"/>
      <c r="U38" s="291"/>
    </row>
    <row r="39" spans="1:21" x14ac:dyDescent="0.2">
      <c r="A39" s="289"/>
      <c r="B39" s="290"/>
      <c r="C39" s="290"/>
      <c r="D39" s="290"/>
      <c r="E39" s="290"/>
      <c r="F39" s="290"/>
      <c r="G39" s="290"/>
      <c r="H39" s="290"/>
      <c r="I39" s="291"/>
      <c r="J39" s="289"/>
      <c r="K39" s="290"/>
      <c r="L39" s="290"/>
      <c r="M39" s="290"/>
      <c r="N39" s="290"/>
      <c r="O39" s="290"/>
      <c r="P39" s="290"/>
      <c r="Q39" s="290"/>
      <c r="R39" s="290"/>
      <c r="S39" s="290"/>
      <c r="T39" s="290"/>
      <c r="U39" s="291"/>
    </row>
    <row r="40" spans="1:21" x14ac:dyDescent="0.2">
      <c r="A40" s="289"/>
      <c r="B40" s="290"/>
      <c r="C40" s="290"/>
      <c r="D40" s="290"/>
      <c r="E40" s="290"/>
      <c r="F40" s="290"/>
      <c r="G40" s="290"/>
      <c r="H40" s="290"/>
      <c r="I40" s="291"/>
      <c r="J40" s="289"/>
      <c r="K40" s="290"/>
      <c r="L40" s="290"/>
      <c r="M40" s="290"/>
      <c r="N40" s="290"/>
      <c r="O40" s="290"/>
      <c r="P40" s="290"/>
      <c r="Q40" s="290"/>
      <c r="R40" s="290"/>
      <c r="S40" s="290"/>
      <c r="T40" s="290"/>
      <c r="U40" s="291"/>
    </row>
    <row r="41" spans="1:21" x14ac:dyDescent="0.2">
      <c r="A41" s="289"/>
      <c r="B41" s="290"/>
      <c r="C41" s="290"/>
      <c r="D41" s="290"/>
      <c r="E41" s="290"/>
      <c r="F41" s="290"/>
      <c r="G41" s="290"/>
      <c r="H41" s="290"/>
      <c r="I41" s="291"/>
      <c r="J41" s="289"/>
      <c r="K41" s="290"/>
      <c r="L41" s="290"/>
      <c r="M41" s="290"/>
      <c r="N41" s="290"/>
      <c r="O41" s="290"/>
      <c r="P41" s="290"/>
      <c r="Q41" s="290"/>
      <c r="R41" s="290"/>
      <c r="S41" s="290"/>
      <c r="T41" s="290"/>
      <c r="U41" s="291"/>
    </row>
    <row r="42" spans="1:21" x14ac:dyDescent="0.2">
      <c r="A42" s="289"/>
      <c r="B42" s="290"/>
      <c r="C42" s="290"/>
      <c r="D42" s="290"/>
      <c r="E42" s="290"/>
      <c r="F42" s="290"/>
      <c r="G42" s="290"/>
      <c r="H42" s="290"/>
      <c r="I42" s="291"/>
      <c r="J42" s="289"/>
      <c r="K42" s="290"/>
      <c r="L42" s="290"/>
      <c r="M42" s="290"/>
      <c r="N42" s="290"/>
      <c r="O42" s="290"/>
      <c r="P42" s="290"/>
      <c r="Q42" s="290"/>
      <c r="R42" s="290"/>
      <c r="S42" s="290"/>
      <c r="T42" s="290"/>
      <c r="U42" s="291"/>
    </row>
    <row r="43" spans="1:21" x14ac:dyDescent="0.2">
      <c r="A43" s="292"/>
      <c r="B43" s="293"/>
      <c r="C43" s="293"/>
      <c r="D43" s="293"/>
      <c r="E43" s="293"/>
      <c r="F43" s="293"/>
      <c r="G43" s="293"/>
      <c r="H43" s="293"/>
      <c r="I43" s="294"/>
      <c r="J43" s="292"/>
      <c r="K43" s="293"/>
      <c r="L43" s="293"/>
      <c r="M43" s="293"/>
      <c r="N43" s="293"/>
      <c r="O43" s="293"/>
      <c r="P43" s="293"/>
      <c r="Q43" s="293"/>
      <c r="R43" s="293"/>
      <c r="S43" s="293"/>
      <c r="T43" s="293"/>
      <c r="U43" s="294"/>
    </row>
    <row r="44" spans="1:21" x14ac:dyDescent="0.2">
      <c r="A44" s="286"/>
      <c r="B44" s="287"/>
      <c r="C44" s="287"/>
      <c r="D44" s="287"/>
      <c r="E44" s="287"/>
      <c r="F44" s="287"/>
      <c r="G44" s="287"/>
      <c r="H44" s="287"/>
      <c r="I44" s="288"/>
      <c r="J44" s="286"/>
      <c r="K44" s="287"/>
      <c r="L44" s="287"/>
      <c r="M44" s="287"/>
      <c r="N44" s="287"/>
      <c r="O44" s="287"/>
      <c r="P44" s="287"/>
      <c r="Q44" s="287"/>
      <c r="R44" s="287"/>
      <c r="S44" s="287"/>
      <c r="T44" s="287"/>
      <c r="U44" s="288"/>
    </row>
    <row r="45" spans="1:21" x14ac:dyDescent="0.2">
      <c r="A45" s="289"/>
      <c r="B45" s="290"/>
      <c r="C45" s="290"/>
      <c r="D45" s="290"/>
      <c r="E45" s="290"/>
      <c r="F45" s="290"/>
      <c r="G45" s="290"/>
      <c r="H45" s="290"/>
      <c r="I45" s="291"/>
      <c r="J45" s="289"/>
      <c r="K45" s="290"/>
      <c r="L45" s="290"/>
      <c r="M45" s="290"/>
      <c r="N45" s="290"/>
      <c r="O45" s="290"/>
      <c r="P45" s="290"/>
      <c r="Q45" s="290"/>
      <c r="R45" s="290"/>
      <c r="S45" s="290"/>
      <c r="T45" s="290"/>
      <c r="U45" s="291"/>
    </row>
    <row r="46" spans="1:21" x14ac:dyDescent="0.2">
      <c r="A46" s="289"/>
      <c r="B46" s="290"/>
      <c r="C46" s="290"/>
      <c r="D46" s="290"/>
      <c r="E46" s="290"/>
      <c r="F46" s="290"/>
      <c r="G46" s="290"/>
      <c r="H46" s="290"/>
      <c r="I46" s="291"/>
      <c r="J46" s="289"/>
      <c r="K46" s="290"/>
      <c r="L46" s="290"/>
      <c r="M46" s="290"/>
      <c r="N46" s="290"/>
      <c r="O46" s="290"/>
      <c r="P46" s="290"/>
      <c r="Q46" s="290"/>
      <c r="R46" s="290"/>
      <c r="S46" s="290"/>
      <c r="T46" s="290"/>
      <c r="U46" s="291"/>
    </row>
    <row r="47" spans="1:21" x14ac:dyDescent="0.2">
      <c r="A47" s="289"/>
      <c r="B47" s="290"/>
      <c r="C47" s="290"/>
      <c r="D47" s="290"/>
      <c r="E47" s="290"/>
      <c r="F47" s="290"/>
      <c r="G47" s="290"/>
      <c r="H47" s="290"/>
      <c r="I47" s="291"/>
      <c r="J47" s="289"/>
      <c r="K47" s="290"/>
      <c r="L47" s="290"/>
      <c r="M47" s="290"/>
      <c r="N47" s="290"/>
      <c r="O47" s="290"/>
      <c r="P47" s="290"/>
      <c r="Q47" s="290"/>
      <c r="R47" s="290"/>
      <c r="S47" s="290"/>
      <c r="T47" s="290"/>
      <c r="U47" s="291"/>
    </row>
    <row r="48" spans="1:21" x14ac:dyDescent="0.2">
      <c r="A48" s="289"/>
      <c r="B48" s="290"/>
      <c r="C48" s="290"/>
      <c r="D48" s="290"/>
      <c r="E48" s="290"/>
      <c r="F48" s="290"/>
      <c r="G48" s="290"/>
      <c r="H48" s="290"/>
      <c r="I48" s="291"/>
      <c r="J48" s="289"/>
      <c r="K48" s="290"/>
      <c r="L48" s="290"/>
      <c r="M48" s="290"/>
      <c r="N48" s="290"/>
      <c r="O48" s="290"/>
      <c r="P48" s="290"/>
      <c r="Q48" s="290"/>
      <c r="R48" s="290"/>
      <c r="S48" s="290"/>
      <c r="T48" s="290"/>
      <c r="U48" s="291"/>
    </row>
    <row r="49" spans="1:21" x14ac:dyDescent="0.2">
      <c r="A49" s="289"/>
      <c r="B49" s="290"/>
      <c r="C49" s="290"/>
      <c r="D49" s="290"/>
      <c r="E49" s="290"/>
      <c r="F49" s="290"/>
      <c r="G49" s="290"/>
      <c r="H49" s="290"/>
      <c r="I49" s="291"/>
      <c r="J49" s="289"/>
      <c r="K49" s="290"/>
      <c r="L49" s="290"/>
      <c r="M49" s="290"/>
      <c r="N49" s="290"/>
      <c r="O49" s="290"/>
      <c r="P49" s="290"/>
      <c r="Q49" s="290"/>
      <c r="R49" s="290"/>
      <c r="S49" s="290"/>
      <c r="T49" s="290"/>
      <c r="U49" s="291"/>
    </row>
    <row r="50" spans="1:21" x14ac:dyDescent="0.2">
      <c r="A50" s="289"/>
      <c r="B50" s="290"/>
      <c r="C50" s="290"/>
      <c r="D50" s="290"/>
      <c r="E50" s="290"/>
      <c r="F50" s="290"/>
      <c r="G50" s="290"/>
      <c r="H50" s="290"/>
      <c r="I50" s="291"/>
      <c r="J50" s="289"/>
      <c r="K50" s="290"/>
      <c r="L50" s="290"/>
      <c r="M50" s="290"/>
      <c r="N50" s="290"/>
      <c r="O50" s="290"/>
      <c r="P50" s="290"/>
      <c r="Q50" s="290"/>
      <c r="R50" s="290"/>
      <c r="S50" s="290"/>
      <c r="T50" s="290"/>
      <c r="U50" s="291"/>
    </row>
    <row r="51" spans="1:21" x14ac:dyDescent="0.2">
      <c r="A51" s="289"/>
      <c r="B51" s="290"/>
      <c r="C51" s="290"/>
      <c r="D51" s="290"/>
      <c r="E51" s="290"/>
      <c r="F51" s="290"/>
      <c r="G51" s="290"/>
      <c r="H51" s="290"/>
      <c r="I51" s="291"/>
      <c r="J51" s="289"/>
      <c r="K51" s="290"/>
      <c r="L51" s="290"/>
      <c r="M51" s="290"/>
      <c r="N51" s="290"/>
      <c r="O51" s="290"/>
      <c r="P51" s="290"/>
      <c r="Q51" s="290"/>
      <c r="R51" s="290"/>
      <c r="S51" s="290"/>
      <c r="T51" s="290"/>
      <c r="U51" s="291"/>
    </row>
    <row r="52" spans="1:21" x14ac:dyDescent="0.2">
      <c r="A52" s="289"/>
      <c r="B52" s="290"/>
      <c r="C52" s="290"/>
      <c r="D52" s="290"/>
      <c r="E52" s="290"/>
      <c r="F52" s="290"/>
      <c r="G52" s="290"/>
      <c r="H52" s="290"/>
      <c r="I52" s="291"/>
      <c r="J52" s="289"/>
      <c r="K52" s="290"/>
      <c r="L52" s="290"/>
      <c r="M52" s="290"/>
      <c r="N52" s="290"/>
      <c r="O52" s="290"/>
      <c r="P52" s="290"/>
      <c r="Q52" s="290"/>
      <c r="R52" s="290"/>
      <c r="S52" s="290"/>
      <c r="T52" s="290"/>
      <c r="U52" s="291"/>
    </row>
    <row r="53" spans="1:21" x14ac:dyDescent="0.2">
      <c r="A53" s="289"/>
      <c r="B53" s="290"/>
      <c r="C53" s="290"/>
      <c r="D53" s="290"/>
      <c r="E53" s="290"/>
      <c r="F53" s="290"/>
      <c r="G53" s="290"/>
      <c r="H53" s="290"/>
      <c r="I53" s="291"/>
      <c r="J53" s="289"/>
      <c r="K53" s="290"/>
      <c r="L53" s="290"/>
      <c r="M53" s="290"/>
      <c r="N53" s="290"/>
      <c r="O53" s="290"/>
      <c r="P53" s="290"/>
      <c r="Q53" s="290"/>
      <c r="R53" s="290"/>
      <c r="S53" s="290"/>
      <c r="T53" s="290"/>
      <c r="U53" s="291"/>
    </row>
    <row r="54" spans="1:21" x14ac:dyDescent="0.2">
      <c r="A54" s="289"/>
      <c r="B54" s="290"/>
      <c r="C54" s="290"/>
      <c r="D54" s="290"/>
      <c r="E54" s="290"/>
      <c r="F54" s="290"/>
      <c r="G54" s="290"/>
      <c r="H54" s="290"/>
      <c r="I54" s="291"/>
      <c r="J54" s="289"/>
      <c r="K54" s="290"/>
      <c r="L54" s="290"/>
      <c r="M54" s="290"/>
      <c r="N54" s="290"/>
      <c r="O54" s="290"/>
      <c r="P54" s="290"/>
      <c r="Q54" s="290"/>
      <c r="R54" s="290"/>
      <c r="S54" s="290"/>
      <c r="T54" s="290"/>
      <c r="U54" s="291"/>
    </row>
    <row r="55" spans="1:21" x14ac:dyDescent="0.2">
      <c r="A55" s="289"/>
      <c r="B55" s="290"/>
      <c r="C55" s="290"/>
      <c r="D55" s="290"/>
      <c r="E55" s="290"/>
      <c r="F55" s="290"/>
      <c r="G55" s="290"/>
      <c r="H55" s="290"/>
      <c r="I55" s="291"/>
      <c r="J55" s="289"/>
      <c r="K55" s="290"/>
      <c r="L55" s="290"/>
      <c r="M55" s="290"/>
      <c r="N55" s="290"/>
      <c r="O55" s="290"/>
      <c r="P55" s="290"/>
      <c r="Q55" s="290"/>
      <c r="R55" s="290"/>
      <c r="S55" s="290"/>
      <c r="T55" s="290"/>
      <c r="U55" s="291"/>
    </row>
    <row r="56" spans="1:21" x14ac:dyDescent="0.2">
      <c r="A56" s="289"/>
      <c r="B56" s="290"/>
      <c r="C56" s="290"/>
      <c r="D56" s="290"/>
      <c r="E56" s="290"/>
      <c r="F56" s="290"/>
      <c r="G56" s="290"/>
      <c r="H56" s="290"/>
      <c r="I56" s="291"/>
      <c r="J56" s="289"/>
      <c r="K56" s="290"/>
      <c r="L56" s="290"/>
      <c r="M56" s="290"/>
      <c r="N56" s="290"/>
      <c r="O56" s="290"/>
      <c r="P56" s="290"/>
      <c r="Q56" s="290"/>
      <c r="R56" s="290"/>
      <c r="S56" s="290"/>
      <c r="T56" s="290"/>
      <c r="U56" s="291"/>
    </row>
    <row r="57" spans="1:21" x14ac:dyDescent="0.2">
      <c r="A57" s="289"/>
      <c r="B57" s="290"/>
      <c r="C57" s="290"/>
      <c r="D57" s="290"/>
      <c r="E57" s="290"/>
      <c r="F57" s="290"/>
      <c r="G57" s="290"/>
      <c r="H57" s="290"/>
      <c r="I57" s="291"/>
      <c r="J57" s="289"/>
      <c r="K57" s="290"/>
      <c r="L57" s="290"/>
      <c r="M57" s="290"/>
      <c r="N57" s="290"/>
      <c r="O57" s="290"/>
      <c r="P57" s="290"/>
      <c r="Q57" s="290"/>
      <c r="R57" s="290"/>
      <c r="S57" s="290"/>
      <c r="T57" s="290"/>
      <c r="U57" s="291"/>
    </row>
    <row r="58" spans="1:21" x14ac:dyDescent="0.2">
      <c r="A58" s="289"/>
      <c r="B58" s="290"/>
      <c r="C58" s="290"/>
      <c r="D58" s="290"/>
      <c r="E58" s="290"/>
      <c r="F58" s="290"/>
      <c r="G58" s="290"/>
      <c r="H58" s="290"/>
      <c r="I58" s="291"/>
      <c r="J58" s="289"/>
      <c r="K58" s="290"/>
      <c r="L58" s="290"/>
      <c r="M58" s="290"/>
      <c r="N58" s="290"/>
      <c r="O58" s="290"/>
      <c r="P58" s="290"/>
      <c r="Q58" s="290"/>
      <c r="R58" s="290"/>
      <c r="S58" s="290"/>
      <c r="T58" s="290"/>
      <c r="U58" s="291"/>
    </row>
    <row r="59" spans="1:21" x14ac:dyDescent="0.2">
      <c r="A59" s="289"/>
      <c r="B59" s="290"/>
      <c r="C59" s="290"/>
      <c r="D59" s="290"/>
      <c r="E59" s="290"/>
      <c r="F59" s="290"/>
      <c r="G59" s="290"/>
      <c r="H59" s="290"/>
      <c r="I59" s="291"/>
      <c r="J59" s="289"/>
      <c r="K59" s="290"/>
      <c r="L59" s="290"/>
      <c r="M59" s="290"/>
      <c r="N59" s="290"/>
      <c r="O59" s="290"/>
      <c r="P59" s="290"/>
      <c r="Q59" s="290"/>
      <c r="R59" s="290"/>
      <c r="S59" s="290"/>
      <c r="T59" s="290"/>
      <c r="U59" s="291"/>
    </row>
    <row r="60" spans="1:21" x14ac:dyDescent="0.2">
      <c r="A60" s="289"/>
      <c r="B60" s="290"/>
      <c r="C60" s="290"/>
      <c r="D60" s="290"/>
      <c r="E60" s="290"/>
      <c r="F60" s="290"/>
      <c r="G60" s="290"/>
      <c r="H60" s="290"/>
      <c r="I60" s="291"/>
      <c r="J60" s="289"/>
      <c r="K60" s="290"/>
      <c r="L60" s="290"/>
      <c r="M60" s="290"/>
      <c r="N60" s="290"/>
      <c r="O60" s="290"/>
      <c r="P60" s="290"/>
      <c r="Q60" s="290"/>
      <c r="R60" s="290"/>
      <c r="S60" s="290"/>
      <c r="T60" s="290"/>
      <c r="U60" s="291"/>
    </row>
    <row r="61" spans="1:21" x14ac:dyDescent="0.2">
      <c r="A61" s="289"/>
      <c r="B61" s="290"/>
      <c r="C61" s="290"/>
      <c r="D61" s="290"/>
      <c r="E61" s="290"/>
      <c r="F61" s="290"/>
      <c r="G61" s="290"/>
      <c r="H61" s="290"/>
      <c r="I61" s="291"/>
      <c r="J61" s="289"/>
      <c r="K61" s="290"/>
      <c r="L61" s="290"/>
      <c r="M61" s="290"/>
      <c r="N61" s="290"/>
      <c r="O61" s="290"/>
      <c r="P61" s="290"/>
      <c r="Q61" s="290"/>
      <c r="R61" s="290"/>
      <c r="S61" s="290"/>
      <c r="T61" s="290"/>
      <c r="U61" s="291"/>
    </row>
    <row r="62" spans="1:21" x14ac:dyDescent="0.2">
      <c r="A62" s="289"/>
      <c r="B62" s="290"/>
      <c r="C62" s="290"/>
      <c r="D62" s="290"/>
      <c r="E62" s="290"/>
      <c r="F62" s="290"/>
      <c r="G62" s="290"/>
      <c r="H62" s="290"/>
      <c r="I62" s="291"/>
      <c r="J62" s="289"/>
      <c r="K62" s="290"/>
      <c r="L62" s="290"/>
      <c r="M62" s="290"/>
      <c r="N62" s="290"/>
      <c r="O62" s="290"/>
      <c r="P62" s="290"/>
      <c r="Q62" s="290"/>
      <c r="R62" s="290"/>
      <c r="S62" s="290"/>
      <c r="T62" s="290"/>
      <c r="U62" s="291"/>
    </row>
    <row r="63" spans="1:21" x14ac:dyDescent="0.2">
      <c r="A63" s="289"/>
      <c r="B63" s="290"/>
      <c r="C63" s="290"/>
      <c r="D63" s="290"/>
      <c r="E63" s="290"/>
      <c r="F63" s="290"/>
      <c r="G63" s="290"/>
      <c r="H63" s="290"/>
      <c r="I63" s="291"/>
      <c r="J63" s="289"/>
      <c r="K63" s="290"/>
      <c r="L63" s="290"/>
      <c r="M63" s="290"/>
      <c r="N63" s="290"/>
      <c r="O63" s="290"/>
      <c r="P63" s="290"/>
      <c r="Q63" s="290"/>
      <c r="R63" s="290"/>
      <c r="S63" s="290"/>
      <c r="T63" s="290"/>
      <c r="U63" s="291"/>
    </row>
    <row r="64" spans="1:21" x14ac:dyDescent="0.2">
      <c r="A64" s="292"/>
      <c r="B64" s="293"/>
      <c r="C64" s="293"/>
      <c r="D64" s="293"/>
      <c r="E64" s="293"/>
      <c r="F64" s="293"/>
      <c r="G64" s="293"/>
      <c r="H64" s="293"/>
      <c r="I64" s="294"/>
      <c r="J64" s="292"/>
      <c r="K64" s="293"/>
      <c r="L64" s="293"/>
      <c r="M64" s="293"/>
      <c r="N64" s="293"/>
      <c r="O64" s="293"/>
      <c r="P64" s="293"/>
      <c r="Q64" s="293"/>
      <c r="R64" s="293"/>
      <c r="S64" s="293"/>
      <c r="T64" s="293"/>
      <c r="U64" s="294"/>
    </row>
    <row r="65" spans="1:21" x14ac:dyDescent="0.2">
      <c r="A65" s="286"/>
      <c r="B65" s="287"/>
      <c r="C65" s="287"/>
      <c r="D65" s="287"/>
      <c r="E65" s="287"/>
      <c r="F65" s="287"/>
      <c r="G65" s="287"/>
      <c r="H65" s="287"/>
      <c r="I65" s="288"/>
      <c r="J65" s="286"/>
      <c r="K65" s="287"/>
      <c r="L65" s="287"/>
      <c r="M65" s="287"/>
      <c r="N65" s="287"/>
      <c r="O65" s="287"/>
      <c r="P65" s="287"/>
      <c r="Q65" s="287"/>
      <c r="R65" s="287"/>
      <c r="S65" s="287"/>
      <c r="T65" s="287"/>
      <c r="U65" s="288"/>
    </row>
    <row r="66" spans="1:21" x14ac:dyDescent="0.2">
      <c r="A66" s="289"/>
      <c r="B66" s="290"/>
      <c r="C66" s="290"/>
      <c r="D66" s="290"/>
      <c r="E66" s="290"/>
      <c r="F66" s="290"/>
      <c r="G66" s="290"/>
      <c r="H66" s="290"/>
      <c r="I66" s="291"/>
      <c r="J66" s="289"/>
      <c r="K66" s="290"/>
      <c r="L66" s="290"/>
      <c r="M66" s="290"/>
      <c r="N66" s="290"/>
      <c r="O66" s="290"/>
      <c r="P66" s="290"/>
      <c r="Q66" s="290"/>
      <c r="R66" s="290"/>
      <c r="S66" s="290"/>
      <c r="T66" s="290"/>
      <c r="U66" s="291"/>
    </row>
    <row r="67" spans="1:21" x14ac:dyDescent="0.2">
      <c r="A67" s="289"/>
      <c r="B67" s="290"/>
      <c r="C67" s="290"/>
      <c r="D67" s="290"/>
      <c r="E67" s="290"/>
      <c r="F67" s="290"/>
      <c r="G67" s="290"/>
      <c r="H67" s="290"/>
      <c r="I67" s="291"/>
      <c r="J67" s="289"/>
      <c r="K67" s="290"/>
      <c r="L67" s="290"/>
      <c r="M67" s="290"/>
      <c r="N67" s="290"/>
      <c r="O67" s="290"/>
      <c r="P67" s="290"/>
      <c r="Q67" s="290"/>
      <c r="R67" s="290"/>
      <c r="S67" s="290"/>
      <c r="T67" s="290"/>
      <c r="U67" s="291"/>
    </row>
    <row r="68" spans="1:21" x14ac:dyDescent="0.2">
      <c r="A68" s="289"/>
      <c r="B68" s="290"/>
      <c r="C68" s="290"/>
      <c r="D68" s="290"/>
      <c r="E68" s="290"/>
      <c r="F68" s="290"/>
      <c r="G68" s="290"/>
      <c r="H68" s="290"/>
      <c r="I68" s="291"/>
      <c r="J68" s="289"/>
      <c r="K68" s="290"/>
      <c r="L68" s="290"/>
      <c r="M68" s="290"/>
      <c r="N68" s="290"/>
      <c r="O68" s="290"/>
      <c r="P68" s="290"/>
      <c r="Q68" s="290"/>
      <c r="R68" s="290"/>
      <c r="S68" s="290"/>
      <c r="T68" s="290"/>
      <c r="U68" s="291"/>
    </row>
    <row r="69" spans="1:21" x14ac:dyDescent="0.2">
      <c r="A69" s="289"/>
      <c r="B69" s="290"/>
      <c r="C69" s="290"/>
      <c r="D69" s="290"/>
      <c r="E69" s="290"/>
      <c r="F69" s="290"/>
      <c r="G69" s="290"/>
      <c r="H69" s="290"/>
      <c r="I69" s="291"/>
      <c r="J69" s="289"/>
      <c r="K69" s="290"/>
      <c r="L69" s="290"/>
      <c r="M69" s="290"/>
      <c r="N69" s="290"/>
      <c r="O69" s="290"/>
      <c r="P69" s="290"/>
      <c r="Q69" s="290"/>
      <c r="R69" s="290"/>
      <c r="S69" s="290"/>
      <c r="T69" s="290"/>
      <c r="U69" s="291"/>
    </row>
    <row r="70" spans="1:21" x14ac:dyDescent="0.2">
      <c r="A70" s="289"/>
      <c r="B70" s="290"/>
      <c r="C70" s="290"/>
      <c r="D70" s="290"/>
      <c r="E70" s="290"/>
      <c r="F70" s="290"/>
      <c r="G70" s="290"/>
      <c r="H70" s="290"/>
      <c r="I70" s="291"/>
      <c r="J70" s="289"/>
      <c r="K70" s="290"/>
      <c r="L70" s="290"/>
      <c r="M70" s="290"/>
      <c r="N70" s="290"/>
      <c r="O70" s="290"/>
      <c r="P70" s="290"/>
      <c r="Q70" s="290"/>
      <c r="R70" s="290"/>
      <c r="S70" s="290"/>
      <c r="T70" s="290"/>
      <c r="U70" s="291"/>
    </row>
    <row r="71" spans="1:21" x14ac:dyDescent="0.2">
      <c r="A71" s="289"/>
      <c r="B71" s="290"/>
      <c r="C71" s="290"/>
      <c r="D71" s="290"/>
      <c r="E71" s="290"/>
      <c r="F71" s="290"/>
      <c r="G71" s="290"/>
      <c r="H71" s="290"/>
      <c r="I71" s="291"/>
      <c r="J71" s="289"/>
      <c r="K71" s="290"/>
      <c r="L71" s="290"/>
      <c r="M71" s="290"/>
      <c r="N71" s="290"/>
      <c r="O71" s="290"/>
      <c r="P71" s="290"/>
      <c r="Q71" s="290"/>
      <c r="R71" s="290"/>
      <c r="S71" s="290"/>
      <c r="T71" s="290"/>
      <c r="U71" s="291"/>
    </row>
    <row r="72" spans="1:21" x14ac:dyDescent="0.2">
      <c r="A72" s="289"/>
      <c r="B72" s="290"/>
      <c r="C72" s="290"/>
      <c r="D72" s="290"/>
      <c r="E72" s="290"/>
      <c r="F72" s="290"/>
      <c r="G72" s="290"/>
      <c r="H72" s="290"/>
      <c r="I72" s="291"/>
      <c r="J72" s="289"/>
      <c r="K72" s="290"/>
      <c r="L72" s="290"/>
      <c r="M72" s="290"/>
      <c r="N72" s="290"/>
      <c r="O72" s="290"/>
      <c r="P72" s="290"/>
      <c r="Q72" s="290"/>
      <c r="R72" s="290"/>
      <c r="S72" s="290"/>
      <c r="T72" s="290"/>
      <c r="U72" s="291"/>
    </row>
    <row r="73" spans="1:21" x14ac:dyDescent="0.2">
      <c r="A73" s="289"/>
      <c r="B73" s="290"/>
      <c r="C73" s="290"/>
      <c r="D73" s="290"/>
      <c r="E73" s="290"/>
      <c r="F73" s="290"/>
      <c r="G73" s="290"/>
      <c r="H73" s="290"/>
      <c r="I73" s="291"/>
      <c r="J73" s="289"/>
      <c r="K73" s="290"/>
      <c r="L73" s="290"/>
      <c r="M73" s="290"/>
      <c r="N73" s="290"/>
      <c r="O73" s="290"/>
      <c r="P73" s="290"/>
      <c r="Q73" s="290"/>
      <c r="R73" s="290"/>
      <c r="S73" s="290"/>
      <c r="T73" s="290"/>
      <c r="U73" s="291"/>
    </row>
    <row r="74" spans="1:21" x14ac:dyDescent="0.2">
      <c r="A74" s="289"/>
      <c r="B74" s="290"/>
      <c r="C74" s="290"/>
      <c r="D74" s="290"/>
      <c r="E74" s="290"/>
      <c r="F74" s="290"/>
      <c r="G74" s="290"/>
      <c r="H74" s="290"/>
      <c r="I74" s="291"/>
      <c r="J74" s="289"/>
      <c r="K74" s="290"/>
      <c r="L74" s="290"/>
      <c r="M74" s="290"/>
      <c r="N74" s="290"/>
      <c r="O74" s="290"/>
      <c r="P74" s="290"/>
      <c r="Q74" s="290"/>
      <c r="R74" s="290"/>
      <c r="S74" s="290"/>
      <c r="T74" s="290"/>
      <c r="U74" s="291"/>
    </row>
    <row r="75" spans="1:21" x14ac:dyDescent="0.2">
      <c r="A75" s="289"/>
      <c r="B75" s="290"/>
      <c r="C75" s="290"/>
      <c r="D75" s="290"/>
      <c r="E75" s="290"/>
      <c r="F75" s="290"/>
      <c r="G75" s="290"/>
      <c r="H75" s="290"/>
      <c r="I75" s="291"/>
      <c r="J75" s="289"/>
      <c r="K75" s="290"/>
      <c r="L75" s="290"/>
      <c r="M75" s="290"/>
      <c r="N75" s="290"/>
      <c r="O75" s="290"/>
      <c r="P75" s="290"/>
      <c r="Q75" s="290"/>
      <c r="R75" s="290"/>
      <c r="S75" s="290"/>
      <c r="T75" s="290"/>
      <c r="U75" s="291"/>
    </row>
    <row r="76" spans="1:21" x14ac:dyDescent="0.2">
      <c r="A76" s="289"/>
      <c r="B76" s="290"/>
      <c r="C76" s="290"/>
      <c r="D76" s="290"/>
      <c r="E76" s="290"/>
      <c r="F76" s="290"/>
      <c r="G76" s="290"/>
      <c r="H76" s="290"/>
      <c r="I76" s="291"/>
      <c r="J76" s="289"/>
      <c r="K76" s="290"/>
      <c r="L76" s="290"/>
      <c r="M76" s="290"/>
      <c r="N76" s="290"/>
      <c r="O76" s="290"/>
      <c r="P76" s="290"/>
      <c r="Q76" s="290"/>
      <c r="R76" s="290"/>
      <c r="S76" s="290"/>
      <c r="T76" s="290"/>
      <c r="U76" s="291"/>
    </row>
    <row r="77" spans="1:21" x14ac:dyDescent="0.2">
      <c r="A77" s="289"/>
      <c r="B77" s="290"/>
      <c r="C77" s="290"/>
      <c r="D77" s="290"/>
      <c r="E77" s="290"/>
      <c r="F77" s="290"/>
      <c r="G77" s="290"/>
      <c r="H77" s="290"/>
      <c r="I77" s="291"/>
      <c r="J77" s="289"/>
      <c r="K77" s="290"/>
      <c r="L77" s="290"/>
      <c r="M77" s="290"/>
      <c r="N77" s="290"/>
      <c r="O77" s="290"/>
      <c r="P77" s="290"/>
      <c r="Q77" s="290"/>
      <c r="R77" s="290"/>
      <c r="S77" s="290"/>
      <c r="T77" s="290"/>
      <c r="U77" s="291"/>
    </row>
    <row r="78" spans="1:21" x14ac:dyDescent="0.2">
      <c r="A78" s="289"/>
      <c r="B78" s="290"/>
      <c r="C78" s="290"/>
      <c r="D78" s="290"/>
      <c r="E78" s="290"/>
      <c r="F78" s="290"/>
      <c r="G78" s="290"/>
      <c r="H78" s="290"/>
      <c r="I78" s="291"/>
      <c r="J78" s="289"/>
      <c r="K78" s="290"/>
      <c r="L78" s="290"/>
      <c r="M78" s="290"/>
      <c r="N78" s="290"/>
      <c r="O78" s="290"/>
      <c r="P78" s="290"/>
      <c r="Q78" s="290"/>
      <c r="R78" s="290"/>
      <c r="S78" s="290"/>
      <c r="T78" s="290"/>
      <c r="U78" s="291"/>
    </row>
    <row r="79" spans="1:21" x14ac:dyDescent="0.2">
      <c r="A79" s="289"/>
      <c r="B79" s="290"/>
      <c r="C79" s="290"/>
      <c r="D79" s="290"/>
      <c r="E79" s="290"/>
      <c r="F79" s="290"/>
      <c r="G79" s="290"/>
      <c r="H79" s="290"/>
      <c r="I79" s="291"/>
      <c r="J79" s="289"/>
      <c r="K79" s="290"/>
      <c r="L79" s="290"/>
      <c r="M79" s="290"/>
      <c r="N79" s="290"/>
      <c r="O79" s="290"/>
      <c r="P79" s="290"/>
      <c r="Q79" s="290"/>
      <c r="R79" s="290"/>
      <c r="S79" s="290"/>
      <c r="T79" s="290"/>
      <c r="U79" s="291"/>
    </row>
    <row r="80" spans="1:21" x14ac:dyDescent="0.2">
      <c r="A80" s="289"/>
      <c r="B80" s="290"/>
      <c r="C80" s="290"/>
      <c r="D80" s="290"/>
      <c r="E80" s="290"/>
      <c r="F80" s="290"/>
      <c r="G80" s="290"/>
      <c r="H80" s="290"/>
      <c r="I80" s="291"/>
      <c r="J80" s="289"/>
      <c r="K80" s="290"/>
      <c r="L80" s="290"/>
      <c r="M80" s="290"/>
      <c r="N80" s="290"/>
      <c r="O80" s="290"/>
      <c r="P80" s="290"/>
      <c r="Q80" s="290"/>
      <c r="R80" s="290"/>
      <c r="S80" s="290"/>
      <c r="T80" s="290"/>
      <c r="U80" s="291"/>
    </row>
    <row r="81" spans="1:21" x14ac:dyDescent="0.2">
      <c r="A81" s="289"/>
      <c r="B81" s="290"/>
      <c r="C81" s="290"/>
      <c r="D81" s="290"/>
      <c r="E81" s="290"/>
      <c r="F81" s="290"/>
      <c r="G81" s="290"/>
      <c r="H81" s="290"/>
      <c r="I81" s="291"/>
      <c r="J81" s="289"/>
      <c r="K81" s="290"/>
      <c r="L81" s="290"/>
      <c r="M81" s="290"/>
      <c r="N81" s="290"/>
      <c r="O81" s="290"/>
      <c r="P81" s="290"/>
      <c r="Q81" s="290"/>
      <c r="R81" s="290"/>
      <c r="S81" s="290"/>
      <c r="T81" s="290"/>
      <c r="U81" s="291"/>
    </row>
    <row r="82" spans="1:21" x14ac:dyDescent="0.2">
      <c r="A82" s="289"/>
      <c r="B82" s="290"/>
      <c r="C82" s="290"/>
      <c r="D82" s="290"/>
      <c r="E82" s="290"/>
      <c r="F82" s="290"/>
      <c r="G82" s="290"/>
      <c r="H82" s="290"/>
      <c r="I82" s="291"/>
      <c r="J82" s="289"/>
      <c r="K82" s="290"/>
      <c r="L82" s="290"/>
      <c r="M82" s="290"/>
      <c r="N82" s="290"/>
      <c r="O82" s="290"/>
      <c r="P82" s="290"/>
      <c r="Q82" s="290"/>
      <c r="R82" s="290"/>
      <c r="S82" s="290"/>
      <c r="T82" s="290"/>
      <c r="U82" s="291"/>
    </row>
    <row r="83" spans="1:21" x14ac:dyDescent="0.2">
      <c r="A83" s="289"/>
      <c r="B83" s="290"/>
      <c r="C83" s="290"/>
      <c r="D83" s="290"/>
      <c r="E83" s="290"/>
      <c r="F83" s="290"/>
      <c r="G83" s="290"/>
      <c r="H83" s="290"/>
      <c r="I83" s="291"/>
      <c r="J83" s="289"/>
      <c r="K83" s="290"/>
      <c r="L83" s="290"/>
      <c r="M83" s="290"/>
      <c r="N83" s="290"/>
      <c r="O83" s="290"/>
      <c r="P83" s="290"/>
      <c r="Q83" s="290"/>
      <c r="R83" s="290"/>
      <c r="S83" s="290"/>
      <c r="T83" s="290"/>
      <c r="U83" s="291"/>
    </row>
    <row r="84" spans="1:21" x14ac:dyDescent="0.2">
      <c r="A84" s="289"/>
      <c r="B84" s="290"/>
      <c r="C84" s="290"/>
      <c r="D84" s="290"/>
      <c r="E84" s="290"/>
      <c r="F84" s="290"/>
      <c r="G84" s="290"/>
      <c r="H84" s="290"/>
      <c r="I84" s="291"/>
      <c r="J84" s="289"/>
      <c r="K84" s="290"/>
      <c r="L84" s="290"/>
      <c r="M84" s="290"/>
      <c r="N84" s="290"/>
      <c r="O84" s="290"/>
      <c r="P84" s="290"/>
      <c r="Q84" s="290"/>
      <c r="R84" s="290"/>
      <c r="S84" s="290"/>
      <c r="T84" s="290"/>
      <c r="U84" s="291"/>
    </row>
    <row r="85" spans="1:21" x14ac:dyDescent="0.2">
      <c r="A85" s="292"/>
      <c r="B85" s="293"/>
      <c r="C85" s="293"/>
      <c r="D85" s="293"/>
      <c r="E85" s="293"/>
      <c r="F85" s="293"/>
      <c r="G85" s="293"/>
      <c r="H85" s="293"/>
      <c r="I85" s="294"/>
      <c r="J85" s="292"/>
      <c r="K85" s="293"/>
      <c r="L85" s="293"/>
      <c r="M85" s="293"/>
      <c r="N85" s="293"/>
      <c r="O85" s="293"/>
      <c r="P85" s="293"/>
      <c r="Q85" s="293"/>
      <c r="R85" s="293"/>
      <c r="S85" s="293"/>
      <c r="T85" s="293"/>
      <c r="U85" s="294"/>
    </row>
    <row r="86" spans="1:21" x14ac:dyDescent="0.2">
      <c r="A86" s="76" t="s">
        <v>582</v>
      </c>
    </row>
  </sheetData>
  <sheetProtection algorithmName="SHA-512" hashValue="DdiSIyxOV78SBPk9uxRs5WwqMDgB3c1YPwZU7ZhBYJs0G+a+CLAyl3XQQdLaVDZaLqOQoGAdqJjl5er7+/7SyQ==" saltValue="mcE8ulfhPRTDO4BfDz/Clg==" spinCount="100000" sheet="1" objects="1" scenarios="1"/>
  <mergeCells count="6">
    <mergeCell ref="J23:U43"/>
    <mergeCell ref="A23:I43"/>
    <mergeCell ref="J44:U64"/>
    <mergeCell ref="A44:I64"/>
    <mergeCell ref="J65:U85"/>
    <mergeCell ref="A65:I85"/>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81"/>
  <sheetViews>
    <sheetView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8" width="10.44140625" customWidth="1"/>
    <col min="29" max="29" width="10.44140625" style="1" customWidth="1"/>
  </cols>
  <sheetData>
    <row r="1" spans="1:29"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row>
    <row r="2" spans="1:29" ht="21" customHeight="1" x14ac:dyDescent="0.2">
      <c r="A2" s="345" t="str">
        <f>BS!A2</f>
        <v>２１　窯業・土石製品製造業</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46" t="s">
        <v>33</v>
      </c>
      <c r="B4" s="347"/>
      <c r="C4" s="347"/>
      <c r="D4" s="347"/>
      <c r="E4" s="347"/>
      <c r="F4" s="347"/>
      <c r="G4" s="347"/>
      <c r="H4" s="347"/>
      <c r="I4" s="347"/>
      <c r="J4" s="347"/>
      <c r="K4" s="68">
        <v>11393</v>
      </c>
      <c r="L4" s="68">
        <v>10608</v>
      </c>
      <c r="M4" s="68">
        <v>10338.231005322499</v>
      </c>
      <c r="N4" s="68">
        <v>9511.4782435730995</v>
      </c>
      <c r="O4" s="68">
        <v>9849.5839639144506</v>
      </c>
      <c r="P4" s="68">
        <v>9706.4625336266308</v>
      </c>
      <c r="Q4" s="68">
        <v>8629.2077089966606</v>
      </c>
      <c r="R4" s="68">
        <v>10187.594072415965</v>
      </c>
      <c r="S4" s="68">
        <v>9883.0704331000088</v>
      </c>
      <c r="T4" s="68">
        <v>11464.746979305573</v>
      </c>
      <c r="U4" s="68">
        <v>11643.685918299981</v>
      </c>
      <c r="V4" s="68">
        <v>11827.511068099988</v>
      </c>
      <c r="W4" s="68">
        <v>12016.284332899975</v>
      </c>
      <c r="X4" s="68">
        <v>12210.070519199995</v>
      </c>
      <c r="Y4" s="68">
        <v>10090.623360700001</v>
      </c>
      <c r="Z4" s="68">
        <v>10067</v>
      </c>
      <c r="AA4" s="68">
        <v>10106</v>
      </c>
      <c r="AB4" s="68">
        <v>10091</v>
      </c>
      <c r="AC4" s="68">
        <v>10123</v>
      </c>
    </row>
    <row r="5" spans="1:29" s="31" customFormat="1" ht="18" customHeight="1" x14ac:dyDescent="0.2">
      <c r="A5" s="363" t="s">
        <v>34</v>
      </c>
      <c r="B5" s="364"/>
      <c r="C5" s="364"/>
      <c r="D5" s="364"/>
      <c r="E5" s="364"/>
      <c r="F5" s="364"/>
      <c r="G5" s="364"/>
      <c r="H5" s="364"/>
      <c r="I5" s="364"/>
      <c r="J5" s="364"/>
      <c r="K5" s="251">
        <v>21.347318528921299</v>
      </c>
      <c r="L5" s="251">
        <v>19.453054298642535</v>
      </c>
      <c r="M5" s="251">
        <v>22.748031868795213</v>
      </c>
      <c r="N5" s="251">
        <v>21.848411568045332</v>
      </c>
      <c r="O5" s="251">
        <v>20.205459362863763</v>
      </c>
      <c r="P5" s="251">
        <v>20.152178392700858</v>
      </c>
      <c r="Q5" s="251">
        <v>22.821736819167953</v>
      </c>
      <c r="R5" s="251">
        <v>19.853952851186037</v>
      </c>
      <c r="S5" s="251">
        <v>23.141805274563811</v>
      </c>
      <c r="T5" s="251">
        <v>19.858120360783609</v>
      </c>
      <c r="U5" s="251">
        <v>20.072881892659066</v>
      </c>
      <c r="V5" s="251">
        <v>17.618263452592512</v>
      </c>
      <c r="W5" s="251">
        <v>19.500963661852872</v>
      </c>
      <c r="X5" s="251">
        <v>19.952157532469993</v>
      </c>
      <c r="Y5" s="251">
        <v>25.465956937246414</v>
      </c>
      <c r="Z5" s="251">
        <v>23.765799442876588</v>
      </c>
      <c r="AA5" s="251">
        <v>21.333267365921234</v>
      </c>
      <c r="AB5" s="251">
        <v>22.438014071945297</v>
      </c>
      <c r="AC5" s="251">
        <v>23.274622147584708</v>
      </c>
    </row>
    <row r="6" spans="1:29" s="31" customFormat="1" ht="18" customHeight="1" x14ac:dyDescent="0.2">
      <c r="A6" s="359" t="s">
        <v>514</v>
      </c>
      <c r="B6" s="360"/>
      <c r="C6" s="360"/>
      <c r="D6" s="360"/>
      <c r="E6" s="360"/>
      <c r="F6" s="360"/>
      <c r="G6" s="360"/>
      <c r="H6" s="360"/>
      <c r="I6" s="360"/>
      <c r="J6" s="360"/>
      <c r="K6" s="71">
        <v>476566.84718686901</v>
      </c>
      <c r="L6" s="71">
        <v>431883.95550527907</v>
      </c>
      <c r="M6" s="71">
        <v>470276.95833658014</v>
      </c>
      <c r="N6" s="71">
        <v>382317.10699519957</v>
      </c>
      <c r="O6" s="71">
        <v>444717.01417659037</v>
      </c>
      <c r="P6" s="71">
        <v>466028.2715769179</v>
      </c>
      <c r="Q6" s="71">
        <v>571062.94556079933</v>
      </c>
      <c r="R6" s="71">
        <v>380712.29461116524</v>
      </c>
      <c r="S6" s="71">
        <v>481641.09597770061</v>
      </c>
      <c r="T6" s="71">
        <v>399147.49110443954</v>
      </c>
      <c r="U6" s="71">
        <v>466318.69523454586</v>
      </c>
      <c r="V6" s="71">
        <v>401930.379131675</v>
      </c>
      <c r="W6" s="71">
        <v>420952.65570839075</v>
      </c>
      <c r="X6" s="71">
        <v>433716.8601081805</v>
      </c>
      <c r="Y6" s="71">
        <v>610593.27578583988</v>
      </c>
      <c r="Z6" s="71">
        <v>497242.65165447723</v>
      </c>
      <c r="AA6" s="71">
        <v>509828.00504650705</v>
      </c>
      <c r="AB6" s="71">
        <v>552662.77653354476</v>
      </c>
      <c r="AC6" s="71">
        <v>548953.19845895481</v>
      </c>
    </row>
    <row r="7" spans="1:29" s="31" customFormat="1" ht="18" customHeight="1" x14ac:dyDescent="0.2">
      <c r="A7" s="366" t="s">
        <v>35</v>
      </c>
      <c r="B7" s="367"/>
      <c r="C7" s="367"/>
      <c r="D7" s="367"/>
      <c r="E7" s="367"/>
      <c r="F7" s="367"/>
      <c r="G7" s="367"/>
      <c r="H7" s="367"/>
      <c r="I7" s="367"/>
      <c r="J7" s="367"/>
      <c r="K7" s="211">
        <v>462496.71903800598</v>
      </c>
      <c r="L7" s="211">
        <v>419250.65987933637</v>
      </c>
      <c r="M7" s="211">
        <v>462076.92522050301</v>
      </c>
      <c r="N7" s="211">
        <v>383367.99715945503</v>
      </c>
      <c r="O7" s="211">
        <v>438871.38514912152</v>
      </c>
      <c r="P7" s="211">
        <v>464444.0637697659</v>
      </c>
      <c r="Q7" s="211"/>
      <c r="R7" s="211"/>
      <c r="S7" s="211"/>
      <c r="T7" s="211"/>
      <c r="U7" s="211"/>
      <c r="V7" s="211"/>
      <c r="W7" s="211"/>
      <c r="X7" s="211"/>
      <c r="Y7" s="211"/>
      <c r="Z7" s="211"/>
      <c r="AA7" s="211"/>
      <c r="AB7" s="211"/>
      <c r="AC7" s="211"/>
    </row>
    <row r="8" spans="1:29" s="31" customFormat="1" ht="18" customHeight="1" x14ac:dyDescent="0.2">
      <c r="A8" s="212"/>
      <c r="B8" s="366" t="s">
        <v>36</v>
      </c>
      <c r="C8" s="367"/>
      <c r="D8" s="367"/>
      <c r="E8" s="367"/>
      <c r="F8" s="367"/>
      <c r="G8" s="367"/>
      <c r="H8" s="367"/>
      <c r="I8" s="367"/>
      <c r="J8" s="372"/>
      <c r="K8" s="211">
        <v>362947.12981655402</v>
      </c>
      <c r="L8" s="211">
        <v>333411.10482654604</v>
      </c>
      <c r="M8" s="211">
        <v>354492.48775249597</v>
      </c>
      <c r="N8" s="211">
        <v>303824.39499181724</v>
      </c>
      <c r="O8" s="211">
        <v>357049.46235303499</v>
      </c>
      <c r="P8" s="211">
        <v>377445.99263532239</v>
      </c>
      <c r="Q8" s="211">
        <v>472420.97719213652</v>
      </c>
      <c r="R8" s="211">
        <v>301882.26197674079</v>
      </c>
      <c r="S8" s="211">
        <v>393442.39360625966</v>
      </c>
      <c r="T8" s="211">
        <v>308081.48171310709</v>
      </c>
      <c r="U8" s="211">
        <v>368378.04921023484</v>
      </c>
      <c r="V8" s="211">
        <v>324643.18079951382</v>
      </c>
      <c r="W8" s="211">
        <v>330769.24622766627</v>
      </c>
      <c r="X8" s="211">
        <v>333027.14578640438</v>
      </c>
      <c r="Y8" s="211">
        <v>455851.49151965126</v>
      </c>
      <c r="Z8" s="211">
        <v>381344.86676134379</v>
      </c>
      <c r="AA8" s="211">
        <v>383715.43568177323</v>
      </c>
      <c r="AB8" s="211">
        <v>416851.36200574768</v>
      </c>
      <c r="AC8" s="211">
        <v>423001.19648325589</v>
      </c>
    </row>
    <row r="9" spans="1:29" s="31" customFormat="1" ht="18" customHeight="1" x14ac:dyDescent="0.2">
      <c r="A9" s="212"/>
      <c r="B9" s="73"/>
      <c r="C9" s="346" t="s">
        <v>37</v>
      </c>
      <c r="D9" s="347"/>
      <c r="E9" s="347"/>
      <c r="F9" s="347"/>
      <c r="G9" s="347"/>
      <c r="H9" s="347"/>
      <c r="I9" s="347"/>
      <c r="J9" s="347"/>
      <c r="K9" s="68">
        <v>71277.336961292007</v>
      </c>
      <c r="L9" s="68">
        <v>25749.905731523377</v>
      </c>
      <c r="M9" s="68">
        <v>68300.244219684886</v>
      </c>
      <c r="N9" s="68">
        <v>68147.115504406247</v>
      </c>
      <c r="O9" s="68">
        <v>89169.72468612263</v>
      </c>
      <c r="P9" s="68">
        <v>78595.956188222306</v>
      </c>
      <c r="Q9" s="68">
        <v>108514.4673739252</v>
      </c>
      <c r="R9" s="68">
        <v>72508.300856598828</v>
      </c>
      <c r="S9" s="68">
        <v>79274.923915137668</v>
      </c>
      <c r="T9" s="68">
        <v>64875.720077320992</v>
      </c>
      <c r="U9" s="68">
        <v>111987.24169208956</v>
      </c>
      <c r="V9" s="68">
        <v>77553.98834175634</v>
      </c>
      <c r="W9" s="68">
        <v>59990.913906202753</v>
      </c>
      <c r="X9" s="68">
        <v>72709.741792985849</v>
      </c>
      <c r="Y9" s="68">
        <v>121555.72985183433</v>
      </c>
      <c r="Z9" s="68">
        <v>189761.48527680495</v>
      </c>
      <c r="AA9" s="68">
        <v>204927.95418563229</v>
      </c>
      <c r="AB9" s="68">
        <v>216355.99871172331</v>
      </c>
      <c r="AC9" s="68">
        <v>215107.95287958113</v>
      </c>
    </row>
    <row r="10" spans="1:29" s="31" customFormat="1" ht="18" customHeight="1" x14ac:dyDescent="0.2">
      <c r="A10" s="212"/>
      <c r="B10" s="73"/>
      <c r="C10" s="355" t="s">
        <v>38</v>
      </c>
      <c r="D10" s="356"/>
      <c r="E10" s="356"/>
      <c r="F10" s="356"/>
      <c r="G10" s="356"/>
      <c r="H10" s="356"/>
      <c r="I10" s="356"/>
      <c r="J10" s="356"/>
      <c r="K10" s="69">
        <v>141776.376722549</v>
      </c>
      <c r="L10" s="69">
        <v>173229.92081447964</v>
      </c>
      <c r="M10" s="69">
        <v>127841.18944637678</v>
      </c>
      <c r="N10" s="69">
        <v>95028.997592819374</v>
      </c>
      <c r="O10" s="69">
        <v>125111.90217064616</v>
      </c>
      <c r="P10" s="69">
        <v>146406.97612814623</v>
      </c>
      <c r="Q10" s="69">
        <v>142707.67886134985</v>
      </c>
      <c r="R10" s="69">
        <v>98072.103933269871</v>
      </c>
      <c r="S10" s="69">
        <v>143473.4939528236</v>
      </c>
      <c r="T10" s="69">
        <v>106939.63437831028</v>
      </c>
      <c r="U10" s="69">
        <v>71958.10588431533</v>
      </c>
      <c r="V10" s="69">
        <v>91336.321843005062</v>
      </c>
      <c r="W10" s="69">
        <v>123342.87687161112</v>
      </c>
      <c r="X10" s="69">
        <v>126423.74091623256</v>
      </c>
      <c r="Y10" s="69">
        <v>144200.92669248435</v>
      </c>
      <c r="Z10" s="69"/>
      <c r="AA10" s="69"/>
      <c r="AB10" s="69"/>
      <c r="AC10" s="69"/>
    </row>
    <row r="11" spans="1:29" s="31" customFormat="1" ht="18" customHeight="1" x14ac:dyDescent="0.2">
      <c r="A11" s="212"/>
      <c r="B11" s="73"/>
      <c r="C11" s="355" t="s">
        <v>39</v>
      </c>
      <c r="D11" s="356"/>
      <c r="E11" s="356"/>
      <c r="F11" s="356"/>
      <c r="G11" s="356"/>
      <c r="H11" s="356"/>
      <c r="I11" s="356"/>
      <c r="J11" s="356"/>
      <c r="K11" s="69">
        <v>55929.376810322203</v>
      </c>
      <c r="L11" s="69">
        <v>54105.109351432882</v>
      </c>
      <c r="M11" s="69">
        <v>59713.600952506909</v>
      </c>
      <c r="N11" s="69">
        <v>52537.732073066116</v>
      </c>
      <c r="O11" s="69">
        <v>49082.315879428439</v>
      </c>
      <c r="P11" s="69">
        <v>52361.84884541855</v>
      </c>
      <c r="Q11" s="69">
        <v>70989.101616804197</v>
      </c>
      <c r="R11" s="69">
        <v>46801.186460683959</v>
      </c>
      <c r="S11" s="69">
        <v>73539.955668883456</v>
      </c>
      <c r="T11" s="69">
        <v>50208.861645559286</v>
      </c>
      <c r="U11" s="69">
        <v>47523.161070382237</v>
      </c>
      <c r="V11" s="69">
        <v>43344.327232850403</v>
      </c>
      <c r="W11" s="69">
        <v>42382.644209786529</v>
      </c>
      <c r="X11" s="69">
        <v>49708.349627458687</v>
      </c>
      <c r="Y11" s="69">
        <v>75210.272167949282</v>
      </c>
      <c r="Z11" s="69">
        <v>62938.312088250554</v>
      </c>
      <c r="AA11" s="69">
        <v>56732.586582228381</v>
      </c>
      <c r="AB11" s="69">
        <v>62780.91685660489</v>
      </c>
      <c r="AC11" s="69">
        <v>64237.693865454916</v>
      </c>
    </row>
    <row r="12" spans="1:29" s="31" customFormat="1" ht="18" customHeight="1" x14ac:dyDescent="0.2">
      <c r="A12" s="212"/>
      <c r="B12" s="73"/>
      <c r="C12" s="355" t="s">
        <v>40</v>
      </c>
      <c r="D12" s="356"/>
      <c r="E12" s="356"/>
      <c r="F12" s="356"/>
      <c r="G12" s="356"/>
      <c r="H12" s="356"/>
      <c r="I12" s="356"/>
      <c r="J12" s="356"/>
      <c r="K12" s="69">
        <v>39116.471517598504</v>
      </c>
      <c r="L12" s="69">
        <v>21534.219457013573</v>
      </c>
      <c r="M12" s="69">
        <v>29515.826034832848</v>
      </c>
      <c r="N12" s="69">
        <v>25214.327334187616</v>
      </c>
      <c r="O12" s="69">
        <v>27630.848008748017</v>
      </c>
      <c r="P12" s="69">
        <v>24628.364525017852</v>
      </c>
      <c r="Q12" s="69">
        <v>34022.851033923071</v>
      </c>
      <c r="R12" s="69">
        <v>18795.901490577373</v>
      </c>
      <c r="S12" s="69">
        <v>27054.295217250641</v>
      </c>
      <c r="T12" s="69">
        <v>18381.487366293888</v>
      </c>
      <c r="U12" s="69">
        <v>22769.709491353879</v>
      </c>
      <c r="V12" s="69">
        <v>25873.37313741121</v>
      </c>
      <c r="W12" s="69">
        <v>31385.497313913034</v>
      </c>
      <c r="X12" s="69">
        <v>20119.000409361441</v>
      </c>
      <c r="Y12" s="69">
        <v>32626.562448546607</v>
      </c>
      <c r="Z12" s="69">
        <v>28014.345676053144</v>
      </c>
      <c r="AA12" s="69">
        <v>21642.010093014051</v>
      </c>
      <c r="AB12" s="69">
        <v>33165.685462293128</v>
      </c>
      <c r="AC12" s="69">
        <v>37155.27669663143</v>
      </c>
    </row>
    <row r="13" spans="1:29" s="31" customFormat="1" ht="18" customHeight="1" x14ac:dyDescent="0.2">
      <c r="A13" s="212"/>
      <c r="B13" s="73"/>
      <c r="C13" s="355" t="s">
        <v>41</v>
      </c>
      <c r="D13" s="356"/>
      <c r="E13" s="356"/>
      <c r="F13" s="356"/>
      <c r="G13" s="356"/>
      <c r="H13" s="356"/>
      <c r="I13" s="356"/>
      <c r="J13" s="356"/>
      <c r="K13" s="69">
        <v>9722.9483015886908</v>
      </c>
      <c r="L13" s="69">
        <v>10659.030920060331</v>
      </c>
      <c r="M13" s="69">
        <v>12984.138418390721</v>
      </c>
      <c r="N13" s="69">
        <v>8713.5556951106046</v>
      </c>
      <c r="O13" s="69">
        <v>10304.44394892287</v>
      </c>
      <c r="P13" s="69">
        <v>11749.485490451994</v>
      </c>
      <c r="Q13" s="69">
        <v>23327.184853283718</v>
      </c>
      <c r="R13" s="69">
        <v>9733.9697821317623</v>
      </c>
      <c r="S13" s="69">
        <v>12980.830765301738</v>
      </c>
      <c r="T13" s="69">
        <v>8895.7713626415716</v>
      </c>
      <c r="U13" s="69">
        <v>12898.605132987192</v>
      </c>
      <c r="V13" s="69">
        <v>7057.1122346190023</v>
      </c>
      <c r="W13" s="69">
        <v>10779.358143251504</v>
      </c>
      <c r="X13" s="69">
        <v>10070.865225940026</v>
      </c>
      <c r="Y13" s="69">
        <v>17242.041287415988</v>
      </c>
      <c r="Z13" s="69">
        <v>11505.098489083166</v>
      </c>
      <c r="AA13" s="69">
        <v>11743.518305956857</v>
      </c>
      <c r="AB13" s="69">
        <v>15232.828857397681</v>
      </c>
      <c r="AC13" s="69">
        <v>12046.153413019854</v>
      </c>
    </row>
    <row r="14" spans="1:29" s="31" customFormat="1" ht="18" customHeight="1" x14ac:dyDescent="0.2">
      <c r="A14" s="212"/>
      <c r="B14" s="73"/>
      <c r="C14" s="363" t="s">
        <v>42</v>
      </c>
      <c r="D14" s="364"/>
      <c r="E14" s="364"/>
      <c r="F14" s="364"/>
      <c r="G14" s="364"/>
      <c r="H14" s="364"/>
      <c r="I14" s="364"/>
      <c r="J14" s="364"/>
      <c r="K14" s="70">
        <v>45124.619503203707</v>
      </c>
      <c r="L14" s="70">
        <v>48132.824283559581</v>
      </c>
      <c r="M14" s="70">
        <v>56137.488680704002</v>
      </c>
      <c r="N14" s="70">
        <v>54182.666792227028</v>
      </c>
      <c r="O14" s="70">
        <v>55750.227659166791</v>
      </c>
      <c r="P14" s="70">
        <v>63703.361458065963</v>
      </c>
      <c r="Q14" s="70">
        <v>92859.693452850479</v>
      </c>
      <c r="R14" s="70">
        <v>55970.799453479012</v>
      </c>
      <c r="S14" s="70">
        <v>57118.894086862587</v>
      </c>
      <c r="T14" s="70">
        <v>58780.006882981172</v>
      </c>
      <c r="U14" s="70">
        <v>101241.22593910644</v>
      </c>
      <c r="V14" s="70">
        <v>79478.058009871835</v>
      </c>
      <c r="W14" s="70">
        <v>62887.955782901394</v>
      </c>
      <c r="X14" s="70">
        <v>53995.447814425686</v>
      </c>
      <c r="Y14" s="70">
        <v>65015.959071420679</v>
      </c>
      <c r="Z14" s="70">
        <v>89125.625231151935</v>
      </c>
      <c r="AA14" s="70">
        <v>88669.366514941677</v>
      </c>
      <c r="AB14" s="70">
        <v>89315.932117728691</v>
      </c>
      <c r="AC14" s="70">
        <v>94454.119628568529</v>
      </c>
    </row>
    <row r="15" spans="1:29" s="31" customFormat="1" ht="18" customHeight="1" x14ac:dyDescent="0.2">
      <c r="A15" s="366" t="s">
        <v>392</v>
      </c>
      <c r="B15" s="367"/>
      <c r="C15" s="367"/>
      <c r="D15" s="367"/>
      <c r="E15" s="367"/>
      <c r="F15" s="367"/>
      <c r="G15" s="367"/>
      <c r="H15" s="367"/>
      <c r="I15" s="367"/>
      <c r="J15" s="367"/>
      <c r="K15" s="211"/>
      <c r="L15" s="211"/>
      <c r="M15" s="211"/>
      <c r="N15" s="211"/>
      <c r="O15" s="211"/>
      <c r="P15" s="211"/>
      <c r="Q15" s="211">
        <v>98641.968368662594</v>
      </c>
      <c r="R15" s="211">
        <v>78830.032634424468</v>
      </c>
      <c r="S15" s="211">
        <v>88198.702371440988</v>
      </c>
      <c r="T15" s="211">
        <v>91066.009391332453</v>
      </c>
      <c r="U15" s="211">
        <v>97940.646024311034</v>
      </c>
      <c r="V15" s="211">
        <v>77287.198332161206</v>
      </c>
      <c r="W15" s="211">
        <v>90183.409480724527</v>
      </c>
      <c r="X15" s="211">
        <v>100689.71432177605</v>
      </c>
      <c r="Y15" s="211">
        <v>154741.7842661886</v>
      </c>
      <c r="Z15" s="211">
        <v>115897.78489313423</v>
      </c>
      <c r="AA15" s="211">
        <v>126112.56936473382</v>
      </c>
      <c r="AB15" s="211">
        <v>135811.41452779705</v>
      </c>
      <c r="AC15" s="211">
        <v>125952.00197569889</v>
      </c>
    </row>
    <row r="16" spans="1:29" s="31" customFormat="1" ht="18" customHeight="1" x14ac:dyDescent="0.2">
      <c r="A16" s="73"/>
      <c r="B16" s="366" t="s">
        <v>43</v>
      </c>
      <c r="C16" s="367"/>
      <c r="D16" s="367"/>
      <c r="E16" s="367"/>
      <c r="F16" s="367"/>
      <c r="G16" s="367"/>
      <c r="H16" s="367"/>
      <c r="I16" s="367"/>
      <c r="J16" s="367"/>
      <c r="K16" s="211">
        <v>99549.589221451693</v>
      </c>
      <c r="L16" s="211">
        <v>85839.55505279034</v>
      </c>
      <c r="M16" s="211">
        <v>107584.43746800703</v>
      </c>
      <c r="N16" s="211">
        <v>79543.602167638324</v>
      </c>
      <c r="O16" s="211">
        <v>81821.922796087732</v>
      </c>
      <c r="P16" s="211">
        <v>86998.071134443773</v>
      </c>
      <c r="Q16" s="211">
        <v>98475.849255471185</v>
      </c>
      <c r="R16" s="211">
        <v>71843.699618983999</v>
      </c>
      <c r="S16" s="211">
        <v>84519.338002639823</v>
      </c>
      <c r="T16" s="211">
        <v>79275.085463942072</v>
      </c>
      <c r="U16" s="211">
        <v>80225.878308991159</v>
      </c>
      <c r="V16" s="211">
        <v>61761.050474064534</v>
      </c>
      <c r="W16" s="211">
        <v>77361.714816644424</v>
      </c>
      <c r="X16" s="211">
        <v>80402.676891421768</v>
      </c>
      <c r="Y16" s="211">
        <v>120238.99575166455</v>
      </c>
      <c r="Z16" s="211">
        <v>98978.290030563978</v>
      </c>
      <c r="AA16" s="211">
        <v>97647.413318820501</v>
      </c>
      <c r="AB16" s="211">
        <v>108721.6553364384</v>
      </c>
      <c r="AC16" s="211">
        <v>103253.6337054233</v>
      </c>
    </row>
    <row r="17" spans="1:29" s="31" customFormat="1" ht="18" customHeight="1" x14ac:dyDescent="0.2">
      <c r="A17" s="212"/>
      <c r="B17" s="73"/>
      <c r="C17" s="346" t="s">
        <v>44</v>
      </c>
      <c r="D17" s="347"/>
      <c r="E17" s="347"/>
      <c r="F17" s="347"/>
      <c r="G17" s="347"/>
      <c r="H17" s="347"/>
      <c r="I17" s="347"/>
      <c r="J17" s="347"/>
      <c r="K17" s="68">
        <v>42898.433248485897</v>
      </c>
      <c r="L17" s="68">
        <v>31940.799396681752</v>
      </c>
      <c r="M17" s="68">
        <v>45382.283664356968</v>
      </c>
      <c r="N17" s="68">
        <v>35599.033954071703</v>
      </c>
      <c r="O17" s="68">
        <v>35379.122975109618</v>
      </c>
      <c r="P17" s="68">
        <v>33642.349533974309</v>
      </c>
      <c r="Q17" s="68">
        <v>38773.535154456957</v>
      </c>
      <c r="R17" s="68">
        <v>30799.825862530779</v>
      </c>
      <c r="S17" s="68">
        <v>34217.128518278078</v>
      </c>
      <c r="T17" s="68">
        <v>31597.508456762007</v>
      </c>
      <c r="U17" s="68">
        <v>32314.53403439614</v>
      </c>
      <c r="V17" s="68">
        <v>27540.421049319913</v>
      </c>
      <c r="W17" s="68">
        <v>32556.795423428597</v>
      </c>
      <c r="X17" s="68">
        <v>33148.952069808045</v>
      </c>
      <c r="Y17" s="68">
        <v>46480.757895361523</v>
      </c>
      <c r="Z17" s="68">
        <v>37860.772104006661</v>
      </c>
      <c r="AA17" s="68">
        <v>38283.628735404709</v>
      </c>
      <c r="AB17" s="68">
        <v>39550.095035179867</v>
      </c>
      <c r="AC17" s="68">
        <v>43926.371530178796</v>
      </c>
    </row>
    <row r="18" spans="1:29" s="31" customFormat="1" ht="18" customHeight="1" x14ac:dyDescent="0.2">
      <c r="A18" s="212"/>
      <c r="B18" s="73"/>
      <c r="C18" s="355" t="s">
        <v>45</v>
      </c>
      <c r="D18" s="356"/>
      <c r="E18" s="356"/>
      <c r="F18" s="356"/>
      <c r="G18" s="356"/>
      <c r="H18" s="356"/>
      <c r="I18" s="356"/>
      <c r="J18" s="356"/>
      <c r="K18" s="69">
        <v>4146.9411041867797</v>
      </c>
      <c r="L18" s="69">
        <v>1530.8257918552035</v>
      </c>
      <c r="M18" s="69">
        <v>3416.6750172076972</v>
      </c>
      <c r="N18" s="69">
        <v>3003.3303120423056</v>
      </c>
      <c r="O18" s="69">
        <v>2801.1511093950949</v>
      </c>
      <c r="P18" s="69">
        <v>2898.2881229448972</v>
      </c>
      <c r="Q18" s="69">
        <v>4012.7171435123346</v>
      </c>
      <c r="R18" s="69">
        <v>2043.7043904647303</v>
      </c>
      <c r="S18" s="69">
        <v>2672.0167407804743</v>
      </c>
      <c r="T18" s="69">
        <v>2006.456865187042</v>
      </c>
      <c r="U18" s="69">
        <v>2732.0629862750366</v>
      </c>
      <c r="V18" s="69">
        <v>2221.1138948880648</v>
      </c>
      <c r="W18" s="69">
        <v>2239.695988690512</v>
      </c>
      <c r="X18" s="69">
        <v>3293.8188056001309</v>
      </c>
      <c r="Y18" s="69">
        <v>4320.8546831690419</v>
      </c>
      <c r="Z18" s="69">
        <v>3008.8257935599763</v>
      </c>
      <c r="AA18" s="69">
        <v>2730.9984167821099</v>
      </c>
      <c r="AB18" s="69">
        <v>3186.3778614607081</v>
      </c>
      <c r="AC18" s="69">
        <v>2747.5854983700483</v>
      </c>
    </row>
    <row r="19" spans="1:29" s="31" customFormat="1" ht="18" customHeight="1" x14ac:dyDescent="0.2">
      <c r="A19" s="212"/>
      <c r="B19" s="73"/>
      <c r="C19" s="355" t="s">
        <v>46</v>
      </c>
      <c r="D19" s="356"/>
      <c r="E19" s="356"/>
      <c r="F19" s="356"/>
      <c r="G19" s="356"/>
      <c r="H19" s="356"/>
      <c r="I19" s="356"/>
      <c r="J19" s="356"/>
      <c r="K19" s="69">
        <v>1786.8805406828699</v>
      </c>
      <c r="L19" s="69">
        <v>511.40648567119149</v>
      </c>
      <c r="M19" s="69">
        <v>1959.2191543015781</v>
      </c>
      <c r="N19" s="69">
        <v>878.62329989019781</v>
      </c>
      <c r="O19" s="69">
        <v>898.92436939680397</v>
      </c>
      <c r="P19" s="69">
        <v>895.31351656013226</v>
      </c>
      <c r="Q19" s="69">
        <v>627.63954292434289</v>
      </c>
      <c r="R19" s="69">
        <v>732.13243607549862</v>
      </c>
      <c r="S19" s="69">
        <v>1261.9998805457419</v>
      </c>
      <c r="T19" s="69">
        <v>666.49668183874644</v>
      </c>
      <c r="U19" s="69">
        <v>1251.2345080005296</v>
      </c>
      <c r="V19" s="69">
        <v>1392.2392823863443</v>
      </c>
      <c r="W19" s="69">
        <v>1292.0354058830496</v>
      </c>
      <c r="X19" s="69">
        <v>740.31683588787109</v>
      </c>
      <c r="Y19" s="69">
        <v>1137.9093391207123</v>
      </c>
      <c r="Z19" s="69"/>
      <c r="AA19" s="69"/>
      <c r="AB19" s="69"/>
      <c r="AC19" s="69"/>
    </row>
    <row r="20" spans="1:29" s="31" customFormat="1" ht="18" customHeight="1" x14ac:dyDescent="0.2">
      <c r="A20" s="212"/>
      <c r="B20" s="73"/>
      <c r="C20" s="355" t="s">
        <v>47</v>
      </c>
      <c r="D20" s="356"/>
      <c r="E20" s="356"/>
      <c r="F20" s="356"/>
      <c r="G20" s="356"/>
      <c r="H20" s="356"/>
      <c r="I20" s="356"/>
      <c r="J20" s="356"/>
      <c r="K20" s="69">
        <v>10057.076274905599</v>
      </c>
      <c r="L20" s="69">
        <v>26041.478129713425</v>
      </c>
      <c r="M20" s="69">
        <v>13663.002492780695</v>
      </c>
      <c r="N20" s="69">
        <v>7829.7710259918704</v>
      </c>
      <c r="O20" s="69">
        <v>10397.690184659308</v>
      </c>
      <c r="P20" s="69">
        <v>11958.658156164682</v>
      </c>
      <c r="Q20" s="69">
        <v>22310.825245687629</v>
      </c>
      <c r="R20" s="69">
        <v>11810.757783830555</v>
      </c>
      <c r="S20" s="69">
        <v>10914.43584580318</v>
      </c>
      <c r="T20" s="69">
        <v>11203.383787754114</v>
      </c>
      <c r="U20" s="69">
        <v>7092.9882813817258</v>
      </c>
      <c r="V20" s="69">
        <v>5587.6010571047136</v>
      </c>
      <c r="W20" s="69">
        <v>9579.3102437282978</v>
      </c>
      <c r="X20" s="69">
        <v>13588.512247680181</v>
      </c>
      <c r="Y20" s="69">
        <v>24474.653023110823</v>
      </c>
      <c r="Z20" s="69">
        <v>16659.75742852363</v>
      </c>
      <c r="AA20" s="69">
        <v>13908.266772214525</v>
      </c>
      <c r="AB20" s="69">
        <v>17239.239223070061</v>
      </c>
      <c r="AC20" s="69">
        <v>12468.680628272252</v>
      </c>
    </row>
    <row r="21" spans="1:29" s="31" customFormat="1" ht="18" customHeight="1" x14ac:dyDescent="0.2">
      <c r="A21" s="212"/>
      <c r="B21" s="73"/>
      <c r="C21" s="355" t="s">
        <v>48</v>
      </c>
      <c r="D21" s="356"/>
      <c r="E21" s="356"/>
      <c r="F21" s="356"/>
      <c r="G21" s="356"/>
      <c r="H21" s="356"/>
      <c r="I21" s="356"/>
      <c r="J21" s="356"/>
      <c r="K21" s="69">
        <v>1804.4948652681501</v>
      </c>
      <c r="L21" s="69">
        <v>1500.3770739064857</v>
      </c>
      <c r="M21" s="69">
        <v>3709.8113464923094</v>
      </c>
      <c r="N21" s="69">
        <v>1026.0281720507621</v>
      </c>
      <c r="O21" s="69">
        <v>1878.7346859748466</v>
      </c>
      <c r="P21" s="69">
        <v>2545.9890581644308</v>
      </c>
      <c r="Q21" s="69">
        <v>2320.711922265928</v>
      </c>
      <c r="R21" s="69">
        <v>1553.1139316306967</v>
      </c>
      <c r="S21" s="69">
        <v>1511.6407701352048</v>
      </c>
      <c r="T21" s="69">
        <v>990.27519188119436</v>
      </c>
      <c r="U21" s="69">
        <v>1506.5671230022456</v>
      </c>
      <c r="V21" s="69">
        <v>929.60845071963081</v>
      </c>
      <c r="W21" s="69">
        <v>1010.0682349384132</v>
      </c>
      <c r="X21" s="69">
        <v>3720.0285729029179</v>
      </c>
      <c r="Y21" s="69">
        <v>4339.1590754736517</v>
      </c>
      <c r="Z21" s="69"/>
      <c r="AA21" s="69"/>
      <c r="AB21" s="69"/>
      <c r="AC21" s="69"/>
    </row>
    <row r="22" spans="1:29" s="31" customFormat="1" ht="18" customHeight="1" x14ac:dyDescent="0.2">
      <c r="A22" s="212"/>
      <c r="B22" s="73"/>
      <c r="C22" s="355" t="s">
        <v>49</v>
      </c>
      <c r="D22" s="356"/>
      <c r="E22" s="356"/>
      <c r="F22" s="356"/>
      <c r="G22" s="356"/>
      <c r="H22" s="356"/>
      <c r="I22" s="356"/>
      <c r="J22" s="356"/>
      <c r="K22" s="69">
        <v>941.65101378039094</v>
      </c>
      <c r="L22" s="69">
        <v>453.43137254901961</v>
      </c>
      <c r="M22" s="69">
        <v>804.29552229309218</v>
      </c>
      <c r="N22" s="69">
        <v>589.39734067101165</v>
      </c>
      <c r="O22" s="69">
        <v>386.10159548360701</v>
      </c>
      <c r="P22" s="69">
        <v>785.82957925890491</v>
      </c>
      <c r="Q22" s="69">
        <v>532.30957398513556</v>
      </c>
      <c r="R22" s="69">
        <v>405.42847071145178</v>
      </c>
      <c r="S22" s="69">
        <v>580.81678566436915</v>
      </c>
      <c r="T22" s="69">
        <v>506.94915604467582</v>
      </c>
      <c r="U22" s="69">
        <v>363.60234327908762</v>
      </c>
      <c r="V22" s="69">
        <v>376.60269192333817</v>
      </c>
      <c r="W22" s="69">
        <v>503.13998398423331</v>
      </c>
      <c r="X22" s="69">
        <v>437.3402122263318</v>
      </c>
      <c r="Y22" s="69">
        <v>836.44563853360251</v>
      </c>
      <c r="Z22" s="69">
        <v>728.32729365015894</v>
      </c>
      <c r="AA22" s="69">
        <v>824.41480308727489</v>
      </c>
      <c r="AB22" s="69">
        <v>496.1860073332673</v>
      </c>
      <c r="AC22" s="69">
        <v>457.6243208535019</v>
      </c>
    </row>
    <row r="23" spans="1:29" s="31" customFormat="1" ht="18" customHeight="1" x14ac:dyDescent="0.2">
      <c r="A23" s="212"/>
      <c r="B23" s="73"/>
      <c r="C23" s="355" t="s">
        <v>50</v>
      </c>
      <c r="D23" s="356"/>
      <c r="E23" s="356"/>
      <c r="F23" s="356"/>
      <c r="G23" s="356"/>
      <c r="H23" s="356"/>
      <c r="I23" s="356"/>
      <c r="J23" s="356"/>
      <c r="K23" s="69">
        <v>1825.27429123146</v>
      </c>
      <c r="L23" s="69">
        <v>1472.8506787330318</v>
      </c>
      <c r="M23" s="69">
        <v>2286.3458903584401</v>
      </c>
      <c r="N23" s="69">
        <v>1325.1167910825109</v>
      </c>
      <c r="O23" s="69">
        <v>1490.4156983297335</v>
      </c>
      <c r="P23" s="69">
        <v>1436.4463324609301</v>
      </c>
      <c r="Q23" s="69">
        <v>989.8640650093123</v>
      </c>
      <c r="R23" s="69">
        <v>870.59953050023137</v>
      </c>
      <c r="S23" s="69">
        <v>1407.6832772540515</v>
      </c>
      <c r="T23" s="69">
        <v>1552.5756407792057</v>
      </c>
      <c r="U23" s="69">
        <v>1005.8167746285728</v>
      </c>
      <c r="V23" s="69">
        <v>1023.3925248002988</v>
      </c>
      <c r="W23" s="69">
        <v>1450.4158595680942</v>
      </c>
      <c r="X23" s="69">
        <v>1417.5054553087411</v>
      </c>
      <c r="Y23" s="69">
        <v>1786.3861690193405</v>
      </c>
      <c r="Z23" s="69">
        <v>1440.432423913353</v>
      </c>
      <c r="AA23" s="69">
        <v>1425.2239263803681</v>
      </c>
      <c r="AB23" s="69">
        <v>1221.0627291646022</v>
      </c>
      <c r="AC23" s="69">
        <v>1037.120616418058</v>
      </c>
    </row>
    <row r="24" spans="1:29" s="31" customFormat="1" ht="18" customHeight="1" x14ac:dyDescent="0.2">
      <c r="A24" s="212"/>
      <c r="B24" s="73"/>
      <c r="C24" s="355" t="s">
        <v>41</v>
      </c>
      <c r="D24" s="356"/>
      <c r="E24" s="356"/>
      <c r="F24" s="356"/>
      <c r="G24" s="356"/>
      <c r="H24" s="356"/>
      <c r="I24" s="356"/>
      <c r="J24" s="356"/>
      <c r="K24" s="69">
        <v>3769.78934433424</v>
      </c>
      <c r="L24" s="69">
        <v>3970.1168929110104</v>
      </c>
      <c r="M24" s="69">
        <v>5323.7324798410227</v>
      </c>
      <c r="N24" s="69">
        <v>3405.5187346645857</v>
      </c>
      <c r="O24" s="69">
        <v>2944.7607665671981</v>
      </c>
      <c r="P24" s="69">
        <v>3484.4360103080453</v>
      </c>
      <c r="Q24" s="69">
        <v>4189.1758036531792</v>
      </c>
      <c r="R24" s="69">
        <v>2670.5788717634482</v>
      </c>
      <c r="S24" s="69">
        <v>3148.2151366605331</v>
      </c>
      <c r="T24" s="69">
        <v>3206.2567845918134</v>
      </c>
      <c r="U24" s="69">
        <v>4272.8838576631124</v>
      </c>
      <c r="V24" s="69">
        <v>3193.2856700092698</v>
      </c>
      <c r="W24" s="69">
        <v>3271.8982539648305</v>
      </c>
      <c r="X24" s="69">
        <v>3747.0825713321497</v>
      </c>
      <c r="Y24" s="69">
        <v>3967.2130644014514</v>
      </c>
      <c r="Z24" s="69">
        <v>3939.5428987185273</v>
      </c>
      <c r="AA24" s="69">
        <v>4921.5600633287158</v>
      </c>
      <c r="AB24" s="69">
        <v>5166.8874244376175</v>
      </c>
      <c r="AC24" s="69">
        <v>4374.6750963153218</v>
      </c>
    </row>
    <row r="25" spans="1:29" s="31" customFormat="1" ht="18" customHeight="1" x14ac:dyDescent="0.2">
      <c r="A25" s="212"/>
      <c r="B25" s="73"/>
      <c r="C25" s="355" t="s">
        <v>51</v>
      </c>
      <c r="D25" s="356"/>
      <c r="E25" s="356"/>
      <c r="F25" s="356"/>
      <c r="G25" s="356"/>
      <c r="H25" s="356"/>
      <c r="I25" s="356"/>
      <c r="J25" s="356"/>
      <c r="K25" s="69"/>
      <c r="L25" s="69">
        <v>35.350678733031671</v>
      </c>
      <c r="M25" s="69">
        <v>250.27915679300156</v>
      </c>
      <c r="N25" s="69">
        <v>38.737760823399327</v>
      </c>
      <c r="O25" s="69">
        <v>77.180721127631145</v>
      </c>
      <c r="P25" s="69">
        <v>140.20774421315758</v>
      </c>
      <c r="Q25" s="69">
        <v>83.434594068652231</v>
      </c>
      <c r="R25" s="69">
        <v>53.451206560055162</v>
      </c>
      <c r="S25" s="69">
        <v>55.160561481678464</v>
      </c>
      <c r="T25" s="69">
        <v>70.334335465039686</v>
      </c>
      <c r="U25" s="69">
        <v>60.09555543028327</v>
      </c>
      <c r="V25" s="69">
        <v>37.431542159109789</v>
      </c>
      <c r="W25" s="69">
        <v>102.9904733684739</v>
      </c>
      <c r="X25" s="69">
        <v>171.96167643311645</v>
      </c>
      <c r="Y25" s="69">
        <v>313.07543283119782</v>
      </c>
      <c r="Z25" s="69">
        <v>82.79769789835818</v>
      </c>
      <c r="AA25" s="69">
        <v>174.85018800712447</v>
      </c>
      <c r="AB25" s="69">
        <v>118.142899613517</v>
      </c>
      <c r="AC25" s="69">
        <v>115.38674306035759</v>
      </c>
    </row>
    <row r="26" spans="1:29" s="31" customFormat="1" ht="18" customHeight="1" x14ac:dyDescent="0.2">
      <c r="A26" s="212"/>
      <c r="B26" s="73"/>
      <c r="C26" s="355" t="s">
        <v>52</v>
      </c>
      <c r="D26" s="356"/>
      <c r="E26" s="356"/>
      <c r="F26" s="356"/>
      <c r="G26" s="356"/>
      <c r="H26" s="356"/>
      <c r="I26" s="356"/>
      <c r="J26" s="356"/>
      <c r="K26" s="69">
        <v>3183.7031510576703</v>
      </c>
      <c r="L26" s="69">
        <v>2459.087481146305</v>
      </c>
      <c r="M26" s="69">
        <v>3369.2900636292279</v>
      </c>
      <c r="N26" s="69">
        <v>2563.7014034342192</v>
      </c>
      <c r="O26" s="69">
        <v>2521.4611060173111</v>
      </c>
      <c r="P26" s="69">
        <v>2737.0572463684257</v>
      </c>
      <c r="Q26" s="69">
        <v>3039.7685248601833</v>
      </c>
      <c r="R26" s="69">
        <v>2455.3274072316049</v>
      </c>
      <c r="S26" s="69">
        <v>2154.0389913849262</v>
      </c>
      <c r="T26" s="69">
        <v>2462.1222279923754</v>
      </c>
      <c r="U26" s="69">
        <v>2235.2977049547612</v>
      </c>
      <c r="V26" s="69">
        <v>2291.2879684162754</v>
      </c>
      <c r="W26" s="69">
        <v>2506.6371328973378</v>
      </c>
      <c r="X26" s="69">
        <v>2361.4406604279766</v>
      </c>
      <c r="Y26" s="69">
        <v>2532.0200316860128</v>
      </c>
      <c r="Z26" s="69">
        <v>2627.0148905251081</v>
      </c>
      <c r="AA26" s="69">
        <v>3345.5711458539477</v>
      </c>
      <c r="AB26" s="69">
        <v>3162.2055296799126</v>
      </c>
      <c r="AC26" s="69">
        <v>2886.7608416477328</v>
      </c>
    </row>
    <row r="27" spans="1:29" s="31" customFormat="1" ht="18" customHeight="1" x14ac:dyDescent="0.2">
      <c r="A27" s="214"/>
      <c r="B27" s="74"/>
      <c r="C27" s="348" t="s">
        <v>53</v>
      </c>
      <c r="D27" s="349"/>
      <c r="E27" s="349"/>
      <c r="F27" s="349"/>
      <c r="G27" s="349"/>
      <c r="H27" s="349"/>
      <c r="I27" s="349"/>
      <c r="J27" s="349"/>
      <c r="K27" s="210">
        <v>29135.345387518701</v>
      </c>
      <c r="L27" s="210">
        <v>15923.736802413274</v>
      </c>
      <c r="M27" s="210">
        <v>27419.502679953344</v>
      </c>
      <c r="N27" s="210">
        <v>23284.343372915682</v>
      </c>
      <c r="O27" s="210">
        <v>23046.379584026519</v>
      </c>
      <c r="P27" s="210">
        <v>26473.495834025889</v>
      </c>
      <c r="Q27" s="210">
        <v>21595.867685047531</v>
      </c>
      <c r="R27" s="210">
        <v>18448.779727684952</v>
      </c>
      <c r="S27" s="210">
        <v>26596.201494651599</v>
      </c>
      <c r="T27" s="210">
        <v>25012.726335645846</v>
      </c>
      <c r="U27" s="210">
        <v>27390.795139979677</v>
      </c>
      <c r="V27" s="210">
        <v>17168.066342337603</v>
      </c>
      <c r="W27" s="210">
        <v>22848.727816192604</v>
      </c>
      <c r="X27" s="210">
        <v>17775.717783814289</v>
      </c>
      <c r="Y27" s="210">
        <v>30050.521398957226</v>
      </c>
      <c r="Z27" s="210">
        <v>32630.8194997682</v>
      </c>
      <c r="AA27" s="210">
        <v>32032.899267761721</v>
      </c>
      <c r="AB27" s="210">
        <v>38581.458626498861</v>
      </c>
      <c r="AC27" s="210">
        <v>35239.428430307235</v>
      </c>
    </row>
    <row r="28" spans="1:29" s="31" customFormat="1" ht="18" customHeight="1" x14ac:dyDescent="0.2">
      <c r="A28" s="359" t="s">
        <v>69</v>
      </c>
      <c r="B28" s="360"/>
      <c r="C28" s="360"/>
      <c r="D28" s="360"/>
      <c r="E28" s="360"/>
      <c r="F28" s="360"/>
      <c r="G28" s="360"/>
      <c r="H28" s="360"/>
      <c r="I28" s="360"/>
      <c r="J28" s="360"/>
      <c r="K28" s="71"/>
      <c r="L28" s="71"/>
      <c r="M28" s="71"/>
      <c r="N28" s="71"/>
      <c r="O28" s="71"/>
      <c r="P28" s="71"/>
      <c r="Q28" s="71">
        <v>166.11911319139099</v>
      </c>
      <c r="R28" s="71">
        <v>6986.3330154404603</v>
      </c>
      <c r="S28" s="71">
        <v>3679.3643688011598</v>
      </c>
      <c r="T28" s="71">
        <v>11790.923927390375</v>
      </c>
      <c r="U28" s="71">
        <v>17714.767715319871</v>
      </c>
      <c r="V28" s="71">
        <v>15526.147858096676</v>
      </c>
      <c r="W28" s="71">
        <v>12821.694664080098</v>
      </c>
      <c r="X28" s="71">
        <v>20287.037430354289</v>
      </c>
      <c r="Y28" s="71">
        <v>34502.788514524043</v>
      </c>
      <c r="Z28" s="71">
        <v>16919.494862570296</v>
      </c>
      <c r="AA28" s="71">
        <v>28465.156045913322</v>
      </c>
      <c r="AB28" s="71">
        <v>27089.759092260432</v>
      </c>
      <c r="AC28" s="71">
        <v>22698.368270275609</v>
      </c>
    </row>
    <row r="29" spans="1:29" s="31" customFormat="1" ht="18" customHeight="1" x14ac:dyDescent="0.2">
      <c r="A29" s="357" t="s">
        <v>54</v>
      </c>
      <c r="B29" s="358"/>
      <c r="C29" s="358"/>
      <c r="D29" s="358"/>
      <c r="E29" s="358"/>
      <c r="F29" s="358"/>
      <c r="G29" s="358"/>
      <c r="H29" s="358"/>
      <c r="I29" s="358"/>
      <c r="J29" s="358"/>
      <c r="K29" s="188">
        <v>-395.84569472483105</v>
      </c>
      <c r="L29" s="188">
        <v>4061.2745098039218</v>
      </c>
      <c r="M29" s="188">
        <v>879.03762678713713</v>
      </c>
      <c r="N29" s="188">
        <v>4133.1669667349297</v>
      </c>
      <c r="O29" s="188">
        <v>1019.980687419922</v>
      </c>
      <c r="P29" s="188">
        <v>-215.0692177005852</v>
      </c>
      <c r="Q29" s="188">
        <v>2536.7305765576252</v>
      </c>
      <c r="R29" s="188">
        <v>-752.13698175974321</v>
      </c>
      <c r="S29" s="188">
        <v>2583.2954320954382</v>
      </c>
      <c r="T29" s="188">
        <v>1941.7484318855018</v>
      </c>
      <c r="U29" s="188">
        <v>1510.8787765511479</v>
      </c>
      <c r="V29" s="188">
        <v>1250.1996705404117</v>
      </c>
      <c r="W29" s="188">
        <v>2179.218638925423</v>
      </c>
      <c r="X29" s="188">
        <v>1689.3158003891567</v>
      </c>
      <c r="Y29" s="188">
        <v>363.07088574398506</v>
      </c>
      <c r="Z29" s="188">
        <v>9453.9003434312872</v>
      </c>
      <c r="AA29" s="188">
        <v>4244.8250544231141</v>
      </c>
      <c r="AB29" s="188">
        <v>4027.9350906748582</v>
      </c>
      <c r="AC29" s="188">
        <v>5944.5632717573844</v>
      </c>
    </row>
    <row r="30" spans="1:29" s="31" customFormat="1" ht="18" customHeight="1" x14ac:dyDescent="0.2">
      <c r="A30" s="212"/>
      <c r="B30" s="359" t="s">
        <v>55</v>
      </c>
      <c r="C30" s="360"/>
      <c r="D30" s="360"/>
      <c r="E30" s="360"/>
      <c r="F30" s="360"/>
      <c r="G30" s="360"/>
      <c r="H30" s="360"/>
      <c r="I30" s="360"/>
      <c r="J30" s="360"/>
      <c r="K30" s="71">
        <v>8829.9429474238605</v>
      </c>
      <c r="L30" s="71">
        <v>9064.1025641025644</v>
      </c>
      <c r="M30" s="71">
        <v>10314.774905875445</v>
      </c>
      <c r="N30" s="71">
        <v>10106.268830967278</v>
      </c>
      <c r="O30" s="71">
        <v>7969.9678455094618</v>
      </c>
      <c r="P30" s="71">
        <v>6519.9633490711885</v>
      </c>
      <c r="Q30" s="71">
        <v>9486.5934764263638</v>
      </c>
      <c r="R30" s="71">
        <v>7332.2000220539312</v>
      </c>
      <c r="S30" s="71">
        <v>8441.4223291973522</v>
      </c>
      <c r="T30" s="71">
        <v>7530.0982789950949</v>
      </c>
      <c r="U30" s="71">
        <v>7511.963186869436</v>
      </c>
      <c r="V30" s="71">
        <v>4743.2427811894022</v>
      </c>
      <c r="W30" s="71">
        <v>5545.7308961000372</v>
      </c>
      <c r="X30" s="71">
        <v>6487.5942196163751</v>
      </c>
      <c r="Y30" s="71">
        <v>7965.8499887685357</v>
      </c>
      <c r="Z30" s="71">
        <v>14571.435696372588</v>
      </c>
      <c r="AA30" s="71">
        <v>9018.1211161686133</v>
      </c>
      <c r="AB30" s="71">
        <v>9986.027053810325</v>
      </c>
      <c r="AC30" s="71">
        <v>9935.7149066482252</v>
      </c>
    </row>
    <row r="31" spans="1:29" s="31" customFormat="1" ht="18" customHeight="1" x14ac:dyDescent="0.2">
      <c r="A31" s="212"/>
      <c r="B31" s="357" t="s">
        <v>56</v>
      </c>
      <c r="C31" s="358"/>
      <c r="D31" s="358"/>
      <c r="E31" s="358"/>
      <c r="F31" s="358"/>
      <c r="G31" s="358"/>
      <c r="H31" s="358"/>
      <c r="I31" s="358"/>
      <c r="J31" s="358"/>
      <c r="K31" s="188">
        <v>9225.7886421487001</v>
      </c>
      <c r="L31" s="188">
        <v>5002.8280542986431</v>
      </c>
      <c r="M31" s="188">
        <v>9435.7372790882873</v>
      </c>
      <c r="N31" s="188">
        <v>5973.1018642323488</v>
      </c>
      <c r="O31" s="188">
        <v>6949.9871580895397</v>
      </c>
      <c r="P31" s="188">
        <v>6735.0325667717716</v>
      </c>
      <c r="Q31" s="188">
        <v>6949.8628998687373</v>
      </c>
      <c r="R31" s="188">
        <v>8084.3370038136745</v>
      </c>
      <c r="S31" s="188">
        <v>5858.126897101909</v>
      </c>
      <c r="T31" s="188">
        <v>5588.3498471095891</v>
      </c>
      <c r="U31" s="188">
        <v>6001.0844103182862</v>
      </c>
      <c r="V31" s="188">
        <v>3493.0431106489855</v>
      </c>
      <c r="W31" s="188">
        <v>3366.5122571746138</v>
      </c>
      <c r="X31" s="188">
        <v>4798.2784192272211</v>
      </c>
      <c r="Y31" s="188">
        <v>7602.7791030245444</v>
      </c>
      <c r="Z31" s="188">
        <v>5117.5353529412941</v>
      </c>
      <c r="AA31" s="188">
        <v>4773.2960617454974</v>
      </c>
      <c r="AB31" s="188">
        <v>5958.0919631354673</v>
      </c>
      <c r="AC31" s="188">
        <v>3991.1516348908426</v>
      </c>
    </row>
    <row r="32" spans="1:29" s="31" customFormat="1" ht="18" customHeight="1" x14ac:dyDescent="0.2">
      <c r="A32" s="212"/>
      <c r="B32" s="73"/>
      <c r="C32" s="346" t="s">
        <v>57</v>
      </c>
      <c r="D32" s="347"/>
      <c r="E32" s="347"/>
      <c r="F32" s="347"/>
      <c r="G32" s="347"/>
      <c r="H32" s="347"/>
      <c r="I32" s="347"/>
      <c r="J32" s="347"/>
      <c r="K32" s="68">
        <v>5129.2074080575803</v>
      </c>
      <c r="L32" s="68">
        <v>3844.7398190045246</v>
      </c>
      <c r="M32" s="68">
        <v>5882.9227829945903</v>
      </c>
      <c r="N32" s="68">
        <v>4097.0158089670667</v>
      </c>
      <c r="O32" s="68">
        <v>4688.7126595849304</v>
      </c>
      <c r="P32" s="68">
        <v>4345.2234624057392</v>
      </c>
      <c r="Q32" s="68">
        <v>4929.3703505684216</v>
      </c>
      <c r="R32" s="68">
        <v>2668.431582655749</v>
      </c>
      <c r="S32" s="68">
        <v>3519.1551938392327</v>
      </c>
      <c r="T32" s="68">
        <v>3247.5897703952278</v>
      </c>
      <c r="U32" s="68">
        <v>3797.4587712776042</v>
      </c>
      <c r="V32" s="68">
        <v>2101.805251888909</v>
      </c>
      <c r="W32" s="68">
        <v>2103.7026193013185</v>
      </c>
      <c r="X32" s="68">
        <v>2120.2264464234577</v>
      </c>
      <c r="Y32" s="68">
        <v>2149.2465470917323</v>
      </c>
      <c r="Z32" s="68">
        <v>1865.0703585820384</v>
      </c>
      <c r="AA32" s="68">
        <v>2199.1773204037204</v>
      </c>
      <c r="AB32" s="68">
        <v>3039.2615201664848</v>
      </c>
      <c r="AC32" s="68">
        <v>2072.7888965721622</v>
      </c>
    </row>
    <row r="33" spans="1:29" s="31" customFormat="1" ht="18" customHeight="1" x14ac:dyDescent="0.2">
      <c r="A33" s="212"/>
      <c r="B33" s="73"/>
      <c r="C33" s="363" t="s">
        <v>58</v>
      </c>
      <c r="D33" s="364"/>
      <c r="E33" s="364"/>
      <c r="F33" s="364"/>
      <c r="G33" s="364"/>
      <c r="H33" s="364"/>
      <c r="I33" s="364"/>
      <c r="J33" s="364"/>
      <c r="K33" s="210">
        <v>4096.5812340911098</v>
      </c>
      <c r="L33" s="210">
        <v>1158.0882352941178</v>
      </c>
      <c r="M33" s="210">
        <v>3552.8144960937075</v>
      </c>
      <c r="N33" s="210">
        <v>1876.0860552652812</v>
      </c>
      <c r="O33" s="210">
        <v>2261.2744985046002</v>
      </c>
      <c r="P33" s="210">
        <v>2389.8091043660315</v>
      </c>
      <c r="Q33" s="210">
        <v>2020.4925493003159</v>
      </c>
      <c r="R33" s="210">
        <v>5415.9054211579269</v>
      </c>
      <c r="S33" s="210">
        <v>2338.97170326268</v>
      </c>
      <c r="T33" s="210">
        <v>2340.7600767143649</v>
      </c>
      <c r="U33" s="210">
        <v>2203.6256390406816</v>
      </c>
      <c r="V33" s="210">
        <v>1391.2378587600788</v>
      </c>
      <c r="W33" s="210">
        <v>1262.8096378732969</v>
      </c>
      <c r="X33" s="210">
        <v>2678.0519728037657</v>
      </c>
      <c r="Y33" s="210">
        <v>5453.5325559328121</v>
      </c>
      <c r="Z33" s="210">
        <v>3252.4649943592558</v>
      </c>
      <c r="AA33" s="210">
        <v>2574.118741341777</v>
      </c>
      <c r="AB33" s="210">
        <v>2918.8304429689824</v>
      </c>
      <c r="AC33" s="210">
        <v>1918.3627383186804</v>
      </c>
    </row>
    <row r="34" spans="1:29" s="31" customFormat="1" ht="18" customHeight="1" x14ac:dyDescent="0.2">
      <c r="A34" s="359" t="s">
        <v>59</v>
      </c>
      <c r="B34" s="360"/>
      <c r="C34" s="360"/>
      <c r="D34" s="360"/>
      <c r="E34" s="360"/>
      <c r="F34" s="360"/>
      <c r="G34" s="360"/>
      <c r="H34" s="360"/>
      <c r="I34" s="360"/>
      <c r="J34" s="365"/>
      <c r="K34" s="218">
        <v>13674.265777231602</v>
      </c>
      <c r="L34" s="218">
        <v>16694.570135746606</v>
      </c>
      <c r="M34" s="218">
        <v>9079.0707428644273</v>
      </c>
      <c r="N34" s="218">
        <v>3082.2768024796655</v>
      </c>
      <c r="O34" s="218">
        <v>6865.6097148884965</v>
      </c>
      <c r="P34" s="218">
        <v>1369.1385894512221</v>
      </c>
      <c r="Q34" s="218">
        <v>2702.8496897490108</v>
      </c>
      <c r="R34" s="218">
        <v>6234.1960336807178</v>
      </c>
      <c r="S34" s="218">
        <v>6262.6598008963583</v>
      </c>
      <c r="T34" s="218">
        <v>13732.672359275977</v>
      </c>
      <c r="U34" s="218">
        <v>19225.646491871281</v>
      </c>
      <c r="V34" s="218">
        <v>16776.347528637059</v>
      </c>
      <c r="W34" s="218">
        <v>15000.913303005145</v>
      </c>
      <c r="X34" s="218">
        <v>21976.353230743764</v>
      </c>
      <c r="Y34" s="218">
        <v>34865.859400268091</v>
      </c>
      <c r="Z34" s="218">
        <v>26373.395206001584</v>
      </c>
      <c r="AA34" s="218">
        <v>32709.981100336434</v>
      </c>
      <c r="AB34" s="218">
        <v>31117.694282033495</v>
      </c>
      <c r="AC34" s="218">
        <v>28642.931542032995</v>
      </c>
    </row>
    <row r="35" spans="1:29" s="31" customFormat="1" ht="18" customHeight="1" x14ac:dyDescent="0.2">
      <c r="A35" s="353" t="s">
        <v>60</v>
      </c>
      <c r="B35" s="354"/>
      <c r="C35" s="354"/>
      <c r="D35" s="354"/>
      <c r="E35" s="354"/>
      <c r="F35" s="354"/>
      <c r="G35" s="354"/>
      <c r="H35" s="354"/>
      <c r="I35" s="354"/>
      <c r="J35" s="354"/>
      <c r="K35" s="219"/>
      <c r="L35" s="219"/>
      <c r="M35" s="219"/>
      <c r="N35" s="219"/>
      <c r="O35" s="219">
        <v>7333.7279586571376</v>
      </c>
      <c r="P35" s="219">
        <v>6305.9227883158737</v>
      </c>
      <c r="Q35" s="219">
        <v>3534.5259086850315</v>
      </c>
      <c r="R35" s="219">
        <v>3225.8805418007569</v>
      </c>
      <c r="S35" s="219">
        <v>2646.7236218875551</v>
      </c>
      <c r="T35" s="219">
        <v>3601.7455503336373</v>
      </c>
      <c r="U35" s="219">
        <v>2010.3266894926132</v>
      </c>
      <c r="V35" s="219">
        <v>2755.7307077159212</v>
      </c>
      <c r="W35" s="219">
        <v>3000.7479135047251</v>
      </c>
      <c r="X35" s="219">
        <v>6285.3141900660712</v>
      </c>
      <c r="Y35" s="219">
        <v>7377.4599440768288</v>
      </c>
      <c r="Z35" s="219"/>
      <c r="AA35" s="219"/>
      <c r="AB35" s="219"/>
      <c r="AC35" s="219"/>
    </row>
    <row r="36" spans="1:29" s="31" customFormat="1" ht="18" customHeight="1" x14ac:dyDescent="0.2">
      <c r="A36" s="370" t="s">
        <v>61</v>
      </c>
      <c r="B36" s="371"/>
      <c r="C36" s="371"/>
      <c r="D36" s="371"/>
      <c r="E36" s="371"/>
      <c r="F36" s="371"/>
      <c r="G36" s="371"/>
      <c r="H36" s="371"/>
      <c r="I36" s="371"/>
      <c r="J36" s="371"/>
      <c r="K36" s="220"/>
      <c r="L36" s="220"/>
      <c r="M36" s="220"/>
      <c r="N36" s="220"/>
      <c r="O36" s="220">
        <v>7626.8739957617845</v>
      </c>
      <c r="P36" s="220">
        <v>4985.8921290797898</v>
      </c>
      <c r="Q36" s="220">
        <v>4562.5974289965297</v>
      </c>
      <c r="R36" s="220">
        <v>5151.6777600648693</v>
      </c>
      <c r="S36" s="220">
        <v>6520.474360697066</v>
      </c>
      <c r="T36" s="220">
        <v>5230.2477935984516</v>
      </c>
      <c r="U36" s="220">
        <v>4189.1142478313723</v>
      </c>
      <c r="V36" s="220">
        <v>4171.1543977619713</v>
      </c>
      <c r="W36" s="220">
        <v>4244.9628934153252</v>
      </c>
      <c r="X36" s="220">
        <v>6738.8490793888741</v>
      </c>
      <c r="Y36" s="220">
        <v>5959.2344450003611</v>
      </c>
      <c r="Z36" s="220"/>
      <c r="AA36" s="220"/>
      <c r="AB36" s="220"/>
      <c r="AC36" s="220"/>
    </row>
    <row r="37" spans="1:29" s="31" customFormat="1" ht="18" customHeight="1" x14ac:dyDescent="0.2">
      <c r="A37" s="359" t="s">
        <v>62</v>
      </c>
      <c r="B37" s="360"/>
      <c r="C37" s="360"/>
      <c r="D37" s="360"/>
      <c r="E37" s="360"/>
      <c r="F37" s="360"/>
      <c r="G37" s="360"/>
      <c r="H37" s="360"/>
      <c r="I37" s="360"/>
      <c r="J37" s="360"/>
      <c r="K37" s="71">
        <v>12522.377775827299</v>
      </c>
      <c r="L37" s="71">
        <v>7446.8325791855204</v>
      </c>
      <c r="M37" s="71">
        <v>9053.9824026372298</v>
      </c>
      <c r="N37" s="71">
        <v>5219.9508227011302</v>
      </c>
      <c r="O37" s="71">
        <v>6572.4636777838605</v>
      </c>
      <c r="P37" s="71">
        <v>2689.1692486873048</v>
      </c>
      <c r="Q37" s="71">
        <v>1674.7781694375244</v>
      </c>
      <c r="R37" s="71">
        <v>4308.3988154166045</v>
      </c>
      <c r="S37" s="71">
        <v>2388.9090620868492</v>
      </c>
      <c r="T37" s="71">
        <v>12104.170116011161</v>
      </c>
      <c r="U37" s="71">
        <v>17046.858933532509</v>
      </c>
      <c r="V37" s="71">
        <v>15360.923838591005</v>
      </c>
      <c r="W37" s="71">
        <v>13756.698323094546</v>
      </c>
      <c r="X37" s="71">
        <v>21522.818341420952</v>
      </c>
      <c r="Y37" s="71">
        <v>36284.084899344569</v>
      </c>
      <c r="Z37" s="71">
        <v>22331.15762771514</v>
      </c>
      <c r="AA37" s="71">
        <v>31388.769542845836</v>
      </c>
      <c r="AB37" s="71">
        <v>28103.30284411852</v>
      </c>
      <c r="AC37" s="71">
        <v>26583.181369159338</v>
      </c>
    </row>
    <row r="38" spans="1:29" s="31" customFormat="1" ht="18" customHeight="1" x14ac:dyDescent="0.2">
      <c r="A38" s="361" t="s">
        <v>63</v>
      </c>
      <c r="B38" s="362"/>
      <c r="C38" s="362"/>
      <c r="D38" s="362"/>
      <c r="E38" s="362"/>
      <c r="F38" s="362"/>
      <c r="G38" s="362"/>
      <c r="H38" s="362"/>
      <c r="I38" s="362"/>
      <c r="J38" s="362"/>
      <c r="K38" s="218">
        <v>8068.5359431229699</v>
      </c>
      <c r="L38" s="218">
        <v>3795.9087481146307</v>
      </c>
      <c r="M38" s="218">
        <v>1941.7759394961477</v>
      </c>
      <c r="N38" s="218">
        <v>-840.99770914266651</v>
      </c>
      <c r="O38" s="218">
        <v>2483.6581056210766</v>
      </c>
      <c r="P38" s="218">
        <v>-777.02789697397793</v>
      </c>
      <c r="Q38" s="218">
        <v>-1550.9490888707821</v>
      </c>
      <c r="R38" s="218">
        <v>1148.6573494731438</v>
      </c>
      <c r="S38" s="218">
        <v>-4829.2269687239641</v>
      </c>
      <c r="T38" s="218">
        <v>8879.5262784086972</v>
      </c>
      <c r="U38" s="218">
        <v>10769.538842515687</v>
      </c>
      <c r="V38" s="218">
        <v>9945.3613190129781</v>
      </c>
      <c r="W38" s="218">
        <v>8727.024691697301</v>
      </c>
      <c r="X38" s="218">
        <v>14663.948992896116</v>
      </c>
      <c r="Y38" s="218">
        <v>26813.732660714802</v>
      </c>
      <c r="Z38" s="218">
        <v>15306.307977942914</v>
      </c>
      <c r="AA38" s="218">
        <v>21779.970017811203</v>
      </c>
      <c r="AB38" s="218">
        <v>18426.199484689329</v>
      </c>
      <c r="AC38" s="218">
        <v>18104.31176528697</v>
      </c>
    </row>
    <row r="39" spans="1:29"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row>
    <row r="40" spans="1:29"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row>
    <row r="41" spans="1:29" s="31" customFormat="1" ht="18" customHeight="1" x14ac:dyDescent="0.2">
      <c r="A41" s="208" t="s">
        <v>26</v>
      </c>
      <c r="B41" s="343" t="s">
        <v>68</v>
      </c>
      <c r="C41" s="343"/>
      <c r="D41" s="343"/>
      <c r="E41" s="343"/>
      <c r="F41" s="343"/>
      <c r="G41" s="343"/>
      <c r="H41" s="343"/>
      <c r="I41" s="343"/>
      <c r="J41" s="343"/>
      <c r="K41" s="71">
        <f t="shared" ref="K41:Q41" si="0">+K6-K8</f>
        <v>113619.71737031499</v>
      </c>
      <c r="L41" s="71">
        <f>+L6-L8</f>
        <v>98472.850678733026</v>
      </c>
      <c r="M41" s="71">
        <f t="shared" si="0"/>
        <v>115784.47058408416</v>
      </c>
      <c r="N41" s="71">
        <f t="shared" si="0"/>
        <v>78492.71200338233</v>
      </c>
      <c r="O41" s="71">
        <f t="shared" si="0"/>
        <v>87667.551823555375</v>
      </c>
      <c r="P41" s="71">
        <f t="shared" si="0"/>
        <v>88582.278941595519</v>
      </c>
      <c r="Q41" s="71">
        <f t="shared" si="0"/>
        <v>98641.968368662812</v>
      </c>
      <c r="R41" s="71">
        <f t="shared" ref="R41:AC41" si="1">R15</f>
        <v>78830.032634424468</v>
      </c>
      <c r="S41" s="71">
        <f t="shared" si="1"/>
        <v>88198.702371440988</v>
      </c>
      <c r="T41" s="71">
        <f t="shared" si="1"/>
        <v>91066.009391332453</v>
      </c>
      <c r="U41" s="71">
        <f t="shared" si="1"/>
        <v>97940.646024311034</v>
      </c>
      <c r="V41" s="71">
        <f t="shared" si="1"/>
        <v>77287.198332161206</v>
      </c>
      <c r="W41" s="71">
        <f t="shared" ref="W41:X41" si="2">W15</f>
        <v>90183.409480724527</v>
      </c>
      <c r="X41" s="71">
        <f t="shared" si="2"/>
        <v>100689.71432177605</v>
      </c>
      <c r="Y41" s="71">
        <f t="shared" ref="Y41:Z41" si="3">Y15</f>
        <v>154741.7842661886</v>
      </c>
      <c r="Z41" s="71">
        <f t="shared" si="3"/>
        <v>115897.78489313423</v>
      </c>
      <c r="AA41" s="71">
        <f t="shared" ref="AA41:AB41" si="4">AA15</f>
        <v>126112.56936473382</v>
      </c>
      <c r="AB41" s="71">
        <f t="shared" si="4"/>
        <v>135811.41452779705</v>
      </c>
      <c r="AC41" s="71">
        <f t="shared" si="1"/>
        <v>125952.00197569889</v>
      </c>
    </row>
    <row r="42" spans="1:29" s="31" customFormat="1" ht="18" customHeight="1" x14ac:dyDescent="0.2">
      <c r="A42" s="208" t="s">
        <v>27</v>
      </c>
      <c r="B42" s="343" t="s">
        <v>69</v>
      </c>
      <c r="C42" s="343"/>
      <c r="D42" s="343"/>
      <c r="E42" s="343"/>
      <c r="F42" s="343"/>
      <c r="G42" s="343"/>
      <c r="H42" s="343"/>
      <c r="I42" s="343"/>
      <c r="J42" s="343"/>
      <c r="K42" s="71">
        <f t="shared" ref="K42:P42" si="5">+K6-K7</f>
        <v>14070.128148863034</v>
      </c>
      <c r="L42" s="71">
        <f t="shared" si="5"/>
        <v>12633.295625942701</v>
      </c>
      <c r="M42" s="71">
        <f t="shared" si="5"/>
        <v>8200.0331160771311</v>
      </c>
      <c r="N42" s="71">
        <f t="shared" si="5"/>
        <v>-1050.8901642554556</v>
      </c>
      <c r="O42" s="71">
        <f t="shared" si="5"/>
        <v>5845.6290274688508</v>
      </c>
      <c r="P42" s="71">
        <f t="shared" si="5"/>
        <v>1584.2078071520082</v>
      </c>
      <c r="Q42" s="71">
        <f t="shared" ref="Q42:AC42" si="6">Q28</f>
        <v>166.11911319139099</v>
      </c>
      <c r="R42" s="71">
        <f t="shared" si="6"/>
        <v>6986.3330154404603</v>
      </c>
      <c r="S42" s="71">
        <f t="shared" si="6"/>
        <v>3679.3643688011598</v>
      </c>
      <c r="T42" s="71">
        <f t="shared" si="6"/>
        <v>11790.923927390375</v>
      </c>
      <c r="U42" s="71">
        <f t="shared" si="6"/>
        <v>17714.767715319871</v>
      </c>
      <c r="V42" s="71">
        <f>V28</f>
        <v>15526.147858096676</v>
      </c>
      <c r="W42" s="71">
        <f>W28</f>
        <v>12821.694664080098</v>
      </c>
      <c r="X42" s="71">
        <f>X28</f>
        <v>20287.037430354289</v>
      </c>
      <c r="Y42" s="71">
        <f>Y28</f>
        <v>34502.788514524043</v>
      </c>
      <c r="Z42" s="71">
        <f t="shared" ref="Z42:AA42" si="7">Z28</f>
        <v>16919.494862570296</v>
      </c>
      <c r="AA42" s="71">
        <f t="shared" si="7"/>
        <v>28465.156045913322</v>
      </c>
      <c r="AB42" s="71">
        <f t="shared" ref="AB42" si="8">AB28</f>
        <v>27089.759092260432</v>
      </c>
      <c r="AC42" s="71">
        <f t="shared" si="6"/>
        <v>22698.368270275609</v>
      </c>
    </row>
    <row r="43" spans="1:29" s="31" customFormat="1" ht="18" customHeight="1" x14ac:dyDescent="0.2">
      <c r="A43" s="208" t="s">
        <v>28</v>
      </c>
      <c r="B43" s="343" t="s">
        <v>182</v>
      </c>
      <c r="C43" s="343"/>
      <c r="D43" s="343"/>
      <c r="E43" s="343"/>
      <c r="F43" s="343"/>
      <c r="G43" s="343"/>
      <c r="H43" s="343"/>
      <c r="I43" s="343"/>
      <c r="J43" s="343"/>
      <c r="K43" s="71">
        <f t="shared" ref="K43:AC43" si="9">+K9+K10+K12</f>
        <v>252170.18520143948</v>
      </c>
      <c r="L43" s="71">
        <f>+L9+L10+L12</f>
        <v>220514.04600301659</v>
      </c>
      <c r="M43" s="71">
        <f t="shared" si="9"/>
        <v>225657.25970089453</v>
      </c>
      <c r="N43" s="71">
        <f t="shared" si="9"/>
        <v>188390.44043141321</v>
      </c>
      <c r="O43" s="71">
        <f t="shared" si="9"/>
        <v>241912.47486551682</v>
      </c>
      <c r="P43" s="71">
        <f t="shared" si="9"/>
        <v>249631.29684138639</v>
      </c>
      <c r="Q43" s="71">
        <f t="shared" si="9"/>
        <v>285244.99726919812</v>
      </c>
      <c r="R43" s="71">
        <f t="shared" si="9"/>
        <v>189376.30628044606</v>
      </c>
      <c r="S43" s="71">
        <f t="shared" si="9"/>
        <v>249802.71308521193</v>
      </c>
      <c r="T43" s="71">
        <f t="shared" ref="T43:Z43" si="10">+T9+T10+T12</f>
        <v>190196.84182192516</v>
      </c>
      <c r="U43" s="71">
        <f t="shared" si="10"/>
        <v>206715.05706775878</v>
      </c>
      <c r="V43" s="71">
        <f t="shared" si="10"/>
        <v>194763.68332217261</v>
      </c>
      <c r="W43" s="71">
        <f t="shared" si="10"/>
        <v>214719.28809172692</v>
      </c>
      <c r="X43" s="71">
        <f t="shared" si="10"/>
        <v>219252.48311857984</v>
      </c>
      <c r="Y43" s="71">
        <f t="shared" si="10"/>
        <v>298383.21899286524</v>
      </c>
      <c r="Z43" s="71">
        <f t="shared" si="10"/>
        <v>217775.83095285809</v>
      </c>
      <c r="AA43" s="71">
        <f t="shared" ref="AA43:AB43" si="11">+AA9+AA10+AA12</f>
        <v>226569.96427864634</v>
      </c>
      <c r="AB43" s="71">
        <f t="shared" si="11"/>
        <v>249521.68417401644</v>
      </c>
      <c r="AC43" s="71">
        <f t="shared" si="9"/>
        <v>252263.22957621256</v>
      </c>
    </row>
    <row r="44" spans="1:29" s="31" customFormat="1" ht="18" customHeight="1" x14ac:dyDescent="0.2">
      <c r="A44" s="208" t="s">
        <v>29</v>
      </c>
      <c r="B44" s="343" t="s">
        <v>184</v>
      </c>
      <c r="C44" s="343"/>
      <c r="D44" s="343"/>
      <c r="E44" s="343"/>
      <c r="F44" s="343"/>
      <c r="G44" s="343"/>
      <c r="H44" s="343"/>
      <c r="I44" s="343"/>
      <c r="J44" s="343"/>
      <c r="K44" s="71">
        <f t="shared" ref="K44:AC44" si="12">+K6-K43</f>
        <v>224396.66198542953</v>
      </c>
      <c r="L44" s="71">
        <f t="shared" si="12"/>
        <v>211369.90950226248</v>
      </c>
      <c r="M44" s="71">
        <f t="shared" si="12"/>
        <v>244619.69863568561</v>
      </c>
      <c r="N44" s="71">
        <f t="shared" si="12"/>
        <v>193926.66656378636</v>
      </c>
      <c r="O44" s="71">
        <f t="shared" si="12"/>
        <v>202804.53931107355</v>
      </c>
      <c r="P44" s="71">
        <f t="shared" si="12"/>
        <v>216396.97473553152</v>
      </c>
      <c r="Q44" s="71">
        <f t="shared" si="12"/>
        <v>285817.94829160121</v>
      </c>
      <c r="R44" s="71">
        <f t="shared" si="12"/>
        <v>191335.98833071918</v>
      </c>
      <c r="S44" s="71">
        <f t="shared" si="12"/>
        <v>231838.38289248868</v>
      </c>
      <c r="T44" s="71">
        <f t="shared" ref="T44:Z44" si="13">+T6-T43</f>
        <v>208950.64928251438</v>
      </c>
      <c r="U44" s="71">
        <f t="shared" si="13"/>
        <v>259603.63816678707</v>
      </c>
      <c r="V44" s="71">
        <f t="shared" si="13"/>
        <v>207166.69580950239</v>
      </c>
      <c r="W44" s="71">
        <f t="shared" si="13"/>
        <v>206233.36761666383</v>
      </c>
      <c r="X44" s="71">
        <f t="shared" si="13"/>
        <v>214464.37698960066</v>
      </c>
      <c r="Y44" s="71">
        <f t="shared" si="13"/>
        <v>312210.05679297465</v>
      </c>
      <c r="Z44" s="71">
        <f t="shared" si="13"/>
        <v>279466.82070161914</v>
      </c>
      <c r="AA44" s="71">
        <f t="shared" ref="AA44:AB44" si="14">+AA6-AA43</f>
        <v>283258.04076786072</v>
      </c>
      <c r="AB44" s="71">
        <f t="shared" si="14"/>
        <v>303141.09235952829</v>
      </c>
      <c r="AC44" s="71">
        <f t="shared" si="12"/>
        <v>296689.96888274222</v>
      </c>
    </row>
    <row r="45" spans="1:29" s="31" customFormat="1" ht="18" customHeight="1" x14ac:dyDescent="0.2">
      <c r="A45" s="208" t="s">
        <v>30</v>
      </c>
      <c r="B45" s="343" t="s">
        <v>183</v>
      </c>
      <c r="C45" s="343"/>
      <c r="D45" s="343"/>
      <c r="E45" s="343"/>
      <c r="F45" s="343"/>
      <c r="G45" s="343"/>
      <c r="H45" s="343"/>
      <c r="I45" s="343"/>
      <c r="J45" s="343"/>
      <c r="K45" s="71">
        <f t="shared" ref="K45:AC45" si="15">+K11+K13+K14+K16</f>
        <v>210326.53383656629</v>
      </c>
      <c r="L45" s="71">
        <f>+L11+L13+L14+L16</f>
        <v>198736.51960784313</v>
      </c>
      <c r="M45" s="71">
        <f t="shared" si="15"/>
        <v>236419.66551960865</v>
      </c>
      <c r="N45" s="71">
        <f t="shared" si="15"/>
        <v>194977.55672804208</v>
      </c>
      <c r="O45" s="71">
        <f t="shared" si="15"/>
        <v>196958.91028360583</v>
      </c>
      <c r="P45" s="71">
        <f t="shared" si="15"/>
        <v>214812.7669283803</v>
      </c>
      <c r="Q45" s="71">
        <f t="shared" si="15"/>
        <v>285651.82917840959</v>
      </c>
      <c r="R45" s="71">
        <f t="shared" si="15"/>
        <v>184349.65531527874</v>
      </c>
      <c r="S45" s="71">
        <f t="shared" si="15"/>
        <v>228159.01852368761</v>
      </c>
      <c r="T45" s="71">
        <f t="shared" ref="T45:Z45" si="16">+T11+T13+T14+T16</f>
        <v>197159.7253551241</v>
      </c>
      <c r="U45" s="71">
        <f t="shared" si="16"/>
        <v>241888.87045146705</v>
      </c>
      <c r="V45" s="71">
        <f t="shared" si="16"/>
        <v>191640.54795140578</v>
      </c>
      <c r="W45" s="71">
        <f t="shared" si="16"/>
        <v>193411.67295258387</v>
      </c>
      <c r="X45" s="71">
        <f t="shared" si="16"/>
        <v>194177.33955924615</v>
      </c>
      <c r="Y45" s="71">
        <f t="shared" si="16"/>
        <v>277707.26827845053</v>
      </c>
      <c r="Z45" s="71">
        <f t="shared" si="16"/>
        <v>262547.32583904965</v>
      </c>
      <c r="AA45" s="71">
        <f t="shared" ref="AA45:AB45" si="17">+AA11+AA13+AA14+AA16</f>
        <v>254792.8847219474</v>
      </c>
      <c r="AB45" s="71">
        <f t="shared" si="17"/>
        <v>276051.33316816966</v>
      </c>
      <c r="AC45" s="71">
        <f t="shared" si="15"/>
        <v>273991.60061246657</v>
      </c>
    </row>
    <row r="46" spans="1:29" s="31" customFormat="1" ht="18" customHeight="1" x14ac:dyDescent="0.2">
      <c r="A46" s="208" t="s">
        <v>31</v>
      </c>
      <c r="B46" s="343" t="s">
        <v>186</v>
      </c>
      <c r="C46" s="343"/>
      <c r="D46" s="343"/>
      <c r="E46" s="343"/>
      <c r="F46" s="343"/>
      <c r="G46" s="343"/>
      <c r="H46" s="343"/>
      <c r="I46" s="343"/>
      <c r="J46" s="343"/>
      <c r="K46" s="71">
        <f t="shared" ref="K46:AC46" si="18">+K34+K11+K17+K32+K18+K26+K13+K24</f>
        <v>138454.66514526468</v>
      </c>
      <c r="L46" s="71">
        <f>+L34+L11+L17+L32+L18+L26+L13+L24</f>
        <v>125204.27978883861</v>
      </c>
      <c r="M46" s="71">
        <f t="shared" si="18"/>
        <v>145151.71412179156</v>
      </c>
      <c r="N46" s="71">
        <f t="shared" si="18"/>
        <v>113002.16478383627</v>
      </c>
      <c r="O46" s="71">
        <f t="shared" si="18"/>
        <v>114587.57815991394</v>
      </c>
      <c r="P46" s="71">
        <f t="shared" si="18"/>
        <v>112587.82730132318</v>
      </c>
      <c r="Q46" s="71">
        <f t="shared" si="18"/>
        <v>151963.70313688798</v>
      </c>
      <c r="R46" s="71">
        <f t="shared" si="18"/>
        <v>103407.22039114274</v>
      </c>
      <c r="S46" s="71">
        <f t="shared" si="18"/>
        <v>138494.00081602478</v>
      </c>
      <c r="T46" s="71">
        <f t="shared" ref="T46:Z46" si="19">+T34+T11+T17+T32+T18+T26+T13+T24</f>
        <v>115357.2394724053</v>
      </c>
      <c r="U46" s="71">
        <f t="shared" si="19"/>
        <v>124999.65004980736</v>
      </c>
      <c r="V46" s="71">
        <f t="shared" si="19"/>
        <v>104525.70083062889</v>
      </c>
      <c r="W46" s="71">
        <f t="shared" si="19"/>
        <v>110841.64507432576</v>
      </c>
      <c r="X46" s="71">
        <f t="shared" si="19"/>
        <v>126427.08863773425</v>
      </c>
      <c r="Y46" s="71">
        <f t="shared" si="19"/>
        <v>186768.26507734309</v>
      </c>
      <c r="Z46" s="71">
        <f t="shared" si="19"/>
        <v>150118.03182872763</v>
      </c>
      <c r="AA46" s="71">
        <f t="shared" ref="AA46:AB46" si="20">+AA34+AA11+AA17+AA32+AA18+AA26+AA13+AA24</f>
        <v>152667.02167029487</v>
      </c>
      <c r="AB46" s="71">
        <f t="shared" si="20"/>
        <v>163236.26736696067</v>
      </c>
      <c r="AC46" s="71">
        <f t="shared" si="18"/>
        <v>160934.96068359184</v>
      </c>
    </row>
    <row r="47" spans="1:29" s="31" customFormat="1" ht="18" customHeight="1" x14ac:dyDescent="0.2">
      <c r="A47" s="208" t="s">
        <v>32</v>
      </c>
      <c r="B47" s="343" t="s">
        <v>185</v>
      </c>
      <c r="C47" s="343"/>
      <c r="D47" s="343"/>
      <c r="E47" s="343"/>
      <c r="F47" s="343"/>
      <c r="G47" s="343"/>
      <c r="H47" s="343"/>
      <c r="I47" s="343"/>
      <c r="J47" s="343"/>
      <c r="K47" s="71">
        <f t="shared" ref="K47:AC47" si="21">+K6-K9-K10-K12</f>
        <v>224396.66198542947</v>
      </c>
      <c r="L47" s="71">
        <f>+L6-L9-L10-L12</f>
        <v>211369.90950226251</v>
      </c>
      <c r="M47" s="71">
        <f t="shared" si="21"/>
        <v>244619.69863568561</v>
      </c>
      <c r="N47" s="71">
        <f t="shared" si="21"/>
        <v>193926.6665637863</v>
      </c>
      <c r="O47" s="71">
        <f t="shared" si="21"/>
        <v>202804.53931107355</v>
      </c>
      <c r="P47" s="71">
        <f t="shared" si="21"/>
        <v>216396.97473553149</v>
      </c>
      <c r="Q47" s="71">
        <f t="shared" si="21"/>
        <v>285817.94829160115</v>
      </c>
      <c r="R47" s="71">
        <f t="shared" si="21"/>
        <v>191335.98833071918</v>
      </c>
      <c r="S47" s="71">
        <f t="shared" si="21"/>
        <v>231838.38289248871</v>
      </c>
      <c r="T47" s="71">
        <f t="shared" ref="T47:Z47" si="22">+T6-T9-T10-T12</f>
        <v>208950.64928251438</v>
      </c>
      <c r="U47" s="71">
        <f t="shared" si="22"/>
        <v>259603.63816678704</v>
      </c>
      <c r="V47" s="71">
        <f t="shared" si="22"/>
        <v>207166.69580950239</v>
      </c>
      <c r="W47" s="71">
        <f t="shared" si="22"/>
        <v>206233.36761666383</v>
      </c>
      <c r="X47" s="71">
        <f t="shared" si="22"/>
        <v>214464.3769896006</v>
      </c>
      <c r="Y47" s="71">
        <f t="shared" si="22"/>
        <v>312210.05679297459</v>
      </c>
      <c r="Z47" s="71">
        <f t="shared" si="22"/>
        <v>279466.82070161914</v>
      </c>
      <c r="AA47" s="71">
        <f t="shared" ref="AA47:AB47" si="23">+AA6-AA9-AA10-AA12</f>
        <v>283258.04076786072</v>
      </c>
      <c r="AB47" s="71">
        <f t="shared" si="23"/>
        <v>303141.09235952829</v>
      </c>
      <c r="AC47" s="71">
        <f t="shared" si="21"/>
        <v>296689.96888274222</v>
      </c>
    </row>
    <row r="48" spans="1:29" x14ac:dyDescent="0.2">
      <c r="B48" s="368" t="s">
        <v>581</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row>
    <row r="49" spans="2:29"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row>
    <row r="50" spans="2:29" x14ac:dyDescent="0.2">
      <c r="AC50" s="3"/>
    </row>
    <row r="51" spans="2:29" x14ac:dyDescent="0.2">
      <c r="AC51" s="3"/>
    </row>
    <row r="52" spans="2:29" x14ac:dyDescent="0.2">
      <c r="AC52" s="3"/>
    </row>
    <row r="53" spans="2:29" x14ac:dyDescent="0.2">
      <c r="AC53" s="3"/>
    </row>
    <row r="54" spans="2:29" x14ac:dyDescent="0.2">
      <c r="AC54" s="3"/>
    </row>
    <row r="55" spans="2:29" x14ac:dyDescent="0.2">
      <c r="AC55" s="3"/>
    </row>
    <row r="56" spans="2:29" x14ac:dyDescent="0.2">
      <c r="AC56" s="3"/>
    </row>
    <row r="57" spans="2:29" x14ac:dyDescent="0.2">
      <c r="AC57" s="3"/>
    </row>
    <row r="58" spans="2:29" x14ac:dyDescent="0.2">
      <c r="AC58" s="3"/>
    </row>
    <row r="59" spans="2:29" x14ac:dyDescent="0.2">
      <c r="AC59" s="3"/>
    </row>
    <row r="60" spans="2:29" x14ac:dyDescent="0.2">
      <c r="AC60" s="3"/>
    </row>
    <row r="61" spans="2:29" x14ac:dyDescent="0.2">
      <c r="AC61" s="3"/>
    </row>
    <row r="62" spans="2:29" x14ac:dyDescent="0.2">
      <c r="AC62" s="3"/>
    </row>
    <row r="63" spans="2:29" x14ac:dyDescent="0.2">
      <c r="AC63" s="3"/>
    </row>
    <row r="64" spans="2:29" x14ac:dyDescent="0.2">
      <c r="AC64" s="3"/>
    </row>
    <row r="65" spans="29:29" x14ac:dyDescent="0.2">
      <c r="AC65" s="3"/>
    </row>
    <row r="66" spans="29:29" x14ac:dyDescent="0.2">
      <c r="AC66" s="3"/>
    </row>
    <row r="67" spans="29:29" x14ac:dyDescent="0.2">
      <c r="AC67" s="3"/>
    </row>
    <row r="68" spans="29:29" x14ac:dyDescent="0.2">
      <c r="AC68" s="3"/>
    </row>
    <row r="69" spans="29:29" x14ac:dyDescent="0.2">
      <c r="AC69" s="3"/>
    </row>
    <row r="70" spans="29:29" x14ac:dyDescent="0.2">
      <c r="AC70" s="3"/>
    </row>
    <row r="71" spans="29:29" x14ac:dyDescent="0.2">
      <c r="AC71" s="3"/>
    </row>
    <row r="72" spans="29:29" x14ac:dyDescent="0.2">
      <c r="AC72" s="3"/>
    </row>
    <row r="73" spans="29:29" x14ac:dyDescent="0.2">
      <c r="AC73" s="3"/>
    </row>
    <row r="74" spans="29:29" x14ac:dyDescent="0.2">
      <c r="AC74" s="3"/>
    </row>
    <row r="75" spans="29:29" x14ac:dyDescent="0.2">
      <c r="AC75" s="3"/>
    </row>
    <row r="76" spans="29:29" x14ac:dyDescent="0.2">
      <c r="AC76" s="3"/>
    </row>
    <row r="77" spans="29:29" x14ac:dyDescent="0.2">
      <c r="AC77" s="3"/>
    </row>
    <row r="78" spans="29:29" x14ac:dyDescent="0.2">
      <c r="AC78" s="3"/>
    </row>
    <row r="79" spans="29:29" x14ac:dyDescent="0.2">
      <c r="AC79" s="3"/>
    </row>
    <row r="80" spans="29:29" x14ac:dyDescent="0.2">
      <c r="AC80" s="3"/>
    </row>
    <row r="81" spans="29:29" x14ac:dyDescent="0.2">
      <c r="AC81" s="3"/>
    </row>
  </sheetData>
  <mergeCells count="48">
    <mergeCell ref="C10:J10"/>
    <mergeCell ref="C11:J11"/>
    <mergeCell ref="C12:J12"/>
    <mergeCell ref="C13:J13"/>
    <mergeCell ref="A6:J6"/>
    <mergeCell ref="A7:J7"/>
    <mergeCell ref="B8:J8"/>
    <mergeCell ref="C9:J9"/>
    <mergeCell ref="B48:AC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84"/>
  <sheetViews>
    <sheetView tabSelected="1"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29" width="10.44140625" style="1" customWidth="1"/>
  </cols>
  <sheetData>
    <row r="1" spans="1:29"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row>
    <row r="2" spans="1:29" ht="18" customHeight="1" x14ac:dyDescent="0.2">
      <c r="A2" s="345" t="s">
        <v>584</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90" t="s">
        <v>33</v>
      </c>
      <c r="B4" s="390"/>
      <c r="C4" s="390"/>
      <c r="D4" s="390"/>
      <c r="E4" s="390"/>
      <c r="F4" s="390"/>
      <c r="G4" s="390"/>
      <c r="H4" s="390"/>
      <c r="I4" s="390"/>
      <c r="J4" s="390"/>
      <c r="K4" s="68">
        <v>11393</v>
      </c>
      <c r="L4" s="68">
        <v>10608</v>
      </c>
      <c r="M4" s="68">
        <v>10338.231005322499</v>
      </c>
      <c r="N4" s="68">
        <v>9511.4782435730995</v>
      </c>
      <c r="O4" s="68">
        <v>9849.5839639144506</v>
      </c>
      <c r="P4" s="68">
        <v>9706.4625336266308</v>
      </c>
      <c r="Q4" s="68">
        <v>8629.2077089966606</v>
      </c>
      <c r="R4" s="68">
        <v>10187.594072415963</v>
      </c>
      <c r="S4" s="68">
        <v>9883.0704331000106</v>
      </c>
      <c r="T4" s="68">
        <v>11464.746979305562</v>
      </c>
      <c r="U4" s="68">
        <v>11643.685918299981</v>
      </c>
      <c r="V4" s="68">
        <v>11827.511068099997</v>
      </c>
      <c r="W4" s="68">
        <v>12016.284332899982</v>
      </c>
      <c r="X4" s="68">
        <v>12210.070519200013</v>
      </c>
      <c r="Y4" s="68">
        <v>10090.623360700003</v>
      </c>
      <c r="Z4" s="68">
        <v>10067</v>
      </c>
      <c r="AA4" s="68">
        <v>10106</v>
      </c>
      <c r="AB4" s="68">
        <v>10091</v>
      </c>
      <c r="AC4" s="68">
        <v>10123</v>
      </c>
    </row>
    <row r="5" spans="1:29" s="31" customFormat="1" ht="18" customHeight="1" x14ac:dyDescent="0.2">
      <c r="A5" s="380" t="s">
        <v>34</v>
      </c>
      <c r="B5" s="380"/>
      <c r="C5" s="380"/>
      <c r="D5" s="380"/>
      <c r="E5" s="380"/>
      <c r="F5" s="380"/>
      <c r="G5" s="380"/>
      <c r="H5" s="380"/>
      <c r="I5" s="380"/>
      <c r="J5" s="380"/>
      <c r="K5" s="251">
        <v>21.347318528921299</v>
      </c>
      <c r="L5" s="251">
        <v>19.453054298642535</v>
      </c>
      <c r="M5" s="251">
        <v>22.748031868795213</v>
      </c>
      <c r="N5" s="251">
        <v>21.848411568045332</v>
      </c>
      <c r="O5" s="251">
        <v>20.205459362863763</v>
      </c>
      <c r="P5" s="251">
        <v>20.152178392700858</v>
      </c>
      <c r="Q5" s="251">
        <v>22.821736819167953</v>
      </c>
      <c r="R5" s="251">
        <v>19.85395285118604</v>
      </c>
      <c r="S5" s="251">
        <v>23.141805274563772</v>
      </c>
      <c r="T5" s="251">
        <v>19.858120360783637</v>
      </c>
      <c r="U5" s="251">
        <v>20.072881892659066</v>
      </c>
      <c r="V5" s="251">
        <v>17.618263452592505</v>
      </c>
      <c r="W5" s="251">
        <v>19.500963661852865</v>
      </c>
      <c r="X5" s="251">
        <v>19.952157532469954</v>
      </c>
      <c r="Y5" s="251">
        <v>25.465956937246414</v>
      </c>
      <c r="Z5" s="251">
        <v>23.765799442876588</v>
      </c>
      <c r="AA5" s="251">
        <v>21.333267365921234</v>
      </c>
      <c r="AB5" s="251">
        <v>22.438014071945297</v>
      </c>
      <c r="AC5" s="251">
        <v>23.274622147584708</v>
      </c>
    </row>
    <row r="6" spans="1:29" s="31" customFormat="1" ht="18" customHeight="1" x14ac:dyDescent="0.2">
      <c r="A6" s="381" t="s">
        <v>70</v>
      </c>
      <c r="B6" s="381"/>
      <c r="C6" s="381"/>
      <c r="D6" s="381"/>
      <c r="E6" s="381"/>
      <c r="F6" s="381"/>
      <c r="G6" s="381"/>
      <c r="H6" s="381"/>
      <c r="I6" s="381"/>
      <c r="J6" s="381"/>
      <c r="K6" s="211"/>
      <c r="L6" s="211">
        <v>6621</v>
      </c>
      <c r="M6" s="211">
        <v>6269.9798764126599</v>
      </c>
      <c r="N6" s="211">
        <v>5899.32129370029</v>
      </c>
      <c r="O6" s="211">
        <v>6658.1742409524804</v>
      </c>
      <c r="P6" s="211">
        <v>5273.9308927358197</v>
      </c>
      <c r="Q6" s="211">
        <v>4921.4045811687001</v>
      </c>
      <c r="R6" s="211">
        <v>6279.9538038558421</v>
      </c>
      <c r="S6" s="211">
        <v>5715.0809836146736</v>
      </c>
      <c r="T6" s="211">
        <v>7139.9454748461958</v>
      </c>
      <c r="U6" s="211">
        <v>7640.3815322179826</v>
      </c>
      <c r="V6" s="211">
        <v>7701.1285500396089</v>
      </c>
      <c r="W6" s="211">
        <v>7140.8624921821929</v>
      </c>
      <c r="X6" s="211">
        <v>7752.7262725835199</v>
      </c>
      <c r="Y6" s="211">
        <v>6796.8237213309285</v>
      </c>
      <c r="Z6" s="211">
        <v>6798.4448559298189</v>
      </c>
      <c r="AA6" s="211">
        <v>6316</v>
      </c>
      <c r="AB6" s="211">
        <v>6504</v>
      </c>
      <c r="AC6" s="211">
        <v>6696</v>
      </c>
    </row>
    <row r="7" spans="1:29" s="31" customFormat="1" ht="18" customHeight="1" x14ac:dyDescent="0.2">
      <c r="A7" s="215" t="s">
        <v>360</v>
      </c>
      <c r="B7" s="394" t="s">
        <v>361</v>
      </c>
      <c r="C7" s="394"/>
      <c r="D7" s="394"/>
      <c r="E7" s="394"/>
      <c r="F7" s="394"/>
      <c r="G7" s="394"/>
      <c r="H7" s="394"/>
      <c r="I7" s="394"/>
      <c r="J7" s="394"/>
      <c r="K7" s="213"/>
      <c r="L7" s="213">
        <v>3353</v>
      </c>
      <c r="M7" s="213">
        <v>4166.6463286032304</v>
      </c>
      <c r="N7" s="213">
        <v>4992.6149196777296</v>
      </c>
      <c r="O7" s="213">
        <v>4906.9031080037503</v>
      </c>
      <c r="P7" s="213">
        <v>4075.4265026808598</v>
      </c>
      <c r="Q7" s="213">
        <v>3955.0162989421901</v>
      </c>
      <c r="R7" s="213">
        <v>4805.6846476534847</v>
      </c>
      <c r="S7" s="213">
        <v>4532.6613058588537</v>
      </c>
      <c r="T7" s="213">
        <v>6064.0378780576466</v>
      </c>
      <c r="U7" s="213">
        <v>5801.7228052676501</v>
      </c>
      <c r="V7" s="213">
        <v>6076.5888053175941</v>
      </c>
      <c r="W7" s="213">
        <v>5190.3754269933797</v>
      </c>
      <c r="X7" s="213">
        <v>5834.3893261958028</v>
      </c>
      <c r="Y7" s="213">
        <v>5422.9649609914195</v>
      </c>
      <c r="Z7" s="213">
        <v>5448.2309747847039</v>
      </c>
      <c r="AA7" s="213">
        <v>4749</v>
      </c>
      <c r="AB7" s="213">
        <v>5162</v>
      </c>
      <c r="AC7" s="213">
        <v>5245</v>
      </c>
    </row>
    <row r="8" spans="1:29" s="31" customFormat="1" ht="18" customHeight="1" x14ac:dyDescent="0.2">
      <c r="A8" s="381" t="s">
        <v>71</v>
      </c>
      <c r="B8" s="381"/>
      <c r="C8" s="381"/>
      <c r="D8" s="381"/>
      <c r="E8" s="381"/>
      <c r="F8" s="381"/>
      <c r="G8" s="381"/>
      <c r="H8" s="381"/>
      <c r="I8" s="381"/>
      <c r="J8" s="381"/>
      <c r="K8" s="211">
        <v>533244.711665057</v>
      </c>
      <c r="L8" s="211">
        <v>450963.14102564106</v>
      </c>
      <c r="M8" s="211">
        <v>579855.12148007145</v>
      </c>
      <c r="N8" s="211">
        <v>435844.99286287621</v>
      </c>
      <c r="O8" s="211">
        <v>455633.18728028255</v>
      </c>
      <c r="P8" s="211">
        <v>513427.42117030232</v>
      </c>
      <c r="Q8" s="211">
        <v>632946.13812436897</v>
      </c>
      <c r="R8" s="211">
        <v>452881.04241698899</v>
      </c>
      <c r="S8" s="211">
        <v>470614.82021797838</v>
      </c>
      <c r="T8" s="211">
        <v>429785.96056564001</v>
      </c>
      <c r="U8" s="211">
        <v>473123.61348224385</v>
      </c>
      <c r="V8" s="211">
        <v>375954.54162797297</v>
      </c>
      <c r="W8" s="211">
        <v>452314.46738543478</v>
      </c>
      <c r="X8" s="211">
        <v>430637.27388050605</v>
      </c>
      <c r="Y8" s="211">
        <v>551936.78160026041</v>
      </c>
      <c r="Z8" s="211">
        <v>538698.20548523322</v>
      </c>
      <c r="AA8" s="211">
        <v>585438.17702355038</v>
      </c>
      <c r="AB8" s="211">
        <v>637879.87582994741</v>
      </c>
      <c r="AC8" s="211">
        <v>616179.9066482269</v>
      </c>
    </row>
    <row r="9" spans="1:29" s="31" customFormat="1" ht="18" customHeight="1" x14ac:dyDescent="0.2">
      <c r="A9" s="73"/>
      <c r="B9" s="381" t="s">
        <v>72</v>
      </c>
      <c r="C9" s="381"/>
      <c r="D9" s="381"/>
      <c r="E9" s="381"/>
      <c r="F9" s="381"/>
      <c r="G9" s="381"/>
      <c r="H9" s="381"/>
      <c r="I9" s="381"/>
      <c r="J9" s="381"/>
      <c r="K9" s="211">
        <v>276862.020538927</v>
      </c>
      <c r="L9" s="211">
        <v>244330.97662141779</v>
      </c>
      <c r="M9" s="211">
        <v>343995.03492176341</v>
      </c>
      <c r="N9" s="211">
        <v>234726.63715293832</v>
      </c>
      <c r="O9" s="211">
        <v>203652.24619771284</v>
      </c>
      <c r="P9" s="211">
        <v>257562.12687981984</v>
      </c>
      <c r="Q9" s="211">
        <v>326135.370696545</v>
      </c>
      <c r="R9" s="211">
        <v>250961.32899370315</v>
      </c>
      <c r="S9" s="211">
        <v>266762.08772034023</v>
      </c>
      <c r="T9" s="211">
        <v>228968.9537896229</v>
      </c>
      <c r="U9" s="211">
        <v>241409.24772314038</v>
      </c>
      <c r="V9" s="211">
        <v>207747.38164270468</v>
      </c>
      <c r="W9" s="211">
        <v>244974.17075527442</v>
      </c>
      <c r="X9" s="211">
        <v>225314.21812867536</v>
      </c>
      <c r="Y9" s="211">
        <v>293582.62179653399</v>
      </c>
      <c r="Z9" s="211">
        <v>293382.81030096789</v>
      </c>
      <c r="AA9" s="211">
        <v>342968.14991094405</v>
      </c>
      <c r="AB9" s="211">
        <v>362598.05727876321</v>
      </c>
      <c r="AC9" s="211">
        <v>350936.29121801839</v>
      </c>
    </row>
    <row r="10" spans="1:29" s="31" customFormat="1" ht="18" customHeight="1" x14ac:dyDescent="0.2">
      <c r="A10" s="73"/>
      <c r="B10" s="73"/>
      <c r="C10" s="390" t="s">
        <v>73</v>
      </c>
      <c r="D10" s="390"/>
      <c r="E10" s="390"/>
      <c r="F10" s="390"/>
      <c r="G10" s="390"/>
      <c r="H10" s="390"/>
      <c r="I10" s="390"/>
      <c r="J10" s="390"/>
      <c r="K10" s="68">
        <v>83999.648907223687</v>
      </c>
      <c r="L10" s="68">
        <v>85014.328808446444</v>
      </c>
      <c r="M10" s="68">
        <v>136404.46511815389</v>
      </c>
      <c r="N10" s="68">
        <v>78901.552349765334</v>
      </c>
      <c r="O10" s="68">
        <v>64285.36268204471</v>
      </c>
      <c r="P10" s="68">
        <v>106994.61880451931</v>
      </c>
      <c r="Q10" s="68">
        <v>119458.85010413289</v>
      </c>
      <c r="R10" s="68">
        <v>83091.756217888309</v>
      </c>
      <c r="S10" s="68">
        <v>85549.495789858323</v>
      </c>
      <c r="T10" s="68">
        <v>77753.305439934193</v>
      </c>
      <c r="U10" s="68">
        <v>64148.835968589512</v>
      </c>
      <c r="V10" s="68">
        <v>54027.678654219941</v>
      </c>
      <c r="W10" s="68">
        <v>82387.486693305109</v>
      </c>
      <c r="X10" s="68">
        <v>70646.614137468074</v>
      </c>
      <c r="Y10" s="68">
        <v>96338.662810464913</v>
      </c>
      <c r="Z10" s="68">
        <v>103457.24998342266</v>
      </c>
      <c r="AA10" s="68">
        <v>130602.4858499901</v>
      </c>
      <c r="AB10" s="68">
        <v>172104.30115944901</v>
      </c>
      <c r="AC10" s="68">
        <v>135012.17277486913</v>
      </c>
    </row>
    <row r="11" spans="1:29" s="31" customFormat="1" ht="18" customHeight="1" x14ac:dyDescent="0.2">
      <c r="A11" s="73"/>
      <c r="B11" s="73"/>
      <c r="C11" s="382" t="s">
        <v>74</v>
      </c>
      <c r="D11" s="382"/>
      <c r="E11" s="382"/>
      <c r="F11" s="382"/>
      <c r="G11" s="382"/>
      <c r="H11" s="382"/>
      <c r="I11" s="382"/>
      <c r="J11" s="382"/>
      <c r="K11" s="69">
        <v>110724.83103660101</v>
      </c>
      <c r="L11" s="69">
        <v>112234.72850678733</v>
      </c>
      <c r="M11" s="69">
        <v>113129.82669761361</v>
      </c>
      <c r="N11" s="69">
        <v>81055.982402472582</v>
      </c>
      <c r="O11" s="69">
        <v>72077.335869778995</v>
      </c>
      <c r="P11" s="69">
        <v>82091.025348305862</v>
      </c>
      <c r="Q11" s="69">
        <v>122273.07610768492</v>
      </c>
      <c r="R11" s="69">
        <v>88751.438960171159</v>
      </c>
      <c r="S11" s="69">
        <v>97975.442577597962</v>
      </c>
      <c r="T11" s="69">
        <v>78994.307940751474</v>
      </c>
      <c r="U11" s="69">
        <v>82316.328070791598</v>
      </c>
      <c r="V11" s="69">
        <v>82376.316404059471</v>
      </c>
      <c r="W11" s="69">
        <v>84750.176932175367</v>
      </c>
      <c r="X11" s="69">
        <v>92400.194975317616</v>
      </c>
      <c r="Y11" s="69">
        <v>112127.33027848689</v>
      </c>
      <c r="Z11" s="69">
        <v>105004.85532481076</v>
      </c>
      <c r="AA11" s="69">
        <v>106984.66564417176</v>
      </c>
      <c r="AB11" s="69">
        <v>97083.098800911714</v>
      </c>
      <c r="AC11" s="69">
        <v>108999.11735651486</v>
      </c>
    </row>
    <row r="12" spans="1:29" s="31" customFormat="1" ht="18" customHeight="1" x14ac:dyDescent="0.2">
      <c r="A12" s="73"/>
      <c r="B12" s="73"/>
      <c r="C12" s="382" t="s">
        <v>75</v>
      </c>
      <c r="D12" s="382"/>
      <c r="E12" s="382"/>
      <c r="F12" s="382"/>
      <c r="G12" s="382"/>
      <c r="H12" s="382"/>
      <c r="I12" s="382"/>
      <c r="J12" s="382"/>
      <c r="K12" s="69">
        <v>4190.7311507065706</v>
      </c>
      <c r="L12" s="69">
        <v>7243.0241327300146</v>
      </c>
      <c r="M12" s="69">
        <v>4124.5405859432276</v>
      </c>
      <c r="N12" s="69">
        <v>5814.0622717928209</v>
      </c>
      <c r="O12" s="69">
        <v>7027.539460544459</v>
      </c>
      <c r="P12" s="69">
        <v>4809.2176582813172</v>
      </c>
      <c r="Q12" s="69">
        <v>5258.7565375091335</v>
      </c>
      <c r="R12" s="69">
        <v>3117.3920527322211</v>
      </c>
      <c r="S12" s="69">
        <v>2578.5465192870415</v>
      </c>
      <c r="T12" s="69">
        <v>2861.3538289339708</v>
      </c>
      <c r="U12" s="69">
        <v>11056.343454112326</v>
      </c>
      <c r="V12" s="69">
        <v>1926.2739980841604</v>
      </c>
      <c r="W12" s="69">
        <v>16561.069191554088</v>
      </c>
      <c r="X12" s="69">
        <v>2627.5721539901292</v>
      </c>
      <c r="Y12" s="69">
        <v>6400.5850653245634</v>
      </c>
      <c r="Z12" s="69"/>
      <c r="AA12" s="69"/>
      <c r="AB12" s="69"/>
      <c r="AC12" s="69"/>
    </row>
    <row r="13" spans="1:29" s="31" customFormat="1" ht="18" customHeight="1" x14ac:dyDescent="0.2">
      <c r="A13" s="73"/>
      <c r="B13" s="73"/>
      <c r="C13" s="382" t="s">
        <v>76</v>
      </c>
      <c r="D13" s="382"/>
      <c r="E13" s="382"/>
      <c r="F13" s="382"/>
      <c r="G13" s="382"/>
      <c r="H13" s="382"/>
      <c r="I13" s="382"/>
      <c r="J13" s="382"/>
      <c r="K13" s="69">
        <v>44965.505134731902</v>
      </c>
      <c r="L13" s="69">
        <v>25335.312971342384</v>
      </c>
      <c r="M13" s="69">
        <v>59441.483558610824</v>
      </c>
      <c r="N13" s="69">
        <v>46935.863323197016</v>
      </c>
      <c r="O13" s="69">
        <v>34696.770187812399</v>
      </c>
      <c r="P13" s="69">
        <v>38495.83377616066</v>
      </c>
      <c r="Q13" s="69">
        <v>48672.877991005786</v>
      </c>
      <c r="R13" s="69">
        <v>40495.052144724352</v>
      </c>
      <c r="S13" s="69">
        <v>55867.424129803716</v>
      </c>
      <c r="T13" s="69">
        <v>40716.627334719902</v>
      </c>
      <c r="U13" s="69">
        <v>44509.089061989318</v>
      </c>
      <c r="V13" s="69">
        <v>41820.01561064861</v>
      </c>
      <c r="W13" s="69">
        <v>33752.349336853782</v>
      </c>
      <c r="X13" s="69">
        <v>36866.133199523079</v>
      </c>
      <c r="Y13" s="69">
        <v>49686.872269260755</v>
      </c>
      <c r="Z13" s="69">
        <v>52916.485304682072</v>
      </c>
      <c r="AA13" s="69">
        <v>55028.615673857108</v>
      </c>
      <c r="AB13" s="69">
        <v>49974.132593400056</v>
      </c>
      <c r="AC13" s="69">
        <v>59883.053343870393</v>
      </c>
    </row>
    <row r="14" spans="1:29" s="31" customFormat="1" ht="18" customHeight="1" x14ac:dyDescent="0.2">
      <c r="A14" s="73"/>
      <c r="B14" s="73"/>
      <c r="C14" s="380" t="s">
        <v>77</v>
      </c>
      <c r="D14" s="380"/>
      <c r="E14" s="380"/>
      <c r="F14" s="380"/>
      <c r="G14" s="380"/>
      <c r="H14" s="380"/>
      <c r="I14" s="380"/>
      <c r="J14" s="380"/>
      <c r="K14" s="70">
        <v>32981.304309663799</v>
      </c>
      <c r="L14" s="70">
        <v>14503.676470588236</v>
      </c>
      <c r="M14" s="70">
        <v>30894.718961441944</v>
      </c>
      <c r="N14" s="70">
        <v>22019.176805710729</v>
      </c>
      <c r="O14" s="70">
        <v>25565.237997532553</v>
      </c>
      <c r="P14" s="70">
        <v>25171.431292552523</v>
      </c>
      <c r="Q14" s="70">
        <v>30471.809956212375</v>
      </c>
      <c r="R14" s="70">
        <v>35505.689618186952</v>
      </c>
      <c r="S14" s="70">
        <v>24791.178703793266</v>
      </c>
      <c r="T14" s="70">
        <v>28643.359245283464</v>
      </c>
      <c r="U14" s="70">
        <v>39378.65116765767</v>
      </c>
      <c r="V14" s="70">
        <v>27597.096975692395</v>
      </c>
      <c r="W14" s="70">
        <v>27523.088601386113</v>
      </c>
      <c r="X14" s="70">
        <v>22773.703662376436</v>
      </c>
      <c r="Y14" s="70">
        <v>29029.171372996825</v>
      </c>
      <c r="Z14" s="70">
        <v>32004.219688052399</v>
      </c>
      <c r="AA14" s="70">
        <v>50352.382742925081</v>
      </c>
      <c r="AB14" s="70">
        <v>43436.524725002411</v>
      </c>
      <c r="AC14" s="70">
        <v>47041.947742764023</v>
      </c>
    </row>
    <row r="15" spans="1:29" s="31" customFormat="1" ht="18" customHeight="1" x14ac:dyDescent="0.2">
      <c r="A15" s="73"/>
      <c r="B15" s="381" t="s">
        <v>78</v>
      </c>
      <c r="C15" s="381"/>
      <c r="D15" s="381"/>
      <c r="E15" s="381"/>
      <c r="F15" s="381"/>
      <c r="G15" s="381"/>
      <c r="H15" s="381"/>
      <c r="I15" s="381"/>
      <c r="J15" s="381"/>
      <c r="K15" s="211">
        <v>254300.096550513</v>
      </c>
      <c r="L15" s="211">
        <v>204618.40120663648</v>
      </c>
      <c r="M15" s="211">
        <v>234099.41382127907</v>
      </c>
      <c r="N15" s="211">
        <v>198558.91461630253</v>
      </c>
      <c r="O15" s="211">
        <v>249668.5440295272</v>
      </c>
      <c r="P15" s="211">
        <v>254202.65043246822</v>
      </c>
      <c r="Q15" s="211">
        <v>302376.86072510667</v>
      </c>
      <c r="R15" s="211">
        <v>201324.24603802565</v>
      </c>
      <c r="S15" s="211">
        <v>202770.36876540253</v>
      </c>
      <c r="T15" s="211">
        <v>198288.65072981827</v>
      </c>
      <c r="U15" s="211">
        <v>231396.63570095928</v>
      </c>
      <c r="V15" s="211">
        <v>165848.69248499369</v>
      </c>
      <c r="W15" s="211">
        <v>207116.71543233399</v>
      </c>
      <c r="X15" s="211">
        <v>204751.75005008749</v>
      </c>
      <c r="Y15" s="211">
        <v>257965.77457850124</v>
      </c>
      <c r="Z15" s="211">
        <v>244266.81179331985</v>
      </c>
      <c r="AA15" s="211">
        <v>241581.54502275877</v>
      </c>
      <c r="AB15" s="211">
        <v>273877.75106530567</v>
      </c>
      <c r="AC15" s="211">
        <v>263180.58895584312</v>
      </c>
    </row>
    <row r="16" spans="1:29" s="31" customFormat="1" ht="18" customHeight="1" x14ac:dyDescent="0.2">
      <c r="A16" s="73"/>
      <c r="B16" s="73"/>
      <c r="C16" s="381" t="s">
        <v>79</v>
      </c>
      <c r="D16" s="381"/>
      <c r="E16" s="381"/>
      <c r="F16" s="381"/>
      <c r="G16" s="381"/>
      <c r="H16" s="381"/>
      <c r="I16" s="381"/>
      <c r="J16" s="381"/>
      <c r="K16" s="211">
        <v>206917.66874396597</v>
      </c>
      <c r="L16" s="211">
        <v>158871.88914027149</v>
      </c>
      <c r="M16" s="211">
        <v>175817.93512663135</v>
      </c>
      <c r="N16" s="211">
        <v>172441.49480288348</v>
      </c>
      <c r="O16" s="211">
        <v>190726.3195998485</v>
      </c>
      <c r="P16" s="211">
        <v>203725.49348474771</v>
      </c>
      <c r="Q16" s="211">
        <v>240294.90136432668</v>
      </c>
      <c r="R16" s="211">
        <v>155717.89777648961</v>
      </c>
      <c r="S16" s="211">
        <v>163079.79649586719</v>
      </c>
      <c r="T16" s="211">
        <v>149158.70835249737</v>
      </c>
      <c r="U16" s="211">
        <v>195156.61691188879</v>
      </c>
      <c r="V16" s="211">
        <v>128541.05202353747</v>
      </c>
      <c r="W16" s="211">
        <v>153006.26140656474</v>
      </c>
      <c r="X16" s="211">
        <v>152246.7654974215</v>
      </c>
      <c r="Y16" s="211">
        <v>195079.12589922358</v>
      </c>
      <c r="Z16" s="211">
        <v>177868.74257676452</v>
      </c>
      <c r="AA16" s="211">
        <v>190445.29180684741</v>
      </c>
      <c r="AB16" s="211">
        <v>199920.44326627688</v>
      </c>
      <c r="AC16" s="211">
        <v>191594.95485528003</v>
      </c>
    </row>
    <row r="17" spans="1:29" s="31" customFormat="1" ht="18" customHeight="1" x14ac:dyDescent="0.2">
      <c r="A17" s="73"/>
      <c r="B17" s="73"/>
      <c r="C17" s="73"/>
      <c r="D17" s="390" t="s">
        <v>362</v>
      </c>
      <c r="E17" s="390"/>
      <c r="F17" s="390"/>
      <c r="G17" s="390"/>
      <c r="H17" s="390"/>
      <c r="I17" s="390"/>
      <c r="J17" s="390"/>
      <c r="K17" s="68">
        <v>63614.675678047897</v>
      </c>
      <c r="L17" s="68">
        <v>43445.135746606335</v>
      </c>
      <c r="M17" s="68">
        <v>49191.080556558998</v>
      </c>
      <c r="N17" s="68">
        <v>47239.136026200256</v>
      </c>
      <c r="O17" s="68">
        <v>43234.086089696757</v>
      </c>
      <c r="P17" s="68">
        <v>50976.969268166984</v>
      </c>
      <c r="Q17" s="68">
        <v>74764.847245202604</v>
      </c>
      <c r="R17" s="68">
        <v>36626.477825741895</v>
      </c>
      <c r="S17" s="68">
        <v>63376.052834491762</v>
      </c>
      <c r="T17" s="68">
        <v>41233.175904290503</v>
      </c>
      <c r="U17" s="68">
        <v>42687.899681628165</v>
      </c>
      <c r="V17" s="68">
        <v>34352.33659575705</v>
      </c>
      <c r="W17" s="68">
        <v>63818.715326743186</v>
      </c>
      <c r="X17" s="68">
        <v>32525.765011602758</v>
      </c>
      <c r="Y17" s="68">
        <v>46562.191785039264</v>
      </c>
      <c r="Z17" s="68">
        <v>48830.988096407258</v>
      </c>
      <c r="AA17" s="68">
        <v>64253.849594300416</v>
      </c>
      <c r="AB17" s="68">
        <v>48779.027252006737</v>
      </c>
      <c r="AC17" s="68">
        <v>51267.831472883532</v>
      </c>
    </row>
    <row r="18" spans="1:29" s="31" customFormat="1" ht="18" customHeight="1" x14ac:dyDescent="0.2">
      <c r="A18" s="73"/>
      <c r="B18" s="73"/>
      <c r="C18" s="73"/>
      <c r="D18" s="382" t="s">
        <v>80</v>
      </c>
      <c r="E18" s="382"/>
      <c r="F18" s="382"/>
      <c r="G18" s="382"/>
      <c r="H18" s="382"/>
      <c r="I18" s="382"/>
      <c r="J18" s="382"/>
      <c r="K18" s="69">
        <v>49082.945668392902</v>
      </c>
      <c r="L18" s="69">
        <v>37012.631975867269</v>
      </c>
      <c r="M18" s="69">
        <v>43356.324708314794</v>
      </c>
      <c r="N18" s="69">
        <v>33126.800964206865</v>
      </c>
      <c r="O18" s="69">
        <v>26519.671248388553</v>
      </c>
      <c r="P18" s="69">
        <v>32800.350873013493</v>
      </c>
      <c r="Q18" s="69">
        <v>67539.941420558011</v>
      </c>
      <c r="R18" s="69">
        <v>36199.191291161856</v>
      </c>
      <c r="S18" s="69">
        <v>60979.360609593532</v>
      </c>
      <c r="T18" s="69">
        <v>32288.568492162376</v>
      </c>
      <c r="U18" s="69">
        <v>54177.064020235157</v>
      </c>
      <c r="V18" s="69">
        <v>24705.427949782039</v>
      </c>
      <c r="W18" s="69">
        <v>79943.649665918434</v>
      </c>
      <c r="X18" s="69">
        <v>21411.045333186485</v>
      </c>
      <c r="Y18" s="69">
        <v>39187.861103139039</v>
      </c>
      <c r="Z18" s="69">
        <v>41826.917817853013</v>
      </c>
      <c r="AA18" s="69">
        <v>104718.95141500099</v>
      </c>
      <c r="AB18" s="69">
        <v>39487.914775542566</v>
      </c>
      <c r="AC18" s="69">
        <v>48287.07023609602</v>
      </c>
    </row>
    <row r="19" spans="1:29" s="31" customFormat="1" ht="18" customHeight="1" x14ac:dyDescent="0.2">
      <c r="A19" s="73"/>
      <c r="B19" s="73"/>
      <c r="C19" s="73"/>
      <c r="D19" s="382" t="s">
        <v>81</v>
      </c>
      <c r="E19" s="382"/>
      <c r="F19" s="382"/>
      <c r="G19" s="382"/>
      <c r="H19" s="382"/>
      <c r="I19" s="382"/>
      <c r="J19" s="382"/>
      <c r="K19" s="69">
        <v>10498.463969103799</v>
      </c>
      <c r="L19" s="69">
        <v>9143.8536953242838</v>
      </c>
      <c r="M19" s="69">
        <v>10808.028490897454</v>
      </c>
      <c r="N19" s="69">
        <v>22753.23076139524</v>
      </c>
      <c r="O19" s="69">
        <v>13768.659011395468</v>
      </c>
      <c r="P19" s="69">
        <v>9289.8290068385922</v>
      </c>
      <c r="Q19" s="69">
        <v>12972.740763987365</v>
      </c>
      <c r="R19" s="69">
        <v>7805.2721289838237</v>
      </c>
      <c r="S19" s="69">
        <v>11449.950977207392</v>
      </c>
      <c r="T19" s="69">
        <v>8386.561446067386</v>
      </c>
      <c r="U19" s="69">
        <v>8284.1670969746483</v>
      </c>
      <c r="V19" s="69">
        <v>6626.5593209240651</v>
      </c>
      <c r="W19" s="69">
        <v>6361.978933036311</v>
      </c>
      <c r="X19" s="69">
        <v>7834.476668977436</v>
      </c>
      <c r="Y19" s="69">
        <v>14211.984630532359</v>
      </c>
      <c r="Z19" s="69">
        <v>9269.3203446293719</v>
      </c>
      <c r="AA19" s="69">
        <v>14605.005541262615</v>
      </c>
      <c r="AB19" s="69">
        <v>10881.981468635418</v>
      </c>
      <c r="AC19" s="69">
        <v>12084.613355724587</v>
      </c>
    </row>
    <row r="20" spans="1:29" s="31" customFormat="1" ht="18" customHeight="1" x14ac:dyDescent="0.2">
      <c r="A20" s="73"/>
      <c r="B20" s="73"/>
      <c r="C20" s="73"/>
      <c r="D20" s="382" t="s">
        <v>508</v>
      </c>
      <c r="E20" s="382"/>
      <c r="F20" s="382"/>
      <c r="G20" s="382"/>
      <c r="H20" s="382"/>
      <c r="I20" s="382"/>
      <c r="J20" s="382"/>
      <c r="K20" s="69"/>
      <c r="L20" s="69"/>
      <c r="M20" s="69"/>
      <c r="N20" s="69"/>
      <c r="O20" s="69"/>
      <c r="P20" s="69"/>
      <c r="Q20" s="69">
        <v>1070.351819817985</v>
      </c>
      <c r="R20" s="69">
        <v>1244.7916160318257</v>
      </c>
      <c r="S20" s="69">
        <v>644.77511245558696</v>
      </c>
      <c r="T20" s="69">
        <v>2277.3302703162722</v>
      </c>
      <c r="U20" s="69">
        <v>1337.4386400844871</v>
      </c>
      <c r="V20" s="69">
        <v>766.99159497918095</v>
      </c>
      <c r="W20" s="69">
        <v>833.56521355815403</v>
      </c>
      <c r="X20" s="69">
        <v>1722.0961328738777</v>
      </c>
      <c r="Y20" s="69">
        <v>6585.6468941338089</v>
      </c>
      <c r="Z20" s="69"/>
      <c r="AA20" s="69"/>
      <c r="AB20" s="69"/>
      <c r="AC20" s="69"/>
    </row>
    <row r="21" spans="1:29" s="31" customFormat="1" ht="18" customHeight="1" x14ac:dyDescent="0.2">
      <c r="A21" s="73"/>
      <c r="B21" s="73"/>
      <c r="C21" s="73"/>
      <c r="D21" s="382" t="s">
        <v>82</v>
      </c>
      <c r="E21" s="382"/>
      <c r="F21" s="382"/>
      <c r="G21" s="382"/>
      <c r="H21" s="382"/>
      <c r="I21" s="382"/>
      <c r="J21" s="382"/>
      <c r="K21" s="69">
        <v>81826.735714912706</v>
      </c>
      <c r="L21" s="69">
        <v>69034.313725490196</v>
      </c>
      <c r="M21" s="69">
        <v>69897.842297546144</v>
      </c>
      <c r="N21" s="69">
        <v>68863.716924801382</v>
      </c>
      <c r="O21" s="69">
        <v>108192.40037581508</v>
      </c>
      <c r="P21" s="69">
        <v>109723.26285833036</v>
      </c>
      <c r="Q21" s="69">
        <v>118106.83803333333</v>
      </c>
      <c r="R21" s="69">
        <v>84376.215362133225</v>
      </c>
      <c r="S21" s="69">
        <v>78660.942744985965</v>
      </c>
      <c r="T21" s="69">
        <v>81831.277449892179</v>
      </c>
      <c r="U21" s="69">
        <v>109930.41098629768</v>
      </c>
      <c r="V21" s="69">
        <v>74015.110222561503</v>
      </c>
      <c r="W21" s="69">
        <v>77724.644637656631</v>
      </c>
      <c r="X21" s="69">
        <v>87998.952088865422</v>
      </c>
      <c r="Y21" s="69">
        <v>99267.061005150492</v>
      </c>
      <c r="Z21" s="69">
        <v>80868.182671830495</v>
      </c>
      <c r="AA21" s="69">
        <v>97376.029586384335</v>
      </c>
      <c r="AB21" s="69">
        <v>110238.65097611732</v>
      </c>
      <c r="AC21" s="69">
        <v>99890.030326978158</v>
      </c>
    </row>
    <row r="22" spans="1:29" s="31" customFormat="1" ht="18" customHeight="1" x14ac:dyDescent="0.2">
      <c r="A22" s="73"/>
      <c r="B22" s="73"/>
      <c r="C22" s="73"/>
      <c r="D22" s="382" t="s">
        <v>83</v>
      </c>
      <c r="E22" s="382"/>
      <c r="F22" s="382"/>
      <c r="G22" s="382"/>
      <c r="H22" s="382"/>
      <c r="I22" s="382"/>
      <c r="J22" s="382"/>
      <c r="K22" s="69">
        <v>1894.8477135082899</v>
      </c>
      <c r="L22" s="69">
        <v>235.95399698340873</v>
      </c>
      <c r="M22" s="69">
        <v>2564.6590733141193</v>
      </c>
      <c r="N22" s="69">
        <v>458.61012627946997</v>
      </c>
      <c r="O22" s="69">
        <v>2039.0737578530116</v>
      </c>
      <c r="P22" s="69">
        <v>3536.5253209449857</v>
      </c>
      <c r="Q22" s="69">
        <v>1472.1492025697764</v>
      </c>
      <c r="R22" s="69">
        <v>602.85735497697669</v>
      </c>
      <c r="S22" s="69">
        <v>1476.9439860231901</v>
      </c>
      <c r="T22" s="69">
        <v>891.07134510428671</v>
      </c>
      <c r="U22" s="69">
        <v>4048.5089342760634</v>
      </c>
      <c r="V22" s="69">
        <v>107.88375571679059</v>
      </c>
      <c r="W22" s="69">
        <v>856.77598161588821</v>
      </c>
      <c r="X22" s="69">
        <v>691.69324222589739</v>
      </c>
      <c r="Y22" s="69">
        <v>1268.9206474522014</v>
      </c>
      <c r="Z22" s="69">
        <v>3711.0160479599931</v>
      </c>
      <c r="AA22" s="69">
        <v>2963.082624183653</v>
      </c>
      <c r="AB22" s="69">
        <v>2877.0433059161628</v>
      </c>
      <c r="AC22" s="69">
        <v>3473.7905759162304</v>
      </c>
    </row>
    <row r="23" spans="1:29" s="31" customFormat="1" ht="18" customHeight="1" x14ac:dyDescent="0.2">
      <c r="A23" s="73"/>
      <c r="B23" s="73"/>
      <c r="C23" s="73"/>
      <c r="D23" s="382" t="s">
        <v>363</v>
      </c>
      <c r="E23" s="382"/>
      <c r="F23" s="382"/>
      <c r="G23" s="382"/>
      <c r="H23" s="382"/>
      <c r="I23" s="382"/>
      <c r="J23" s="382"/>
      <c r="K23" s="69"/>
      <c r="L23" s="69"/>
      <c r="M23" s="69"/>
      <c r="N23" s="69"/>
      <c r="O23" s="69">
        <v>2632.0900472378039</v>
      </c>
      <c r="P23" s="69">
        <v>1276.8096722375521</v>
      </c>
      <c r="Q23" s="69">
        <v>4932.6408759286096</v>
      </c>
      <c r="R23" s="69">
        <v>1115.5614909882138</v>
      </c>
      <c r="S23" s="69">
        <v>957.57962255737368</v>
      </c>
      <c r="T23" s="69">
        <v>209.01556845704121</v>
      </c>
      <c r="U23" s="69">
        <v>1402.5887128556415</v>
      </c>
      <c r="V23" s="69">
        <v>5318.1773740599474</v>
      </c>
      <c r="W23" s="69">
        <v>890.88686035372837</v>
      </c>
      <c r="X23" s="69">
        <v>2301.4480027426393</v>
      </c>
      <c r="Y23" s="69">
        <v>6995.7540919151406</v>
      </c>
      <c r="Z23" s="69">
        <v>7331.7583326423101</v>
      </c>
      <c r="AA23" s="69">
        <v>8254.8159509202524</v>
      </c>
      <c r="AB23" s="69">
        <v>5557.5340402338916</v>
      </c>
      <c r="AC23" s="69">
        <v>15708.61157759554</v>
      </c>
    </row>
    <row r="24" spans="1:29" s="31" customFormat="1" ht="18" customHeight="1" x14ac:dyDescent="0.2">
      <c r="A24" s="73"/>
      <c r="B24" s="73"/>
      <c r="C24" s="73"/>
      <c r="D24" s="380" t="s">
        <v>364</v>
      </c>
      <c r="E24" s="380"/>
      <c r="F24" s="380"/>
      <c r="G24" s="380"/>
      <c r="H24" s="380"/>
      <c r="I24" s="380"/>
      <c r="J24" s="380"/>
      <c r="K24" s="70"/>
      <c r="L24" s="70"/>
      <c r="M24" s="70"/>
      <c r="N24" s="70">
        <v>-2762.0182520108151</v>
      </c>
      <c r="O24" s="70">
        <v>-5659.6609305383936</v>
      </c>
      <c r="P24" s="70">
        <v>-3878.2535147843819</v>
      </c>
      <c r="Q24" s="70">
        <v>-40564.607997071042</v>
      </c>
      <c r="R24" s="70">
        <v>-12252.469293528271</v>
      </c>
      <c r="S24" s="70">
        <v>-54465.809391447532</v>
      </c>
      <c r="T24" s="70">
        <v>-17958.292123792678</v>
      </c>
      <c r="U24" s="70">
        <v>-26711.461160462975</v>
      </c>
      <c r="V24" s="70">
        <v>-17351.43479024298</v>
      </c>
      <c r="W24" s="70">
        <v>-77423.955212317465</v>
      </c>
      <c r="X24" s="70">
        <v>-2238.7109830530358</v>
      </c>
      <c r="Y24" s="70">
        <v>-19000.294258138641</v>
      </c>
      <c r="Z24" s="70">
        <v>-13969.440734557935</v>
      </c>
      <c r="AA24" s="70">
        <v>-101726.44290520484</v>
      </c>
      <c r="AB24" s="70">
        <v>-17901.708552175205</v>
      </c>
      <c r="AC24" s="70">
        <v>-39116.992689914056</v>
      </c>
    </row>
    <row r="25" spans="1:29" s="31" customFormat="1" ht="18" customHeight="1" x14ac:dyDescent="0.2">
      <c r="A25" s="73"/>
      <c r="B25" s="73"/>
      <c r="C25" s="381" t="s">
        <v>84</v>
      </c>
      <c r="D25" s="343"/>
      <c r="E25" s="343"/>
      <c r="F25" s="343"/>
      <c r="G25" s="343"/>
      <c r="H25" s="343"/>
      <c r="I25" s="343"/>
      <c r="J25" s="343"/>
      <c r="K25" s="71">
        <v>5784.2534889844601</v>
      </c>
      <c r="L25" s="71">
        <v>13837.104072398191</v>
      </c>
      <c r="M25" s="71">
        <v>4946.7559841915217</v>
      </c>
      <c r="N25" s="71">
        <v>5068.0556626358994</v>
      </c>
      <c r="O25" s="71">
        <v>3918.8802193517358</v>
      </c>
      <c r="P25" s="71">
        <v>3385.4575115794219</v>
      </c>
      <c r="Q25" s="71">
        <v>5993.2663391547076</v>
      </c>
      <c r="R25" s="71">
        <v>4947.9403676866295</v>
      </c>
      <c r="S25" s="71">
        <v>2828.3442968039394</v>
      </c>
      <c r="T25" s="71">
        <v>6091.9617304779813</v>
      </c>
      <c r="U25" s="71">
        <v>3570.3544804638436</v>
      </c>
      <c r="V25" s="71">
        <v>5187.9385811366001</v>
      </c>
      <c r="W25" s="71">
        <v>4324.4646753415009</v>
      </c>
      <c r="X25" s="71">
        <v>2262.635664235529</v>
      </c>
      <c r="Y25" s="71">
        <v>9082.6803950665198</v>
      </c>
      <c r="Z25" s="71">
        <v>3342.6084855062199</v>
      </c>
      <c r="AA25" s="71">
        <v>3415.662180882644</v>
      </c>
      <c r="AB25" s="71">
        <v>6351.4206718858386</v>
      </c>
      <c r="AC25" s="71">
        <v>6789.0378346340012</v>
      </c>
    </row>
    <row r="26" spans="1:29"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738.85977481830651</v>
      </c>
      <c r="AA26" s="211">
        <v>797.90995448248566</v>
      </c>
      <c r="AB26" s="211">
        <v>647.49222079080369</v>
      </c>
      <c r="AC26" s="211">
        <v>1357.2145609009187</v>
      </c>
    </row>
    <row r="27" spans="1:29" s="31" customFormat="1" ht="18" customHeight="1" x14ac:dyDescent="0.2">
      <c r="A27" s="73"/>
      <c r="B27" s="73"/>
      <c r="C27" s="381" t="s">
        <v>85</v>
      </c>
      <c r="D27" s="381"/>
      <c r="E27" s="381"/>
      <c r="F27" s="381"/>
      <c r="G27" s="381"/>
      <c r="H27" s="381"/>
      <c r="I27" s="381"/>
      <c r="J27" s="381"/>
      <c r="K27" s="211">
        <v>41598.174317563396</v>
      </c>
      <c r="L27" s="211">
        <v>31909.407993966815</v>
      </c>
      <c r="M27" s="211">
        <v>53334.72271045627</v>
      </c>
      <c r="N27" s="211">
        <v>23811.382402793948</v>
      </c>
      <c r="O27" s="211">
        <v>55023.344210327414</v>
      </c>
      <c r="P27" s="211">
        <v>47091.699436140596</v>
      </c>
      <c r="Q27" s="211">
        <v>56088.693021624815</v>
      </c>
      <c r="R27" s="211">
        <v>40658.407893849522</v>
      </c>
      <c r="S27" s="211">
        <v>36862.227972731351</v>
      </c>
      <c r="T27" s="211">
        <v>43037.980646842996</v>
      </c>
      <c r="U27" s="211">
        <v>32669.664308606494</v>
      </c>
      <c r="V27" s="211">
        <v>32119.701880319284</v>
      </c>
      <c r="W27" s="211">
        <v>49785.98935042751</v>
      </c>
      <c r="X27" s="211">
        <v>50242.348888430308</v>
      </c>
      <c r="Y27" s="211">
        <v>53803.968284211274</v>
      </c>
      <c r="Z27" s="211">
        <v>63055.460731049381</v>
      </c>
      <c r="AA27" s="211">
        <v>47720.591133979819</v>
      </c>
      <c r="AB27" s="211">
        <v>67605.887127142996</v>
      </c>
      <c r="AC27" s="211">
        <v>64796.596364714009</v>
      </c>
    </row>
    <row r="28" spans="1:29" s="31" customFormat="1" ht="18" customHeight="1" x14ac:dyDescent="0.2">
      <c r="A28" s="74"/>
      <c r="B28" s="343" t="s">
        <v>86</v>
      </c>
      <c r="C28" s="343"/>
      <c r="D28" s="343"/>
      <c r="E28" s="343"/>
      <c r="F28" s="343"/>
      <c r="G28" s="343"/>
      <c r="H28" s="343"/>
      <c r="I28" s="343"/>
      <c r="J28" s="343"/>
      <c r="K28" s="71">
        <v>2082.5945756166102</v>
      </c>
      <c r="L28" s="71">
        <v>2013.6689291101059</v>
      </c>
      <c r="M28" s="71">
        <v>1760.6727370289193</v>
      </c>
      <c r="N28" s="71">
        <v>2559.4410936353843</v>
      </c>
      <c r="O28" s="71">
        <v>2312.3970530425672</v>
      </c>
      <c r="P28" s="71">
        <v>1662.6438580140386</v>
      </c>
      <c r="Q28" s="71">
        <v>4433.906702717637</v>
      </c>
      <c r="R28" s="71">
        <v>595.46738526004822</v>
      </c>
      <c r="S28" s="71">
        <v>1082.3637322357565</v>
      </c>
      <c r="T28" s="71">
        <v>2528.3560461986867</v>
      </c>
      <c r="U28" s="71">
        <v>317.73005814388762</v>
      </c>
      <c r="V28" s="71">
        <v>2358.4675002743024</v>
      </c>
      <c r="W28" s="71">
        <v>223.58119782662726</v>
      </c>
      <c r="X28" s="71">
        <v>571.30570174323259</v>
      </c>
      <c r="Y28" s="71">
        <v>388.38522522486272</v>
      </c>
      <c r="Z28" s="71">
        <v>1048.5833909450564</v>
      </c>
      <c r="AA28" s="71">
        <v>888.48208984761527</v>
      </c>
      <c r="AB28" s="71">
        <v>1404.0674858785055</v>
      </c>
      <c r="AC28" s="71">
        <v>2063.026474365307</v>
      </c>
    </row>
    <row r="29" spans="1:29" s="31" customFormat="1" ht="18" customHeight="1" x14ac:dyDescent="0.2">
      <c r="A29" s="383" t="s">
        <v>87</v>
      </c>
      <c r="B29" s="383"/>
      <c r="C29" s="383"/>
      <c r="D29" s="383"/>
      <c r="E29" s="383"/>
      <c r="F29" s="383"/>
      <c r="G29" s="383"/>
      <c r="H29" s="383"/>
      <c r="I29" s="383"/>
      <c r="J29" s="383"/>
      <c r="K29" s="188">
        <v>533244.711665057</v>
      </c>
      <c r="L29" s="188">
        <v>450963.14102564106</v>
      </c>
      <c r="M29" s="188">
        <v>579855.12148007145</v>
      </c>
      <c r="N29" s="188">
        <v>435844.99286287621</v>
      </c>
      <c r="O29" s="188">
        <v>455633.18728028255</v>
      </c>
      <c r="P29" s="188">
        <v>513427.42117030232</v>
      </c>
      <c r="Q29" s="188">
        <v>632946.13812436897</v>
      </c>
      <c r="R29" s="188">
        <v>452881.04241698893</v>
      </c>
      <c r="S29" s="188">
        <v>470614.82021797838</v>
      </c>
      <c r="T29" s="188">
        <v>429785.96056564001</v>
      </c>
      <c r="U29" s="188">
        <v>473123.61348224385</v>
      </c>
      <c r="V29" s="188">
        <v>375954.54162797297</v>
      </c>
      <c r="W29" s="188">
        <v>452314.46738543484</v>
      </c>
      <c r="X29" s="188">
        <v>430637.27388050605</v>
      </c>
      <c r="Y29" s="188">
        <v>551936.78160026029</v>
      </c>
      <c r="Z29" s="188">
        <v>538698.20548523322</v>
      </c>
      <c r="AA29" s="188">
        <v>585438.17702355038</v>
      </c>
      <c r="AB29" s="188">
        <v>637879.87582994741</v>
      </c>
      <c r="AC29" s="188">
        <v>616179.9066482269</v>
      </c>
    </row>
    <row r="30" spans="1:29" s="31" customFormat="1" ht="18" customHeight="1" x14ac:dyDescent="0.2">
      <c r="A30" s="73"/>
      <c r="B30" s="381" t="s">
        <v>88</v>
      </c>
      <c r="C30" s="381"/>
      <c r="D30" s="381"/>
      <c r="E30" s="381"/>
      <c r="F30" s="381"/>
      <c r="G30" s="381"/>
      <c r="H30" s="381"/>
      <c r="I30" s="381"/>
      <c r="J30" s="381"/>
      <c r="K30" s="211">
        <v>383752.47959273198</v>
      </c>
      <c r="L30" s="211">
        <v>302428.92156862747</v>
      </c>
      <c r="M30" s="211">
        <v>382488.11878388253</v>
      </c>
      <c r="N30" s="211">
        <v>273724.28114471474</v>
      </c>
      <c r="O30" s="211">
        <v>288943.92722827988</v>
      </c>
      <c r="P30" s="211">
        <v>280545.62017039739</v>
      </c>
      <c r="Q30" s="211">
        <v>328202.89800290007</v>
      </c>
      <c r="R30" s="211">
        <v>262186.21397915535</v>
      </c>
      <c r="S30" s="211">
        <v>285138.01997369505</v>
      </c>
      <c r="T30" s="211">
        <v>257319.74827691971</v>
      </c>
      <c r="U30" s="211">
        <v>295598.6160379845</v>
      </c>
      <c r="V30" s="211">
        <v>222546.22597645104</v>
      </c>
      <c r="W30" s="211">
        <v>234577.45316737451</v>
      </c>
      <c r="X30" s="211">
        <v>244113.99912658738</v>
      </c>
      <c r="Y30" s="211">
        <v>304654.61628416466</v>
      </c>
      <c r="Z30" s="211">
        <v>280112.08523952396</v>
      </c>
      <c r="AA30" s="211">
        <v>277587.45260241441</v>
      </c>
      <c r="AB30" s="211">
        <v>327856.84659597662</v>
      </c>
      <c r="AC30" s="211">
        <v>313694.38921268395</v>
      </c>
    </row>
    <row r="31" spans="1:29" s="31" customFormat="1" ht="18" customHeight="1" x14ac:dyDescent="0.2">
      <c r="A31" s="73"/>
      <c r="B31" s="73"/>
      <c r="C31" s="381" t="s">
        <v>89</v>
      </c>
      <c r="D31" s="381"/>
      <c r="E31" s="381"/>
      <c r="F31" s="381"/>
      <c r="G31" s="381"/>
      <c r="H31" s="381"/>
      <c r="I31" s="381"/>
      <c r="J31" s="381"/>
      <c r="K31" s="211">
        <v>228177.565171597</v>
      </c>
      <c r="L31" s="211">
        <v>169590.96907993968</v>
      </c>
      <c r="M31" s="211">
        <v>215017.20590855449</v>
      </c>
      <c r="N31" s="211">
        <v>159813.65463007777</v>
      </c>
      <c r="O31" s="211">
        <v>146806.21178949616</v>
      </c>
      <c r="P31" s="211">
        <v>138375.22808872617</v>
      </c>
      <c r="Q31" s="211">
        <v>181720.36768637097</v>
      </c>
      <c r="R31" s="211">
        <v>149023.84133879837</v>
      </c>
      <c r="S31" s="211">
        <v>158056.73599222113</v>
      </c>
      <c r="T31" s="211">
        <v>144532.10002685853</v>
      </c>
      <c r="U31" s="211">
        <v>159144.53395549196</v>
      </c>
      <c r="V31" s="211">
        <v>131736.01629974882</v>
      </c>
      <c r="W31" s="211">
        <v>130933.24687120202</v>
      </c>
      <c r="X31" s="211">
        <v>132780.2661094809</v>
      </c>
      <c r="Y31" s="211">
        <v>162261.86685885792</v>
      </c>
      <c r="Z31" s="211">
        <v>155431.94499058096</v>
      </c>
      <c r="AA31" s="211">
        <v>160036.09519097567</v>
      </c>
      <c r="AB31" s="211">
        <v>180718.96145079774</v>
      </c>
      <c r="AC31" s="211">
        <v>177366.31166650201</v>
      </c>
    </row>
    <row r="32" spans="1:29" s="31" customFormat="1" ht="18" customHeight="1" x14ac:dyDescent="0.2">
      <c r="A32" s="73"/>
      <c r="B32" s="73"/>
      <c r="C32" s="73"/>
      <c r="D32" s="390" t="s">
        <v>90</v>
      </c>
      <c r="E32" s="390"/>
      <c r="F32" s="390"/>
      <c r="G32" s="390"/>
      <c r="H32" s="390"/>
      <c r="I32" s="390"/>
      <c r="J32" s="390"/>
      <c r="K32" s="68">
        <v>81706.574212235602</v>
      </c>
      <c r="L32" s="68">
        <v>70567.119155354449</v>
      </c>
      <c r="M32" s="68">
        <v>83271.031743403582</v>
      </c>
      <c r="N32" s="68">
        <v>65197.228922441594</v>
      </c>
      <c r="O32" s="68">
        <v>62919.536032985256</v>
      </c>
      <c r="P32" s="68">
        <v>58066.606346215602</v>
      </c>
      <c r="Q32" s="68">
        <v>91202.461981727974</v>
      </c>
      <c r="R32" s="68">
        <v>55978.347209041101</v>
      </c>
      <c r="S32" s="68">
        <v>63839.651176012609</v>
      </c>
      <c r="T32" s="68">
        <v>56390.662090524216</v>
      </c>
      <c r="U32" s="68">
        <v>55525.12938616192</v>
      </c>
      <c r="V32" s="68">
        <v>49876.578993154719</v>
      </c>
      <c r="W32" s="68">
        <v>52969.360789005841</v>
      </c>
      <c r="X32" s="68">
        <v>59182.911050414907</v>
      </c>
      <c r="Y32" s="68">
        <v>83852.357949327983</v>
      </c>
      <c r="Z32" s="68">
        <v>70808.698215586643</v>
      </c>
      <c r="AA32" s="68">
        <v>74036.760439342965</v>
      </c>
      <c r="AB32" s="68">
        <v>72465.820731344764</v>
      </c>
      <c r="AC32" s="68">
        <v>81504.762224636957</v>
      </c>
    </row>
    <row r="33" spans="1:29" s="31" customFormat="1" ht="18" customHeight="1" x14ac:dyDescent="0.2">
      <c r="A33" s="73"/>
      <c r="B33" s="73"/>
      <c r="C33" s="73"/>
      <c r="D33" s="382" t="s">
        <v>91</v>
      </c>
      <c r="E33" s="382"/>
      <c r="F33" s="382"/>
      <c r="G33" s="382"/>
      <c r="H33" s="382"/>
      <c r="I33" s="382"/>
      <c r="J33" s="382"/>
      <c r="K33" s="69">
        <v>75039.146844553703</v>
      </c>
      <c r="L33" s="69">
        <v>53316.553544494724</v>
      </c>
      <c r="M33" s="69">
        <v>60667.071084082338</v>
      </c>
      <c r="N33" s="69">
        <v>48631.88902735569</v>
      </c>
      <c r="O33" s="69">
        <v>38100.021743357705</v>
      </c>
      <c r="P33" s="69">
        <v>38972.183673001447</v>
      </c>
      <c r="Q33" s="69">
        <v>49377.838806102605</v>
      </c>
      <c r="R33" s="69">
        <v>60683.803720079799</v>
      </c>
      <c r="S33" s="69">
        <v>43266.41569144871</v>
      </c>
      <c r="T33" s="69">
        <v>44745.360053307457</v>
      </c>
      <c r="U33" s="69">
        <v>33799.902617060368</v>
      </c>
      <c r="V33" s="69">
        <v>26420.996068236804</v>
      </c>
      <c r="W33" s="69">
        <v>38593.682227308826</v>
      </c>
      <c r="X33" s="69">
        <v>27281.710143224074</v>
      </c>
      <c r="Y33" s="69">
        <v>32609.539528311743</v>
      </c>
      <c r="Z33" s="69">
        <v>36084.491550964136</v>
      </c>
      <c r="AA33" s="69">
        <v>39009.836235899471</v>
      </c>
      <c r="AB33" s="69">
        <v>47236.130016846691</v>
      </c>
      <c r="AC33" s="69">
        <v>45903.62441963845</v>
      </c>
    </row>
    <row r="34" spans="1:29" s="31" customFormat="1" ht="18" customHeight="1" x14ac:dyDescent="0.2">
      <c r="A34" s="73"/>
      <c r="B34" s="73"/>
      <c r="C34" s="73"/>
      <c r="D34" s="382" t="s">
        <v>92</v>
      </c>
      <c r="E34" s="382"/>
      <c r="F34" s="382"/>
      <c r="G34" s="382"/>
      <c r="H34" s="382"/>
      <c r="I34" s="382"/>
      <c r="J34" s="382"/>
      <c r="K34" s="69">
        <v>24509.260071974</v>
      </c>
      <c r="L34" s="69">
        <v>12813.348416289593</v>
      </c>
      <c r="M34" s="69">
        <v>33654.241244638397</v>
      </c>
      <c r="N34" s="69">
        <v>20193.468160121</v>
      </c>
      <c r="O34" s="69">
        <v>17057.722319762976</v>
      </c>
      <c r="P34" s="69">
        <v>8410.3029813987796</v>
      </c>
      <c r="Q34" s="69">
        <v>12019.794675590321</v>
      </c>
      <c r="R34" s="69">
        <v>7559.993345655831</v>
      </c>
      <c r="S34" s="69">
        <v>13555.229107936248</v>
      </c>
      <c r="T34" s="69">
        <v>16320.626612296088</v>
      </c>
      <c r="U34" s="69">
        <v>27997.398745049501</v>
      </c>
      <c r="V34" s="69">
        <v>18349.993246293387</v>
      </c>
      <c r="W34" s="69">
        <v>5591.3953582867161</v>
      </c>
      <c r="X34" s="69">
        <v>8708.0602247696206</v>
      </c>
      <c r="Y34" s="69">
        <v>3280.7754887799028</v>
      </c>
      <c r="Z34" s="69">
        <v>10167.693979817634</v>
      </c>
      <c r="AA34" s="69">
        <v>8812.0414605185033</v>
      </c>
      <c r="AB34" s="69">
        <v>10990.599445050044</v>
      </c>
      <c r="AC34" s="69">
        <v>10065.815370937467</v>
      </c>
    </row>
    <row r="35" spans="1:29" s="31" customFormat="1" ht="18" customHeight="1" x14ac:dyDescent="0.2">
      <c r="A35" s="73"/>
      <c r="B35" s="73"/>
      <c r="C35" s="73"/>
      <c r="D35" s="382" t="s">
        <v>509</v>
      </c>
      <c r="E35" s="382"/>
      <c r="F35" s="382"/>
      <c r="G35" s="382"/>
      <c r="H35" s="382"/>
      <c r="I35" s="382"/>
      <c r="J35" s="382"/>
      <c r="K35" s="69"/>
      <c r="L35" s="69"/>
      <c r="M35" s="69"/>
      <c r="N35" s="69"/>
      <c r="O35" s="69"/>
      <c r="P35" s="69"/>
      <c r="Q35" s="69">
        <v>904.75544343275828</v>
      </c>
      <c r="R35" s="69">
        <v>440.10661245030735</v>
      </c>
      <c r="S35" s="69">
        <v>199.46067329512121</v>
      </c>
      <c r="T35" s="69">
        <v>182.32445875361663</v>
      </c>
      <c r="U35" s="69">
        <v>221.83558287445746</v>
      </c>
      <c r="V35" s="69">
        <v>224.09385387842173</v>
      </c>
      <c r="W35" s="69">
        <v>537.98862723549996</v>
      </c>
      <c r="X35" s="69">
        <v>315.5566906978184</v>
      </c>
      <c r="Y35" s="69">
        <v>1292.8021877485469</v>
      </c>
      <c r="Z35" s="69"/>
      <c r="AA35" s="69"/>
      <c r="AB35" s="69"/>
      <c r="AC35" s="69"/>
    </row>
    <row r="36" spans="1:29" s="31" customFormat="1" ht="18" customHeight="1" x14ac:dyDescent="0.2">
      <c r="A36" s="73"/>
      <c r="B36" s="73"/>
      <c r="C36" s="73"/>
      <c r="D36" s="380" t="s">
        <v>93</v>
      </c>
      <c r="E36" s="380"/>
      <c r="F36" s="380"/>
      <c r="G36" s="380"/>
      <c r="H36" s="380"/>
      <c r="I36" s="380"/>
      <c r="J36" s="380"/>
      <c r="K36" s="70">
        <v>46922.496269639298</v>
      </c>
      <c r="L36" s="70">
        <v>32893.947963800907</v>
      </c>
      <c r="M36" s="70">
        <v>37424.861836430158</v>
      </c>
      <c r="N36" s="70">
        <v>25791.06852015917</v>
      </c>
      <c r="O36" s="70">
        <v>28728.931693390328</v>
      </c>
      <c r="P36" s="70">
        <v>32926.135088109804</v>
      </c>
      <c r="Q36" s="70">
        <v>28215.516779516915</v>
      </c>
      <c r="R36" s="70">
        <v>24361.590451571199</v>
      </c>
      <c r="S36" s="70">
        <v>37195.97934352851</v>
      </c>
      <c r="T36" s="70">
        <v>26893.126811977319</v>
      </c>
      <c r="U36" s="70">
        <v>41600.267624345761</v>
      </c>
      <c r="V36" s="70">
        <v>36864.354138185416</v>
      </c>
      <c r="W36" s="70">
        <v>33240.819869365143</v>
      </c>
      <c r="X36" s="70">
        <v>37292.028000374507</v>
      </c>
      <c r="Y36" s="70">
        <v>41226.391704689704</v>
      </c>
      <c r="Z36" s="70">
        <v>38371.061244212542</v>
      </c>
      <c r="AA36" s="70">
        <v>38177.45705521472</v>
      </c>
      <c r="AB36" s="70">
        <v>50026.411257556247</v>
      </c>
      <c r="AC36" s="70">
        <v>39892.109651289124</v>
      </c>
    </row>
    <row r="37" spans="1:29" s="31" customFormat="1" ht="18" customHeight="1" x14ac:dyDescent="0.2">
      <c r="A37" s="73"/>
      <c r="B37" s="73"/>
      <c r="C37" s="381" t="s">
        <v>94</v>
      </c>
      <c r="D37" s="381"/>
      <c r="E37" s="381"/>
      <c r="F37" s="381"/>
      <c r="G37" s="381"/>
      <c r="H37" s="381"/>
      <c r="I37" s="381"/>
      <c r="J37" s="381"/>
      <c r="K37" s="211">
        <v>155574.914421136</v>
      </c>
      <c r="L37" s="211">
        <v>132837.95248868779</v>
      </c>
      <c r="M37" s="211">
        <v>167470.9128753281</v>
      </c>
      <c r="N37" s="211">
        <v>113910.62651463797</v>
      </c>
      <c r="O37" s="211">
        <v>142137.71543878375</v>
      </c>
      <c r="P37" s="211">
        <v>142170.39208167227</v>
      </c>
      <c r="Q37" s="211">
        <v>146482.5303165291</v>
      </c>
      <c r="R37" s="211">
        <v>113162.37264035712</v>
      </c>
      <c r="S37" s="211">
        <v>127081.2839814738</v>
      </c>
      <c r="T37" s="211">
        <v>112787.64825006117</v>
      </c>
      <c r="U37" s="211">
        <v>136454.08208249244</v>
      </c>
      <c r="V37" s="211">
        <v>90810.20967670242</v>
      </c>
      <c r="W37" s="211">
        <v>103644.20629617252</v>
      </c>
      <c r="X37" s="211">
        <v>111333.73301710628</v>
      </c>
      <c r="Y37" s="211">
        <v>142392.74942530674</v>
      </c>
      <c r="Z37" s="211">
        <v>124680.1402489429</v>
      </c>
      <c r="AA37" s="211">
        <v>117551.35741143874</v>
      </c>
      <c r="AB37" s="211">
        <v>147137.88514517888</v>
      </c>
      <c r="AC37" s="211">
        <v>136328.07754618197</v>
      </c>
    </row>
    <row r="38" spans="1:29" s="31" customFormat="1" ht="18" customHeight="1" x14ac:dyDescent="0.2">
      <c r="A38" s="73"/>
      <c r="B38" s="73"/>
      <c r="C38" s="73"/>
      <c r="D38" s="390" t="s">
        <v>95</v>
      </c>
      <c r="E38" s="390"/>
      <c r="F38" s="390"/>
      <c r="G38" s="390"/>
      <c r="H38" s="390"/>
      <c r="I38" s="390"/>
      <c r="J38" s="390"/>
      <c r="K38" s="68">
        <v>5799.087158781711</v>
      </c>
      <c r="L38" s="68">
        <v>7699.8491704374055</v>
      </c>
      <c r="M38" s="68">
        <v>5526.1474752554359</v>
      </c>
      <c r="N38" s="68">
        <v>4609.2647329445535</v>
      </c>
      <c r="O38" s="68">
        <v>14723.79295765244</v>
      </c>
      <c r="P38" s="68">
        <v>3827.0476410715005</v>
      </c>
      <c r="Q38" s="68">
        <v>8909.8357484353437</v>
      </c>
      <c r="R38" s="68">
        <v>2922.0838200927392</v>
      </c>
      <c r="S38" s="68">
        <v>4386.4432657794678</v>
      </c>
      <c r="T38" s="68">
        <v>3319.2164659524169</v>
      </c>
      <c r="U38" s="68">
        <v>2486.4832558539615</v>
      </c>
      <c r="V38" s="68">
        <v>3365.2333905380106</v>
      </c>
      <c r="W38" s="68">
        <v>2132.3739583953602</v>
      </c>
      <c r="X38" s="68">
        <v>4383.3396311385104</v>
      </c>
      <c r="Y38" s="68">
        <v>2588.9369407190525</v>
      </c>
      <c r="Z38" s="68">
        <v>6162.1260846008418</v>
      </c>
      <c r="AA38" s="68">
        <v>2610.9492380763904</v>
      </c>
      <c r="AB38" s="68">
        <v>5556.184223565554</v>
      </c>
      <c r="AC38" s="68">
        <v>3673.4013632322431</v>
      </c>
    </row>
    <row r="39" spans="1:29" s="31" customFormat="1" ht="18" customHeight="1" x14ac:dyDescent="0.2">
      <c r="A39" s="73"/>
      <c r="B39" s="73"/>
      <c r="C39" s="73"/>
      <c r="D39" s="382" t="s">
        <v>96</v>
      </c>
      <c r="E39" s="382"/>
      <c r="F39" s="382"/>
      <c r="G39" s="382"/>
      <c r="H39" s="382"/>
      <c r="I39" s="382"/>
      <c r="J39" s="382"/>
      <c r="K39" s="69">
        <v>120452.558588607</v>
      </c>
      <c r="L39" s="69">
        <v>101000.09426847662</v>
      </c>
      <c r="M39" s="69">
        <v>119589.89074297361</v>
      </c>
      <c r="N39" s="69">
        <v>89529.660558416377</v>
      </c>
      <c r="O39" s="69">
        <v>103366.50826532036</v>
      </c>
      <c r="P39" s="69">
        <v>99123.301686548657</v>
      </c>
      <c r="Q39" s="69">
        <v>100483.04732875385</v>
      </c>
      <c r="R39" s="69">
        <v>80590.56508520538</v>
      </c>
      <c r="S39" s="69">
        <v>86403.778942965568</v>
      </c>
      <c r="T39" s="69">
        <v>80284.252044968423</v>
      </c>
      <c r="U39" s="69">
        <v>93585.13875006439</v>
      </c>
      <c r="V39" s="69">
        <v>61235.427976848921</v>
      </c>
      <c r="W39" s="69">
        <v>69082.642004749083</v>
      </c>
      <c r="X39" s="69">
        <v>79771.886569885595</v>
      </c>
      <c r="Y39" s="69">
        <v>79547.904929998185</v>
      </c>
      <c r="Z39" s="69">
        <v>74848.636017357392</v>
      </c>
      <c r="AA39" s="69">
        <v>82063.153275282006</v>
      </c>
      <c r="AB39" s="69">
        <v>101187.39223070063</v>
      </c>
      <c r="AC39" s="69">
        <v>97431.564259606836</v>
      </c>
    </row>
    <row r="40" spans="1:29" s="31" customFormat="1" ht="18" customHeight="1" x14ac:dyDescent="0.2">
      <c r="A40" s="73"/>
      <c r="B40" s="73"/>
      <c r="C40" s="73"/>
      <c r="D40" s="382" t="s">
        <v>97</v>
      </c>
      <c r="E40" s="382"/>
      <c r="F40" s="382"/>
      <c r="G40" s="382"/>
      <c r="H40" s="382"/>
      <c r="I40" s="382"/>
      <c r="J40" s="382"/>
      <c r="K40" s="69">
        <v>11873.167734573899</v>
      </c>
      <c r="L40" s="69">
        <v>16612.745098039217</v>
      </c>
      <c r="M40" s="69">
        <v>21484.491618066459</v>
      </c>
      <c r="N40" s="69">
        <v>11688.949839850155</v>
      </c>
      <c r="O40" s="69">
        <v>13338.737551111873</v>
      </c>
      <c r="P40" s="69">
        <v>14284.831886356977</v>
      </c>
      <c r="Q40" s="69">
        <v>12573.201702624585</v>
      </c>
      <c r="R40" s="69">
        <v>17679.988451316731</v>
      </c>
      <c r="S40" s="69">
        <v>12955.054457432354</v>
      </c>
      <c r="T40" s="69">
        <v>14000.044801779384</v>
      </c>
      <c r="U40" s="69">
        <v>23593.486487198825</v>
      </c>
      <c r="V40" s="69">
        <v>16314.889276122489</v>
      </c>
      <c r="W40" s="69">
        <v>15748.735779022802</v>
      </c>
      <c r="X40" s="69">
        <v>9789.7518835560786</v>
      </c>
      <c r="Y40" s="69">
        <v>15452.881307305861</v>
      </c>
      <c r="Z40" s="69">
        <v>17712.233751283915</v>
      </c>
      <c r="AA40" s="69">
        <v>11366.314466653474</v>
      </c>
      <c r="AB40" s="69">
        <v>14806.038549202258</v>
      </c>
      <c r="AC40" s="69">
        <v>14636.089597945274</v>
      </c>
    </row>
    <row r="41" spans="1:29" s="31" customFormat="1" ht="18" customHeight="1" x14ac:dyDescent="0.2">
      <c r="A41" s="73"/>
      <c r="B41" s="73"/>
      <c r="C41" s="73"/>
      <c r="D41" s="382" t="s">
        <v>509</v>
      </c>
      <c r="E41" s="382"/>
      <c r="F41" s="382"/>
      <c r="G41" s="382"/>
      <c r="H41" s="382"/>
      <c r="I41" s="382"/>
      <c r="J41" s="382"/>
      <c r="K41" s="69"/>
      <c r="L41" s="69"/>
      <c r="M41" s="69"/>
      <c r="N41" s="69"/>
      <c r="O41" s="69"/>
      <c r="P41" s="69"/>
      <c r="Q41" s="69">
        <v>1715.3676085300301</v>
      </c>
      <c r="R41" s="69">
        <v>733.84228597601475</v>
      </c>
      <c r="S41" s="69">
        <v>527.17447975799337</v>
      </c>
      <c r="T41" s="69">
        <v>2130.704610183077</v>
      </c>
      <c r="U41" s="69">
        <v>698.71235107339612</v>
      </c>
      <c r="V41" s="69">
        <v>471.84907944466113</v>
      </c>
      <c r="W41" s="69">
        <v>427.26861631391654</v>
      </c>
      <c r="X41" s="69">
        <v>1474.5655528286607</v>
      </c>
      <c r="Y41" s="69">
        <v>4845.5565830339901</v>
      </c>
      <c r="Z41" s="69"/>
      <c r="AA41" s="69"/>
      <c r="AB41" s="69"/>
      <c r="AC41" s="69"/>
    </row>
    <row r="42" spans="1:29" s="31" customFormat="1" ht="18" customHeight="1" x14ac:dyDescent="0.2">
      <c r="A42" s="73"/>
      <c r="B42" s="73"/>
      <c r="C42" s="73"/>
      <c r="D42" s="380" t="s">
        <v>98</v>
      </c>
      <c r="E42" s="380"/>
      <c r="F42" s="380"/>
      <c r="G42" s="380"/>
      <c r="H42" s="380"/>
      <c r="I42" s="380"/>
      <c r="J42" s="380"/>
      <c r="K42" s="70">
        <v>17450.1009391732</v>
      </c>
      <c r="L42" s="70">
        <v>7525.2639517345397</v>
      </c>
      <c r="M42" s="70">
        <v>20870.383039032538</v>
      </c>
      <c r="N42" s="70">
        <v>8082.75138342635</v>
      </c>
      <c r="O42" s="70">
        <v>10708.676664698884</v>
      </c>
      <c r="P42" s="70">
        <v>24935.210867694885</v>
      </c>
      <c r="Q42" s="70">
        <v>22801.077928185739</v>
      </c>
      <c r="R42" s="70">
        <v>11235.892997766268</v>
      </c>
      <c r="S42" s="70">
        <v>22808.832835538433</v>
      </c>
      <c r="T42" s="70">
        <v>13053.430327177888</v>
      </c>
      <c r="U42" s="70">
        <v>16090.261238301868</v>
      </c>
      <c r="V42" s="70">
        <v>9422.809953748203</v>
      </c>
      <c r="W42" s="70">
        <v>16253.185937691345</v>
      </c>
      <c r="X42" s="70">
        <v>15914.189379697456</v>
      </c>
      <c r="Y42" s="70">
        <v>39957.469664249737</v>
      </c>
      <c r="Z42" s="70">
        <v>25957.144395700758</v>
      </c>
      <c r="AA42" s="70">
        <v>21510.940431426876</v>
      </c>
      <c r="AB42" s="70">
        <v>25588.27014171044</v>
      </c>
      <c r="AC42" s="70">
        <v>20587.022325397615</v>
      </c>
    </row>
    <row r="43" spans="1:29" s="31" customFormat="1" ht="18" customHeight="1" x14ac:dyDescent="0.2">
      <c r="A43" s="73"/>
      <c r="B43" s="381" t="s">
        <v>365</v>
      </c>
      <c r="C43" s="381"/>
      <c r="D43" s="381"/>
      <c r="E43" s="381"/>
      <c r="F43" s="381"/>
      <c r="G43" s="381"/>
      <c r="H43" s="381"/>
      <c r="I43" s="381"/>
      <c r="J43" s="381"/>
      <c r="K43" s="211">
        <v>149492.23207232502</v>
      </c>
      <c r="L43" s="211">
        <v>148534.21945701356</v>
      </c>
      <c r="M43" s="211">
        <v>197367.00269618895</v>
      </c>
      <c r="N43" s="211">
        <v>162120.71171816153</v>
      </c>
      <c r="O43" s="211">
        <v>166689.26005200355</v>
      </c>
      <c r="P43" s="211">
        <v>232881.80099990391</v>
      </c>
      <c r="Q43" s="211">
        <v>304743.24012146896</v>
      </c>
      <c r="R43" s="211">
        <v>190694.82843783332</v>
      </c>
      <c r="S43" s="211">
        <v>185476.80024428348</v>
      </c>
      <c r="T43" s="211">
        <v>172466.2122887203</v>
      </c>
      <c r="U43" s="211">
        <v>177524.99744425935</v>
      </c>
      <c r="V43" s="211">
        <v>153408.31565152138</v>
      </c>
      <c r="W43" s="211">
        <v>217737.01421806036</v>
      </c>
      <c r="X43" s="211">
        <v>186523.27475391861</v>
      </c>
      <c r="Y43" s="211">
        <v>247282.16531609549</v>
      </c>
      <c r="Z43" s="211">
        <v>258586.1202457092</v>
      </c>
      <c r="AA43" s="211">
        <v>307850.7243221848</v>
      </c>
      <c r="AB43" s="211">
        <v>310023.02923397085</v>
      </c>
      <c r="AC43" s="211">
        <v>302485.51743554283</v>
      </c>
    </row>
    <row r="44" spans="1:29" s="31" customFormat="1" ht="18" customHeight="1" x14ac:dyDescent="0.2">
      <c r="A44" s="73"/>
      <c r="B44" s="105"/>
      <c r="C44" s="384" t="s">
        <v>366</v>
      </c>
      <c r="D44" s="385"/>
      <c r="E44" s="385"/>
      <c r="F44" s="385"/>
      <c r="G44" s="385"/>
      <c r="H44" s="385"/>
      <c r="I44" s="385"/>
      <c r="J44" s="386"/>
      <c r="K44" s="211">
        <v>138063.10892653401</v>
      </c>
      <c r="L44" s="211"/>
      <c r="M44" s="211"/>
      <c r="N44" s="211"/>
      <c r="O44" s="211"/>
      <c r="P44" s="211">
        <v>187968.85337836834</v>
      </c>
      <c r="Q44" s="211">
        <v>285759.96856817394</v>
      </c>
      <c r="R44" s="211">
        <v>188291.62277570387</v>
      </c>
      <c r="S44" s="211">
        <v>169915.83541726464</v>
      </c>
      <c r="T44" s="211">
        <v>161211.13329132795</v>
      </c>
      <c r="U44" s="211">
        <v>163238.40823779113</v>
      </c>
      <c r="V44" s="211">
        <v>147486.64627650467</v>
      </c>
      <c r="W44" s="211">
        <v>206644.3279336968</v>
      </c>
      <c r="X44" s="211">
        <v>177943.17815418987</v>
      </c>
      <c r="Y44" s="211">
        <v>234257.32502528946</v>
      </c>
      <c r="Z44" s="211">
        <v>247164.41331826957</v>
      </c>
      <c r="AA44" s="211">
        <v>294650.51889966358</v>
      </c>
      <c r="AB44" s="211">
        <v>302002.42453671584</v>
      </c>
      <c r="AC44" s="211">
        <v>278984.72211794922</v>
      </c>
    </row>
    <row r="45" spans="1:29" s="31" customFormat="1" ht="18" customHeight="1" x14ac:dyDescent="0.2">
      <c r="A45" s="73"/>
      <c r="B45" s="73"/>
      <c r="C45" s="216"/>
      <c r="D45" s="373" t="s">
        <v>99</v>
      </c>
      <c r="E45" s="374"/>
      <c r="F45" s="374"/>
      <c r="G45" s="374"/>
      <c r="H45" s="374"/>
      <c r="I45" s="374"/>
      <c r="J45" s="375"/>
      <c r="K45" s="68">
        <v>26590.713596067799</v>
      </c>
      <c r="L45" s="68">
        <v>39616.233031674208</v>
      </c>
      <c r="M45" s="68">
        <v>30362.275402433534</v>
      </c>
      <c r="N45" s="68">
        <v>19967.308854106235</v>
      </c>
      <c r="O45" s="68">
        <v>18021.31845958166</v>
      </c>
      <c r="P45" s="68">
        <v>19805.514193174007</v>
      </c>
      <c r="Q45" s="68">
        <v>24274.843458423707</v>
      </c>
      <c r="R45" s="68">
        <v>18702.842942785013</v>
      </c>
      <c r="S45" s="68">
        <v>20091.339066166263</v>
      </c>
      <c r="T45" s="68">
        <v>16691.702685137348</v>
      </c>
      <c r="U45" s="68">
        <v>22046.126815028907</v>
      </c>
      <c r="V45" s="68">
        <v>20868.531040628241</v>
      </c>
      <c r="W45" s="68">
        <v>30795.086696125953</v>
      </c>
      <c r="X45" s="68">
        <v>26224.350212593137</v>
      </c>
      <c r="Y45" s="68">
        <v>27420.194699835196</v>
      </c>
      <c r="Z45" s="68">
        <v>19123.735568503595</v>
      </c>
      <c r="AA45" s="68">
        <v>23593.627152186818</v>
      </c>
      <c r="AB45" s="68">
        <v>18610.717768308394</v>
      </c>
      <c r="AC45" s="68">
        <v>18528.956534624125</v>
      </c>
    </row>
    <row r="46" spans="1:29" s="31" customFormat="1" ht="18" customHeight="1" x14ac:dyDescent="0.2">
      <c r="A46" s="73"/>
      <c r="B46" s="73"/>
      <c r="C46" s="216"/>
      <c r="D46" s="376" t="s">
        <v>100</v>
      </c>
      <c r="E46" s="377"/>
      <c r="F46" s="377"/>
      <c r="G46" s="377"/>
      <c r="H46" s="377"/>
      <c r="I46" s="377"/>
      <c r="J46" s="378"/>
      <c r="K46" s="69">
        <v>11377.512507680201</v>
      </c>
      <c r="L46" s="69">
        <v>29085.595776772247</v>
      </c>
      <c r="M46" s="69">
        <v>5007.3014444426854</v>
      </c>
      <c r="N46" s="69">
        <v>34162.889945232484</v>
      </c>
      <c r="O46" s="69">
        <v>7056.2506442060794</v>
      </c>
      <c r="P46" s="69">
        <v>4299.9143401032115</v>
      </c>
      <c r="Q46" s="69">
        <v>22030.763631905476</v>
      </c>
      <c r="R46" s="69">
        <v>1410.2366205464314</v>
      </c>
      <c r="S46" s="69">
        <v>19023.812072780238</v>
      </c>
      <c r="T46" s="69">
        <v>12699.138474572705</v>
      </c>
      <c r="U46" s="69">
        <v>34262.671457899582</v>
      </c>
      <c r="V46" s="69">
        <v>13612.629666930536</v>
      </c>
      <c r="W46" s="69">
        <v>10203.245553762059</v>
      </c>
      <c r="X46" s="69">
        <v>6839.3163647281353</v>
      </c>
      <c r="Y46" s="69">
        <v>19020.788053699809</v>
      </c>
      <c r="Z46" s="69">
        <v>41018.627339196828</v>
      </c>
      <c r="AA46" s="69">
        <v>16037.518800712447</v>
      </c>
      <c r="AB46" s="69">
        <v>10105.836190664948</v>
      </c>
      <c r="AC46" s="69">
        <v>29845.584115380818</v>
      </c>
    </row>
    <row r="47" spans="1:29" s="31" customFormat="1" ht="18" customHeight="1" x14ac:dyDescent="0.2">
      <c r="A47" s="73"/>
      <c r="B47" s="73"/>
      <c r="C47" s="216"/>
      <c r="D47" s="376" t="s">
        <v>101</v>
      </c>
      <c r="E47" s="377"/>
      <c r="F47" s="377"/>
      <c r="G47" s="377"/>
      <c r="H47" s="377"/>
      <c r="I47" s="377"/>
      <c r="J47" s="378"/>
      <c r="K47" s="69">
        <v>100094.88282278601</v>
      </c>
      <c r="L47" s="69">
        <v>72037.613122171941</v>
      </c>
      <c r="M47" s="69">
        <v>158653.40943028429</v>
      </c>
      <c r="N47" s="69">
        <v>76568.58312207472</v>
      </c>
      <c r="O47" s="69">
        <v>136280.32096492808</v>
      </c>
      <c r="P47" s="69">
        <v>165006.26424918917</v>
      </c>
      <c r="Q47" s="69">
        <v>239709.96665735383</v>
      </c>
      <c r="R47" s="69">
        <v>169671.01020392572</v>
      </c>
      <c r="S47" s="69">
        <v>131698.96055757627</v>
      </c>
      <c r="T47" s="69">
        <v>132950.6480180356</v>
      </c>
      <c r="U47" s="69">
        <v>107530.49045164486</v>
      </c>
      <c r="V47" s="69">
        <v>113856.39951299918</v>
      </c>
      <c r="W47" s="69">
        <v>168131.08535990497</v>
      </c>
      <c r="X47" s="69">
        <v>148314.85741191613</v>
      </c>
      <c r="Y47" s="69">
        <v>189636.26584565753</v>
      </c>
      <c r="Z47" s="69">
        <v>188508.72134666922</v>
      </c>
      <c r="AA47" s="69">
        <v>258466.262121512</v>
      </c>
      <c r="AB47" s="69">
        <v>275232.42513130512</v>
      </c>
      <c r="AC47" s="69">
        <v>234589.43900029635</v>
      </c>
    </row>
    <row r="48" spans="1:29" s="31" customFormat="1" ht="18" customHeight="1" x14ac:dyDescent="0.2">
      <c r="A48" s="73"/>
      <c r="B48" s="73"/>
      <c r="C48" s="217"/>
      <c r="D48" s="387" t="s">
        <v>367</v>
      </c>
      <c r="E48" s="388"/>
      <c r="F48" s="388"/>
      <c r="G48" s="388"/>
      <c r="H48" s="388"/>
      <c r="I48" s="388"/>
      <c r="J48" s="389"/>
      <c r="K48" s="210"/>
      <c r="L48" s="210"/>
      <c r="M48" s="210"/>
      <c r="N48" s="210"/>
      <c r="O48" s="210">
        <v>-735.8254003943216</v>
      </c>
      <c r="P48" s="210">
        <v>-1142.8394040978123</v>
      </c>
      <c r="Q48" s="210">
        <v>-255.60517950927485</v>
      </c>
      <c r="R48" s="210">
        <v>-1492.46699155337</v>
      </c>
      <c r="S48" s="210">
        <v>-898.27627925800095</v>
      </c>
      <c r="T48" s="210">
        <v>-1130.3558864177837</v>
      </c>
      <c r="U48" s="210">
        <v>-600.88048678232087</v>
      </c>
      <c r="V48" s="210">
        <v>-850.91394405319829</v>
      </c>
      <c r="W48" s="210">
        <v>-2485.0896760960277</v>
      </c>
      <c r="X48" s="210">
        <v>-3435.3458350475967</v>
      </c>
      <c r="Y48" s="210">
        <v>-1819.9235739032054</v>
      </c>
      <c r="Z48" s="210">
        <v>-1486.6709361000669</v>
      </c>
      <c r="AA48" s="210">
        <v>-3446.889174747675</v>
      </c>
      <c r="AB48" s="210">
        <v>-1946.5545535625806</v>
      </c>
      <c r="AC48" s="210">
        <v>-3979.2575323520691</v>
      </c>
    </row>
    <row r="49" spans="1:29" s="31" customFormat="1" ht="18" customHeight="1" x14ac:dyDescent="0.2">
      <c r="A49" s="74"/>
      <c r="B49" s="74"/>
      <c r="C49" s="391" t="s">
        <v>102</v>
      </c>
      <c r="D49" s="392"/>
      <c r="E49" s="392"/>
      <c r="F49" s="392"/>
      <c r="G49" s="392"/>
      <c r="H49" s="392"/>
      <c r="I49" s="392"/>
      <c r="J49" s="393"/>
      <c r="K49" s="71">
        <v>11429.1231457913</v>
      </c>
      <c r="L49" s="71">
        <v>7794.683257918552</v>
      </c>
      <c r="M49" s="71">
        <v>3344.0164190275568</v>
      </c>
      <c r="N49" s="71">
        <v>31421.929796748325</v>
      </c>
      <c r="O49" s="71">
        <v>6067.1953836819785</v>
      </c>
      <c r="P49" s="71">
        <v>44912.947621536056</v>
      </c>
      <c r="Q49" s="71">
        <v>18983.271553294973</v>
      </c>
      <c r="R49" s="71">
        <v>2403.2056621295101</v>
      </c>
      <c r="S49" s="71">
        <v>15560.964827018814</v>
      </c>
      <c r="T49" s="71">
        <v>11255.078997392358</v>
      </c>
      <c r="U49" s="71">
        <v>14286.589206468141</v>
      </c>
      <c r="V49" s="71">
        <v>5921.669375016716</v>
      </c>
      <c r="W49" s="71">
        <v>11092.686284363466</v>
      </c>
      <c r="X49" s="71">
        <v>8580.0965997288167</v>
      </c>
      <c r="Y49" s="71">
        <v>13024.840290806062</v>
      </c>
      <c r="Z49" s="71">
        <v>11421.706927439634</v>
      </c>
      <c r="AA49" s="71">
        <v>13200.20542252122</v>
      </c>
      <c r="AB49" s="71">
        <v>8020.6046972550103</v>
      </c>
      <c r="AC49" s="71">
        <v>23500.795317593613</v>
      </c>
    </row>
    <row r="50" spans="1:29" x14ac:dyDescent="0.2">
      <c r="A50" s="2"/>
      <c r="B50" s="368" t="s">
        <v>582</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row>
    <row r="51" spans="1:29"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row>
    <row r="52" spans="1:29" x14ac:dyDescent="0.2">
      <c r="A52" s="2"/>
      <c r="K52" s="3"/>
      <c r="L52" s="3"/>
      <c r="M52" s="3"/>
      <c r="N52" s="3"/>
      <c r="O52" s="3"/>
      <c r="P52" s="3"/>
      <c r="Q52" s="3"/>
      <c r="R52" s="3"/>
      <c r="S52" s="3"/>
      <c r="T52" s="3"/>
      <c r="U52" s="3"/>
      <c r="V52" s="3"/>
      <c r="W52" s="3"/>
      <c r="X52" s="3"/>
      <c r="Y52" s="3"/>
      <c r="Z52" s="3"/>
      <c r="AA52" s="3"/>
      <c r="AB52" s="3"/>
      <c r="AC52" s="3"/>
    </row>
    <row r="53" spans="1:29" x14ac:dyDescent="0.2">
      <c r="A53" s="2"/>
      <c r="K53" s="3"/>
      <c r="L53" s="3"/>
      <c r="M53" s="3"/>
      <c r="N53" s="3"/>
      <c r="O53" s="3"/>
      <c r="P53" s="3"/>
      <c r="Q53" s="3"/>
      <c r="R53" s="3"/>
      <c r="S53" s="3"/>
      <c r="T53" s="3"/>
      <c r="U53" s="3"/>
      <c r="V53" s="3"/>
      <c r="W53" s="3"/>
      <c r="X53" s="3"/>
      <c r="Y53" s="3"/>
      <c r="Z53" s="3"/>
      <c r="AA53" s="3"/>
      <c r="AB53" s="3"/>
      <c r="AC53" s="3"/>
    </row>
    <row r="54" spans="1:29" x14ac:dyDescent="0.2">
      <c r="K54" s="3"/>
      <c r="L54" s="3"/>
      <c r="M54" s="3"/>
      <c r="N54" s="3"/>
      <c r="O54" s="3"/>
      <c r="P54" s="3"/>
      <c r="Q54" s="3"/>
      <c r="R54" s="3"/>
      <c r="S54" s="3"/>
      <c r="T54" s="3"/>
      <c r="U54" s="3"/>
      <c r="V54" s="3"/>
      <c r="W54" s="3"/>
      <c r="X54" s="3"/>
      <c r="Y54" s="3"/>
      <c r="Z54" s="3"/>
      <c r="AA54" s="3"/>
      <c r="AB54" s="3"/>
      <c r="AC54" s="3"/>
    </row>
    <row r="55" spans="1:29" x14ac:dyDescent="0.2">
      <c r="K55" s="3"/>
      <c r="L55" s="3"/>
      <c r="M55" s="3"/>
      <c r="N55" s="3"/>
      <c r="O55" s="3"/>
      <c r="P55" s="3"/>
      <c r="Q55" s="3"/>
      <c r="R55" s="3"/>
      <c r="S55" s="3"/>
      <c r="T55" s="3"/>
      <c r="U55" s="3"/>
      <c r="V55" s="3"/>
      <c r="W55" s="3"/>
      <c r="X55" s="3"/>
      <c r="Y55" s="3"/>
      <c r="Z55" s="3"/>
      <c r="AA55" s="3"/>
      <c r="AB55" s="3"/>
      <c r="AC55" s="3"/>
    </row>
    <row r="56" spans="1:29" x14ac:dyDescent="0.2">
      <c r="K56" s="3"/>
      <c r="L56" s="3"/>
      <c r="M56" s="3"/>
      <c r="N56" s="3"/>
      <c r="O56" s="3"/>
      <c r="P56" s="3"/>
      <c r="Q56" s="3"/>
      <c r="R56" s="3"/>
      <c r="S56" s="3"/>
      <c r="T56" s="3"/>
      <c r="U56" s="3"/>
      <c r="V56" s="3"/>
      <c r="W56" s="3"/>
      <c r="X56" s="3"/>
      <c r="Y56" s="3"/>
      <c r="Z56" s="3"/>
      <c r="AA56" s="3"/>
      <c r="AB56" s="3"/>
      <c r="AC56" s="3"/>
    </row>
    <row r="57" spans="1:29" x14ac:dyDescent="0.2">
      <c r="K57" s="3"/>
      <c r="L57" s="3"/>
      <c r="M57" s="3"/>
      <c r="N57" s="3"/>
      <c r="O57" s="3"/>
      <c r="P57" s="3"/>
      <c r="Q57" s="3"/>
      <c r="R57" s="3"/>
      <c r="S57" s="3"/>
      <c r="T57" s="3"/>
      <c r="U57" s="3"/>
      <c r="V57" s="3"/>
      <c r="W57" s="3"/>
      <c r="X57" s="3"/>
      <c r="Y57" s="3"/>
      <c r="Z57" s="3"/>
      <c r="AA57" s="3"/>
      <c r="AB57" s="3"/>
      <c r="AC57" s="3"/>
    </row>
    <row r="58" spans="1:29" x14ac:dyDescent="0.2">
      <c r="K58" s="3"/>
      <c r="L58" s="3"/>
      <c r="M58" s="3"/>
      <c r="N58" s="3"/>
      <c r="O58" s="3"/>
      <c r="P58" s="3"/>
      <c r="Q58" s="3"/>
      <c r="R58" s="3"/>
      <c r="S58" s="3"/>
      <c r="T58" s="3"/>
      <c r="U58" s="3"/>
      <c r="V58" s="3"/>
      <c r="W58" s="3"/>
      <c r="X58" s="3"/>
      <c r="Y58" s="3"/>
      <c r="Z58" s="3"/>
      <c r="AA58" s="3"/>
      <c r="AB58" s="3"/>
      <c r="AC58" s="3"/>
    </row>
    <row r="59" spans="1:29" x14ac:dyDescent="0.2">
      <c r="K59" s="3"/>
      <c r="L59" s="3"/>
      <c r="M59" s="3"/>
      <c r="N59" s="3"/>
      <c r="O59" s="3"/>
      <c r="P59" s="3"/>
      <c r="Q59" s="3"/>
      <c r="R59" s="3"/>
      <c r="S59" s="3"/>
      <c r="T59" s="3"/>
      <c r="U59" s="3"/>
      <c r="V59" s="3"/>
      <c r="W59" s="3"/>
      <c r="X59" s="3"/>
      <c r="Y59" s="3"/>
      <c r="Z59" s="3"/>
      <c r="AA59" s="3"/>
      <c r="AB59" s="3"/>
      <c r="AC59" s="3"/>
    </row>
    <row r="60" spans="1:29" x14ac:dyDescent="0.2">
      <c r="K60" s="3"/>
      <c r="L60" s="3"/>
      <c r="M60" s="3"/>
      <c r="N60" s="3"/>
      <c r="O60" s="3"/>
      <c r="P60" s="3"/>
      <c r="Q60" s="3"/>
      <c r="R60" s="3"/>
      <c r="S60" s="3"/>
      <c r="T60" s="3"/>
      <c r="U60" s="3"/>
      <c r="V60" s="3"/>
      <c r="W60" s="3"/>
      <c r="X60" s="3"/>
      <c r="Y60" s="3"/>
      <c r="Z60" s="3"/>
      <c r="AA60" s="3"/>
      <c r="AB60" s="3"/>
      <c r="AC60" s="3"/>
    </row>
    <row r="61" spans="1:29" x14ac:dyDescent="0.2">
      <c r="K61" s="3"/>
      <c r="L61" s="3"/>
      <c r="M61" s="3"/>
      <c r="N61" s="3"/>
      <c r="O61" s="3"/>
      <c r="P61" s="3"/>
      <c r="Q61" s="3"/>
      <c r="R61" s="3"/>
      <c r="S61" s="3"/>
      <c r="T61" s="3"/>
      <c r="U61" s="3"/>
      <c r="V61" s="3"/>
      <c r="W61" s="3"/>
      <c r="X61" s="3"/>
      <c r="Y61" s="3"/>
      <c r="Z61" s="3"/>
      <c r="AA61" s="3"/>
      <c r="AB61" s="3"/>
      <c r="AC61" s="3"/>
    </row>
    <row r="62" spans="1:29" x14ac:dyDescent="0.2">
      <c r="K62" s="3"/>
      <c r="L62" s="3"/>
      <c r="M62" s="3"/>
      <c r="N62" s="3"/>
      <c r="O62" s="3"/>
      <c r="P62" s="3"/>
      <c r="Q62" s="3"/>
      <c r="R62" s="3"/>
      <c r="S62" s="3"/>
      <c r="T62" s="3"/>
      <c r="U62" s="3"/>
      <c r="V62" s="3"/>
      <c r="W62" s="3"/>
      <c r="X62" s="3"/>
      <c r="Y62" s="3"/>
      <c r="Z62" s="3"/>
      <c r="AA62" s="3"/>
      <c r="AB62" s="3"/>
      <c r="AC62" s="3"/>
    </row>
    <row r="63" spans="1:29" x14ac:dyDescent="0.2">
      <c r="K63" s="3"/>
      <c r="L63" s="3"/>
      <c r="M63" s="3"/>
      <c r="N63" s="3"/>
      <c r="O63" s="3"/>
      <c r="P63" s="3"/>
      <c r="Q63" s="3"/>
      <c r="R63" s="3"/>
      <c r="S63" s="3"/>
      <c r="T63" s="3"/>
      <c r="U63" s="3"/>
      <c r="V63" s="3"/>
      <c r="W63" s="3"/>
      <c r="X63" s="3"/>
      <c r="Y63" s="3"/>
      <c r="Z63" s="3"/>
      <c r="AA63" s="3"/>
      <c r="AB63" s="3"/>
      <c r="AC63" s="3"/>
    </row>
    <row r="64" spans="1:29" x14ac:dyDescent="0.2">
      <c r="K64" s="3"/>
      <c r="L64" s="3"/>
      <c r="M64" s="3"/>
      <c r="N64" s="3"/>
      <c r="O64" s="3"/>
      <c r="P64" s="3"/>
      <c r="Q64" s="3"/>
      <c r="R64" s="3"/>
      <c r="S64" s="3"/>
      <c r="T64" s="3"/>
      <c r="U64" s="3"/>
      <c r="V64" s="3"/>
      <c r="W64" s="3"/>
      <c r="X64" s="3"/>
      <c r="Y64" s="3"/>
      <c r="Z64" s="3"/>
      <c r="AA64" s="3"/>
      <c r="AB64" s="3"/>
      <c r="AC64" s="3"/>
    </row>
    <row r="65" spans="11:29" x14ac:dyDescent="0.2">
      <c r="K65" s="3"/>
      <c r="L65" s="3"/>
      <c r="M65" s="3"/>
      <c r="N65" s="3"/>
      <c r="O65" s="3"/>
      <c r="P65" s="3"/>
      <c r="Q65" s="3"/>
      <c r="R65" s="3"/>
      <c r="S65" s="3"/>
      <c r="T65" s="3"/>
      <c r="U65" s="3"/>
      <c r="V65" s="3"/>
      <c r="W65" s="3"/>
      <c r="X65" s="3"/>
      <c r="Y65" s="3"/>
      <c r="Z65" s="3"/>
      <c r="AA65" s="3"/>
      <c r="AB65" s="3"/>
      <c r="AC65" s="3"/>
    </row>
    <row r="66" spans="11:29" x14ac:dyDescent="0.2">
      <c r="K66" s="3"/>
      <c r="L66" s="3"/>
      <c r="M66" s="3"/>
      <c r="N66" s="3"/>
      <c r="O66" s="3"/>
      <c r="P66" s="3"/>
      <c r="Q66" s="3"/>
      <c r="R66" s="3"/>
      <c r="S66" s="3"/>
      <c r="T66" s="3"/>
      <c r="U66" s="3"/>
      <c r="V66" s="3"/>
      <c r="W66" s="3"/>
      <c r="X66" s="3"/>
      <c r="Y66" s="3"/>
      <c r="Z66" s="3"/>
      <c r="AA66" s="3"/>
      <c r="AB66" s="3"/>
      <c r="AC66" s="3"/>
    </row>
    <row r="67" spans="11:29" x14ac:dyDescent="0.2">
      <c r="K67" s="3"/>
      <c r="L67" s="3"/>
      <c r="M67" s="3"/>
      <c r="N67" s="3"/>
      <c r="O67" s="3"/>
      <c r="P67" s="3"/>
      <c r="Q67" s="3"/>
      <c r="R67" s="3"/>
      <c r="S67" s="3"/>
      <c r="T67" s="3"/>
      <c r="U67" s="3"/>
      <c r="V67" s="3"/>
      <c r="W67" s="3"/>
      <c r="X67" s="3"/>
      <c r="Y67" s="3"/>
      <c r="Z67" s="3"/>
      <c r="AA67" s="3"/>
      <c r="AB67" s="3"/>
      <c r="AC67" s="3"/>
    </row>
    <row r="68" spans="11:29" x14ac:dyDescent="0.2">
      <c r="K68" s="3"/>
      <c r="L68" s="3"/>
      <c r="M68" s="3"/>
      <c r="N68" s="3"/>
      <c r="O68" s="3"/>
      <c r="P68" s="3"/>
      <c r="Q68" s="3"/>
      <c r="R68" s="3"/>
      <c r="S68" s="3"/>
      <c r="T68" s="3"/>
      <c r="U68" s="3"/>
      <c r="V68" s="3"/>
      <c r="W68" s="3"/>
      <c r="X68" s="3"/>
      <c r="Y68" s="3"/>
      <c r="Z68" s="3"/>
      <c r="AA68" s="3"/>
      <c r="AB68" s="3"/>
      <c r="AC68" s="3"/>
    </row>
    <row r="69" spans="11:29" x14ac:dyDescent="0.2">
      <c r="K69" s="3"/>
      <c r="L69" s="3"/>
      <c r="M69" s="3"/>
      <c r="N69" s="3"/>
      <c r="O69" s="3"/>
      <c r="P69" s="3"/>
      <c r="Q69" s="3"/>
      <c r="R69" s="3"/>
      <c r="S69" s="3"/>
      <c r="T69" s="3"/>
      <c r="U69" s="3"/>
      <c r="V69" s="3"/>
      <c r="W69" s="3"/>
      <c r="X69" s="3"/>
      <c r="Y69" s="3"/>
      <c r="Z69" s="3"/>
      <c r="AA69" s="3"/>
      <c r="AB69" s="3"/>
      <c r="AC69" s="3"/>
    </row>
    <row r="70" spans="11:29" x14ac:dyDescent="0.2">
      <c r="K70" s="3"/>
      <c r="L70" s="3"/>
      <c r="M70" s="3"/>
      <c r="N70" s="3"/>
      <c r="O70" s="3"/>
      <c r="P70" s="3"/>
      <c r="Q70" s="3"/>
      <c r="R70" s="3"/>
      <c r="S70" s="3"/>
      <c r="T70" s="3"/>
      <c r="U70" s="3"/>
      <c r="V70" s="3"/>
      <c r="W70" s="3"/>
      <c r="X70" s="3"/>
      <c r="Y70" s="3"/>
      <c r="Z70" s="3"/>
      <c r="AA70" s="3"/>
      <c r="AB70" s="3"/>
      <c r="AC70" s="3"/>
    </row>
    <row r="71" spans="11:29" x14ac:dyDescent="0.2">
      <c r="K71" s="3"/>
      <c r="L71" s="3"/>
      <c r="M71" s="3"/>
      <c r="N71" s="3"/>
      <c r="O71" s="3"/>
      <c r="P71" s="3"/>
      <c r="Q71" s="3"/>
      <c r="R71" s="3"/>
      <c r="S71" s="3"/>
      <c r="T71" s="3"/>
      <c r="U71" s="3"/>
      <c r="V71" s="3"/>
      <c r="W71" s="3"/>
      <c r="X71" s="3"/>
      <c r="Y71" s="3"/>
      <c r="Z71" s="3"/>
      <c r="AA71" s="3"/>
      <c r="AB71" s="3"/>
      <c r="AC71" s="3"/>
    </row>
    <row r="72" spans="11:29" x14ac:dyDescent="0.2">
      <c r="K72" s="3"/>
      <c r="L72" s="3"/>
      <c r="M72" s="3"/>
      <c r="N72" s="3"/>
      <c r="O72" s="3"/>
      <c r="P72" s="3"/>
      <c r="Q72" s="3"/>
      <c r="R72" s="3"/>
      <c r="S72" s="3"/>
      <c r="T72" s="3"/>
      <c r="U72" s="3"/>
      <c r="V72" s="3"/>
      <c r="W72" s="3"/>
      <c r="X72" s="3"/>
      <c r="Y72" s="3"/>
      <c r="Z72" s="3"/>
      <c r="AA72" s="3"/>
      <c r="AB72" s="3"/>
      <c r="AC72" s="3"/>
    </row>
    <row r="73" spans="11:29" x14ac:dyDescent="0.2">
      <c r="K73" s="3"/>
      <c r="L73" s="3"/>
      <c r="M73" s="3"/>
      <c r="N73" s="3"/>
      <c r="O73" s="3"/>
      <c r="P73" s="3"/>
      <c r="Q73" s="3"/>
      <c r="R73" s="3"/>
      <c r="S73" s="3"/>
      <c r="T73" s="3"/>
      <c r="U73" s="3"/>
      <c r="V73" s="3"/>
      <c r="W73" s="3"/>
      <c r="X73" s="3"/>
      <c r="Y73" s="3"/>
      <c r="Z73" s="3"/>
      <c r="AA73" s="3"/>
      <c r="AB73" s="3"/>
      <c r="AC73" s="3"/>
    </row>
    <row r="74" spans="11:29" x14ac:dyDescent="0.2">
      <c r="K74" s="3"/>
      <c r="L74" s="3"/>
      <c r="M74" s="3"/>
      <c r="N74" s="3"/>
      <c r="O74" s="3"/>
      <c r="P74" s="3"/>
      <c r="Q74" s="3"/>
      <c r="R74" s="3"/>
      <c r="S74" s="3"/>
      <c r="T74" s="3"/>
      <c r="U74" s="3"/>
      <c r="V74" s="3"/>
      <c r="W74" s="3"/>
      <c r="X74" s="3"/>
      <c r="Y74" s="3"/>
      <c r="Z74" s="3"/>
      <c r="AA74" s="3"/>
      <c r="AB74" s="3"/>
      <c r="AC74" s="3"/>
    </row>
    <row r="75" spans="11:29" x14ac:dyDescent="0.2">
      <c r="K75" s="3"/>
      <c r="L75" s="3"/>
      <c r="M75" s="3"/>
      <c r="N75" s="3"/>
      <c r="O75" s="3"/>
      <c r="P75" s="3"/>
      <c r="Q75" s="3"/>
      <c r="R75" s="3"/>
      <c r="S75" s="3"/>
      <c r="T75" s="3"/>
      <c r="U75" s="3"/>
      <c r="V75" s="3"/>
      <c r="W75" s="3"/>
      <c r="X75" s="3"/>
      <c r="Y75" s="3"/>
      <c r="Z75" s="3"/>
      <c r="AA75" s="3"/>
      <c r="AB75" s="3"/>
      <c r="AC75" s="3"/>
    </row>
    <row r="76" spans="11:29" x14ac:dyDescent="0.2">
      <c r="K76" s="3"/>
      <c r="L76" s="3"/>
      <c r="M76" s="3"/>
      <c r="N76" s="3"/>
      <c r="O76" s="3"/>
      <c r="P76" s="3"/>
      <c r="Q76" s="3"/>
      <c r="R76" s="3"/>
      <c r="S76" s="3"/>
      <c r="T76" s="3"/>
      <c r="U76" s="3"/>
      <c r="V76" s="3"/>
      <c r="W76" s="3"/>
      <c r="X76" s="3"/>
      <c r="Y76" s="3"/>
      <c r="Z76" s="3"/>
      <c r="AA76" s="3"/>
      <c r="AB76" s="3"/>
      <c r="AC76" s="3"/>
    </row>
    <row r="77" spans="11:29" x14ac:dyDescent="0.2">
      <c r="K77" s="3"/>
      <c r="L77" s="3"/>
      <c r="M77" s="3"/>
      <c r="N77" s="3"/>
      <c r="O77" s="3"/>
      <c r="P77" s="3"/>
      <c r="Q77" s="3"/>
      <c r="R77" s="3"/>
      <c r="S77" s="3"/>
      <c r="T77" s="3"/>
      <c r="U77" s="3"/>
      <c r="V77" s="3"/>
      <c r="W77" s="3"/>
      <c r="X77" s="3"/>
      <c r="Y77" s="3"/>
      <c r="Z77" s="3"/>
      <c r="AA77" s="3"/>
      <c r="AB77" s="3"/>
      <c r="AC77" s="3"/>
    </row>
    <row r="78" spans="11:29" x14ac:dyDescent="0.2">
      <c r="K78" s="3"/>
      <c r="L78" s="3"/>
      <c r="M78" s="3"/>
      <c r="N78" s="3"/>
      <c r="O78" s="3"/>
      <c r="P78" s="3"/>
      <c r="Q78" s="3"/>
      <c r="R78" s="3"/>
      <c r="S78" s="3"/>
      <c r="T78" s="3"/>
      <c r="U78" s="3"/>
      <c r="V78" s="3"/>
      <c r="W78" s="3"/>
      <c r="X78" s="3"/>
      <c r="Y78" s="3"/>
      <c r="Z78" s="3"/>
      <c r="AA78" s="3"/>
      <c r="AB78" s="3"/>
      <c r="AC78" s="3"/>
    </row>
    <row r="79" spans="11:29" x14ac:dyDescent="0.2">
      <c r="K79" s="3"/>
      <c r="L79" s="3"/>
      <c r="M79" s="3"/>
      <c r="N79" s="3"/>
      <c r="O79" s="3"/>
      <c r="P79" s="3"/>
      <c r="Q79" s="3"/>
      <c r="R79" s="3"/>
      <c r="S79" s="3"/>
      <c r="T79" s="3"/>
      <c r="U79" s="3"/>
      <c r="V79" s="3"/>
      <c r="W79" s="3"/>
      <c r="X79" s="3"/>
      <c r="Y79" s="3"/>
      <c r="Z79" s="3"/>
      <c r="AA79" s="3"/>
      <c r="AB79" s="3"/>
      <c r="AC79" s="3"/>
    </row>
    <row r="80" spans="11:29" x14ac:dyDescent="0.2">
      <c r="K80" s="3"/>
      <c r="L80" s="3"/>
      <c r="M80" s="3"/>
      <c r="N80" s="3"/>
      <c r="O80" s="3"/>
      <c r="P80" s="3"/>
      <c r="Q80" s="3"/>
      <c r="R80" s="3"/>
      <c r="S80" s="3"/>
      <c r="T80" s="3"/>
      <c r="U80" s="3"/>
      <c r="V80" s="3"/>
      <c r="W80" s="3"/>
      <c r="X80" s="3"/>
      <c r="Y80" s="3"/>
      <c r="Z80" s="3"/>
      <c r="AA80" s="3"/>
      <c r="AB80" s="3"/>
      <c r="AC80" s="3"/>
    </row>
    <row r="81" spans="11:29" x14ac:dyDescent="0.2">
      <c r="K81" s="3"/>
      <c r="L81" s="3"/>
      <c r="M81" s="3"/>
      <c r="N81" s="3"/>
      <c r="O81" s="3"/>
      <c r="P81" s="3"/>
      <c r="Q81" s="3"/>
      <c r="R81" s="3"/>
      <c r="S81" s="3"/>
      <c r="T81" s="3"/>
      <c r="U81" s="3"/>
      <c r="V81" s="3"/>
      <c r="W81" s="3"/>
      <c r="X81" s="3"/>
      <c r="Y81" s="3"/>
      <c r="Z81" s="3"/>
      <c r="AA81" s="3"/>
      <c r="AB81" s="3"/>
      <c r="AC81" s="3"/>
    </row>
    <row r="82" spans="11:29" x14ac:dyDescent="0.2">
      <c r="K82" s="3"/>
      <c r="L82" s="3"/>
      <c r="M82" s="3"/>
      <c r="N82" s="3"/>
      <c r="O82" s="3"/>
      <c r="P82" s="3"/>
      <c r="Q82" s="3"/>
      <c r="R82" s="3"/>
      <c r="S82" s="3"/>
      <c r="T82" s="3"/>
      <c r="U82" s="3"/>
      <c r="V82" s="3"/>
      <c r="W82" s="3"/>
      <c r="X82" s="3"/>
      <c r="Y82" s="3"/>
      <c r="Z82" s="3"/>
      <c r="AA82" s="3"/>
      <c r="AB82" s="3"/>
      <c r="AC82" s="3"/>
    </row>
    <row r="83" spans="11:29" x14ac:dyDescent="0.2">
      <c r="K83" s="3"/>
      <c r="L83" s="3"/>
      <c r="M83" s="3"/>
      <c r="N83" s="3"/>
      <c r="O83" s="3"/>
      <c r="P83" s="3"/>
      <c r="Q83" s="3"/>
      <c r="R83" s="3"/>
      <c r="S83" s="3"/>
      <c r="T83" s="3"/>
      <c r="U83" s="3"/>
      <c r="V83" s="3"/>
      <c r="W83" s="3"/>
      <c r="X83" s="3"/>
      <c r="Y83" s="3"/>
      <c r="Z83" s="3"/>
      <c r="AA83" s="3"/>
      <c r="AB83" s="3"/>
      <c r="AC83" s="3"/>
    </row>
    <row r="84" spans="11:29" x14ac:dyDescent="0.2">
      <c r="K84" s="3"/>
      <c r="L84" s="3"/>
      <c r="M84" s="3"/>
      <c r="N84" s="3"/>
      <c r="O84" s="3"/>
      <c r="P84" s="3"/>
      <c r="Q84" s="3"/>
      <c r="R84" s="3"/>
      <c r="S84" s="3"/>
      <c r="T84" s="3"/>
      <c r="U84" s="3"/>
      <c r="V84" s="3"/>
      <c r="W84" s="3"/>
      <c r="X84" s="3"/>
      <c r="Y84" s="3"/>
      <c r="Z84" s="3"/>
      <c r="AA84" s="3"/>
      <c r="AB84" s="3"/>
      <c r="AC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C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1" width="9" style="174"/>
    <col min="22" max="16384" width="9" style="31"/>
  </cols>
  <sheetData>
    <row r="1" spans="1:21" ht="16.2" x14ac:dyDescent="0.2">
      <c r="A1" s="6" t="s">
        <v>505</v>
      </c>
    </row>
    <row r="2" spans="1:21" ht="14.4" x14ac:dyDescent="0.2">
      <c r="A2" s="75" t="str">
        <f>BS!A2</f>
        <v>２１　窯業・土石製品製造業</v>
      </c>
      <c r="U2" s="221" t="s">
        <v>67</v>
      </c>
    </row>
    <row r="3" spans="1:21"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580</v>
      </c>
    </row>
    <row r="4" spans="1:21"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row>
    <row r="5" spans="1:21" ht="15.75" customHeight="1" x14ac:dyDescent="0.2">
      <c r="A5" s="232"/>
      <c r="B5" s="227" t="s">
        <v>312</v>
      </c>
      <c r="C5" s="178" t="s">
        <v>491</v>
      </c>
      <c r="D5" s="179">
        <f>PL!L38</f>
        <v>3795.9087481146307</v>
      </c>
      <c r="E5" s="179">
        <f>PL!M38</f>
        <v>1941.7759394961477</v>
      </c>
      <c r="F5" s="179">
        <f>PL!N38</f>
        <v>-840.99770914266651</v>
      </c>
      <c r="G5" s="179">
        <f>PL!O38</f>
        <v>2483.6581056210766</v>
      </c>
      <c r="H5" s="179">
        <f>PL!P38</f>
        <v>-777.02789697397793</v>
      </c>
      <c r="I5" s="179">
        <f>PL!Q38</f>
        <v>-1550.9490888707821</v>
      </c>
      <c r="J5" s="179">
        <f>PL!R38</f>
        <v>1148.6573494731438</v>
      </c>
      <c r="K5" s="179">
        <f>PL!S38</f>
        <v>-4829.2269687239641</v>
      </c>
      <c r="L5" s="179">
        <f>PL!T38</f>
        <v>8879.5262784086972</v>
      </c>
      <c r="M5" s="179">
        <f>PL!U38</f>
        <v>10769.538842515687</v>
      </c>
      <c r="N5" s="179">
        <f>PL!V38</f>
        <v>9945.3613190129781</v>
      </c>
      <c r="O5" s="179">
        <f>PL!W38</f>
        <v>8727.024691697301</v>
      </c>
      <c r="P5" s="179">
        <f>PL!X38</f>
        <v>14663.948992896116</v>
      </c>
      <c r="Q5" s="179">
        <f>PL!Y38</f>
        <v>26813.732660714802</v>
      </c>
      <c r="R5" s="179">
        <f>PL!Z38</f>
        <v>15306.307977942914</v>
      </c>
      <c r="S5" s="179">
        <f>PL!AA38</f>
        <v>21779.970017811203</v>
      </c>
      <c r="T5" s="179">
        <f>PL!AB38</f>
        <v>18426.199484689329</v>
      </c>
      <c r="U5" s="179">
        <f>PL!AC38</f>
        <v>18104.31176528697</v>
      </c>
    </row>
    <row r="6" spans="1:21" ht="15.75" customHeight="1" x14ac:dyDescent="0.2">
      <c r="A6" s="186"/>
      <c r="B6" s="228" t="s">
        <v>459</v>
      </c>
      <c r="C6" s="180" t="s">
        <v>492</v>
      </c>
      <c r="D6" s="181">
        <f>PL!L13+PL!L24</f>
        <v>14629.147812971341</v>
      </c>
      <c r="E6" s="181">
        <f>PL!M13+PL!M24</f>
        <v>18307.870898231744</v>
      </c>
      <c r="F6" s="181">
        <f>PL!N13+PL!N24</f>
        <v>12119.07442977519</v>
      </c>
      <c r="G6" s="181">
        <f>PL!O13+PL!O24</f>
        <v>13249.204715490068</v>
      </c>
      <c r="H6" s="181">
        <f>PL!P13+PL!P24</f>
        <v>15233.92150076004</v>
      </c>
      <c r="I6" s="181">
        <f>PL!Q13+PL!Q24</f>
        <v>27516.360656936897</v>
      </c>
      <c r="J6" s="181">
        <f>PL!R13+PL!R24</f>
        <v>12404.54865389521</v>
      </c>
      <c r="K6" s="181">
        <f>PL!S13+PL!S24</f>
        <v>16129.045901962272</v>
      </c>
      <c r="L6" s="181">
        <f>PL!T13+PL!T24</f>
        <v>12102.028147233385</v>
      </c>
      <c r="M6" s="181">
        <f>PL!U13+PL!U24</f>
        <v>17171.488990650305</v>
      </c>
      <c r="N6" s="181">
        <f>PL!V13+PL!V24</f>
        <v>10250.397904628273</v>
      </c>
      <c r="O6" s="181">
        <f>PL!W13+PL!W24</f>
        <v>14051.256397216333</v>
      </c>
      <c r="P6" s="181">
        <f>PL!X13+PL!X24</f>
        <v>13817.947797272176</v>
      </c>
      <c r="Q6" s="181">
        <f>PL!Y13+PL!Y24</f>
        <v>21209.254351817439</v>
      </c>
      <c r="R6" s="181">
        <f>PL!Z13+PL!Z24</f>
        <v>15444.641387801694</v>
      </c>
      <c r="S6" s="181">
        <f>PL!AA13+PL!AA24</f>
        <v>16665.078369285573</v>
      </c>
      <c r="T6" s="181">
        <f>PL!AB13+PL!AB24</f>
        <v>20399.716281835299</v>
      </c>
      <c r="U6" s="181">
        <f>PL!AC13+PL!AC24</f>
        <v>16420.828509335177</v>
      </c>
    </row>
    <row r="7" spans="1:21" ht="15.75" customHeight="1" x14ac:dyDescent="0.2">
      <c r="A7" s="186"/>
      <c r="B7" s="228" t="s">
        <v>460</v>
      </c>
      <c r="C7" s="180" t="s">
        <v>493</v>
      </c>
      <c r="D7" s="181">
        <f>PL!L30</f>
        <v>9064.1025641025644</v>
      </c>
      <c r="E7" s="181">
        <f>PL!M30</f>
        <v>10314.774905875445</v>
      </c>
      <c r="F7" s="181">
        <f>PL!N30</f>
        <v>10106.268830967278</v>
      </c>
      <c r="G7" s="181">
        <f>PL!O30</f>
        <v>7969.9678455094618</v>
      </c>
      <c r="H7" s="181">
        <f>PL!P30</f>
        <v>6519.9633490711885</v>
      </c>
      <c r="I7" s="181">
        <f>PL!Q30</f>
        <v>9486.5934764263638</v>
      </c>
      <c r="J7" s="181">
        <f>PL!R30</f>
        <v>7332.2000220539312</v>
      </c>
      <c r="K7" s="181">
        <f>PL!S30</f>
        <v>8441.4223291973522</v>
      </c>
      <c r="L7" s="181">
        <f>PL!T30</f>
        <v>7530.0982789950949</v>
      </c>
      <c r="M7" s="181">
        <f>PL!U30</f>
        <v>7511.963186869436</v>
      </c>
      <c r="N7" s="181">
        <f>PL!V30</f>
        <v>4743.2427811894022</v>
      </c>
      <c r="O7" s="181">
        <f>PL!W30</f>
        <v>5545.7308961000372</v>
      </c>
      <c r="P7" s="181">
        <f>PL!X30</f>
        <v>6487.5942196163751</v>
      </c>
      <c r="Q7" s="181">
        <f>PL!Y30</f>
        <v>7965.8499887685357</v>
      </c>
      <c r="R7" s="181">
        <f>PL!Z30</f>
        <v>14571.435696372588</v>
      </c>
      <c r="S7" s="181">
        <f>PL!AA30</f>
        <v>9018.1211161686133</v>
      </c>
      <c r="T7" s="181">
        <f>PL!AB30</f>
        <v>9986.027053810325</v>
      </c>
      <c r="U7" s="181">
        <f>PL!AC30</f>
        <v>9935.7149066482252</v>
      </c>
    </row>
    <row r="8" spans="1:21" ht="15.75" customHeight="1" x14ac:dyDescent="0.2">
      <c r="A8" s="186"/>
      <c r="B8" s="228" t="s">
        <v>461</v>
      </c>
      <c r="C8" s="180" t="s">
        <v>494</v>
      </c>
      <c r="D8" s="181">
        <f>PL!L31</f>
        <v>5002.8280542986431</v>
      </c>
      <c r="E8" s="181">
        <f>PL!M31</f>
        <v>9435.7372790882873</v>
      </c>
      <c r="F8" s="181">
        <f>PL!N31</f>
        <v>5973.1018642323488</v>
      </c>
      <c r="G8" s="181">
        <f>PL!O31</f>
        <v>6949.9871580895397</v>
      </c>
      <c r="H8" s="181">
        <f>PL!P31</f>
        <v>6735.0325667717716</v>
      </c>
      <c r="I8" s="181">
        <f>PL!Q31</f>
        <v>6949.8628998687373</v>
      </c>
      <c r="J8" s="181">
        <f>PL!R31</f>
        <v>8084.3370038136745</v>
      </c>
      <c r="K8" s="181">
        <f>PL!S31</f>
        <v>5858.126897101909</v>
      </c>
      <c r="L8" s="181">
        <f>PL!T31</f>
        <v>5588.3498471095891</v>
      </c>
      <c r="M8" s="181">
        <f>PL!U31</f>
        <v>6001.0844103182862</v>
      </c>
      <c r="N8" s="181">
        <f>PL!V31</f>
        <v>3493.0431106489855</v>
      </c>
      <c r="O8" s="181">
        <f>PL!W31</f>
        <v>3366.5122571746138</v>
      </c>
      <c r="P8" s="181">
        <f>PL!X31</f>
        <v>4798.2784192272211</v>
      </c>
      <c r="Q8" s="181">
        <f>PL!Y31</f>
        <v>7602.7791030245444</v>
      </c>
      <c r="R8" s="181">
        <f>PL!Z31</f>
        <v>5117.5353529412941</v>
      </c>
      <c r="S8" s="181">
        <f>PL!AA31</f>
        <v>4773.2960617454974</v>
      </c>
      <c r="T8" s="181">
        <f>PL!AB31</f>
        <v>5958.0919631354673</v>
      </c>
      <c r="U8" s="181">
        <f>PL!AC31</f>
        <v>3991.1516348908426</v>
      </c>
    </row>
    <row r="9" spans="1:21" ht="15.75" customHeight="1" x14ac:dyDescent="0.2">
      <c r="A9" s="186"/>
      <c r="B9" s="228" t="s">
        <v>462</v>
      </c>
      <c r="C9" s="180" t="s">
        <v>491</v>
      </c>
      <c r="D9" s="181">
        <f>PL!L36-PL!L35</f>
        <v>0</v>
      </c>
      <c r="E9" s="181">
        <f>PL!M36-PL!M35</f>
        <v>0</v>
      </c>
      <c r="F9" s="181">
        <f>PL!N36-PL!N35</f>
        <v>0</v>
      </c>
      <c r="G9" s="181">
        <f>PL!O36-PL!O35</f>
        <v>293.14603710464689</v>
      </c>
      <c r="H9" s="181">
        <f>PL!P36-PL!P35</f>
        <v>-1320.0306592360839</v>
      </c>
      <c r="I9" s="181">
        <f>PL!Q36-PL!Q35</f>
        <v>1028.0715203114983</v>
      </c>
      <c r="J9" s="181">
        <f>PL!R36-PL!R35</f>
        <v>1925.7972182641124</v>
      </c>
      <c r="K9" s="181">
        <f>PL!S36-PL!S35</f>
        <v>3873.7507388095109</v>
      </c>
      <c r="L9" s="181">
        <f>PL!T36-PL!T35</f>
        <v>1628.5022432648143</v>
      </c>
      <c r="M9" s="181">
        <f>PL!U36-PL!U35</f>
        <v>2178.787558338759</v>
      </c>
      <c r="N9" s="181">
        <f>PL!V36-PL!V35</f>
        <v>1415.4236900460501</v>
      </c>
      <c r="O9" s="181">
        <f>PL!W36-PL!W35</f>
        <v>1244.2149799106001</v>
      </c>
      <c r="P9" s="181">
        <f>PL!X36-PL!X35</f>
        <v>453.53488932280288</v>
      </c>
      <c r="Q9" s="181">
        <f>PL!Y36-PL!Y35</f>
        <v>-1418.2254990764677</v>
      </c>
      <c r="R9" s="181">
        <f>PL!Z36-PL!Z35</f>
        <v>0</v>
      </c>
      <c r="S9" s="181">
        <f>PL!AA36-PL!AA35</f>
        <v>0</v>
      </c>
      <c r="T9" s="181">
        <f>PL!AB36-PL!AB35</f>
        <v>0</v>
      </c>
      <c r="U9" s="181">
        <f>PL!AC36-PL!AC35</f>
        <v>0</v>
      </c>
    </row>
    <row r="10" spans="1:21" ht="15.75" customHeight="1" x14ac:dyDescent="0.2">
      <c r="A10" s="186"/>
      <c r="B10" s="228" t="s">
        <v>463</v>
      </c>
      <c r="C10" s="180" t="s">
        <v>495</v>
      </c>
      <c r="D10" s="181">
        <f>BS!L11</f>
        <v>112234.72850678733</v>
      </c>
      <c r="E10" s="181">
        <f>BS!M11</f>
        <v>113129.82669761361</v>
      </c>
      <c r="F10" s="181">
        <f>BS!N11</f>
        <v>81055.982402472582</v>
      </c>
      <c r="G10" s="181">
        <f>BS!O11</f>
        <v>72077.335869778995</v>
      </c>
      <c r="H10" s="181">
        <f>BS!P11</f>
        <v>82091.025348305862</v>
      </c>
      <c r="I10" s="181">
        <f>BS!Q11</f>
        <v>122273.07610768492</v>
      </c>
      <c r="J10" s="181">
        <f>BS!R11</f>
        <v>88751.438960171159</v>
      </c>
      <c r="K10" s="181">
        <f>BS!S11</f>
        <v>97975.442577597962</v>
      </c>
      <c r="L10" s="181">
        <f>BS!T11</f>
        <v>78994.307940751474</v>
      </c>
      <c r="M10" s="181">
        <f>BS!U11</f>
        <v>82316.328070791598</v>
      </c>
      <c r="N10" s="181">
        <f>BS!V11</f>
        <v>82376.316404059471</v>
      </c>
      <c r="O10" s="181">
        <f>BS!W11</f>
        <v>84750.176932175367</v>
      </c>
      <c r="P10" s="181">
        <f>BS!X11</f>
        <v>92400.194975317616</v>
      </c>
      <c r="Q10" s="181">
        <f>BS!Y11</f>
        <v>112127.33027848689</v>
      </c>
      <c r="R10" s="181">
        <f>BS!Z11</f>
        <v>105004.85532481076</v>
      </c>
      <c r="S10" s="181">
        <f>BS!AA11</f>
        <v>106984.66564417176</v>
      </c>
      <c r="T10" s="181">
        <f>BS!AB11</f>
        <v>97083.098800911714</v>
      </c>
      <c r="U10" s="181">
        <f>BS!AC11</f>
        <v>108999.11735651486</v>
      </c>
    </row>
    <row r="11" spans="1:21" ht="15.75" customHeight="1" x14ac:dyDescent="0.2">
      <c r="A11" s="186"/>
      <c r="B11" s="228" t="s">
        <v>465</v>
      </c>
      <c r="C11" s="180" t="s">
        <v>496</v>
      </c>
      <c r="D11" s="181">
        <f>BS!K11</f>
        <v>110724.83103660101</v>
      </c>
      <c r="E11" s="181">
        <f>BS!L11</f>
        <v>112234.72850678733</v>
      </c>
      <c r="F11" s="181">
        <f>BS!M11</f>
        <v>113129.82669761361</v>
      </c>
      <c r="G11" s="181">
        <f>BS!N11</f>
        <v>81055.982402472582</v>
      </c>
      <c r="H11" s="181">
        <f>BS!O11</f>
        <v>72077.335869778995</v>
      </c>
      <c r="I11" s="181">
        <f>BS!P11</f>
        <v>82091.025348305862</v>
      </c>
      <c r="J11" s="181">
        <f>BS!Q11</f>
        <v>122273.07610768492</v>
      </c>
      <c r="K11" s="181">
        <f>BS!R11</f>
        <v>88751.438960171159</v>
      </c>
      <c r="L11" s="181">
        <f>BS!S11</f>
        <v>97975.442577597962</v>
      </c>
      <c r="M11" s="181">
        <f>BS!T11</f>
        <v>78994.307940751474</v>
      </c>
      <c r="N11" s="181">
        <f>BS!U11</f>
        <v>82316.328070791598</v>
      </c>
      <c r="O11" s="181">
        <f>BS!V11</f>
        <v>82376.316404059471</v>
      </c>
      <c r="P11" s="181">
        <f>BS!W11</f>
        <v>84750.176932175367</v>
      </c>
      <c r="Q11" s="181">
        <f>BS!X11</f>
        <v>92400.194975317616</v>
      </c>
      <c r="R11" s="181">
        <f>BS!Y11</f>
        <v>112127.33027848689</v>
      </c>
      <c r="S11" s="181">
        <f>BS!Z11</f>
        <v>105004.85532481076</v>
      </c>
      <c r="T11" s="181">
        <f>BS!AA11</f>
        <v>106984.66564417176</v>
      </c>
      <c r="U11" s="181">
        <f>BS!AB11</f>
        <v>97083.098800911714</v>
      </c>
    </row>
    <row r="12" spans="1:21" ht="15.75" customHeight="1" x14ac:dyDescent="0.2">
      <c r="A12" s="186"/>
      <c r="B12" s="228" t="s">
        <v>466</v>
      </c>
      <c r="C12" s="180" t="s">
        <v>493</v>
      </c>
      <c r="D12" s="181">
        <f>BS!L13-BS!K13</f>
        <v>-19630.192163389518</v>
      </c>
      <c r="E12" s="181">
        <f>BS!M13-BS!L13</f>
        <v>34106.17058726844</v>
      </c>
      <c r="F12" s="181">
        <f>BS!N13-BS!M13</f>
        <v>-12505.620235413808</v>
      </c>
      <c r="G12" s="181">
        <f>BS!O13-BS!N13</f>
        <v>-12239.093135384617</v>
      </c>
      <c r="H12" s="181">
        <f>BS!P13-BS!O13</f>
        <v>3799.063588348261</v>
      </c>
      <c r="I12" s="181">
        <f>BS!Q13-BS!P13</f>
        <v>10177.044214845126</v>
      </c>
      <c r="J12" s="181">
        <f>BS!R13-BS!Q13</f>
        <v>-8177.8258462814338</v>
      </c>
      <c r="K12" s="181">
        <f>BS!S13-BS!R13</f>
        <v>15372.371985079364</v>
      </c>
      <c r="L12" s="181">
        <f>BS!T13-BS!S13</f>
        <v>-15150.796795083814</v>
      </c>
      <c r="M12" s="181">
        <f>BS!U13-BS!T13</f>
        <v>3792.4617272694159</v>
      </c>
      <c r="N12" s="181">
        <f>BS!V13-BS!U13</f>
        <v>-2689.0734513407078</v>
      </c>
      <c r="O12" s="181">
        <f>BS!W13-BS!V13</f>
        <v>-8067.6662737948282</v>
      </c>
      <c r="P12" s="181">
        <f>BS!X13-BS!W13</f>
        <v>3113.7838626692974</v>
      </c>
      <c r="Q12" s="181">
        <f>BS!Y13-BS!X13</f>
        <v>12820.739069737676</v>
      </c>
      <c r="R12" s="181">
        <f>BS!Z13-BS!Y13</f>
        <v>3229.6130354213165</v>
      </c>
      <c r="S12" s="181">
        <f>BS!AA13-BS!Z13</f>
        <v>2112.1303691750363</v>
      </c>
      <c r="T12" s="181">
        <f>BS!AB13-BS!AA13</f>
        <v>-5054.483080457052</v>
      </c>
      <c r="U12" s="181">
        <f>BS!AC13-BS!AB13</f>
        <v>9908.9207504703372</v>
      </c>
    </row>
    <row r="13" spans="1:21" ht="15.75" customHeight="1" x14ac:dyDescent="0.2">
      <c r="A13" s="186"/>
      <c r="B13" s="228" t="s">
        <v>467</v>
      </c>
      <c r="C13" s="180" t="s">
        <v>493</v>
      </c>
      <c r="D13" s="181">
        <f>BS!L14</f>
        <v>14503.676470588236</v>
      </c>
      <c r="E13" s="181">
        <f>BS!M14</f>
        <v>30894.718961441944</v>
      </c>
      <c r="F13" s="181">
        <f>BS!N14</f>
        <v>22019.176805710729</v>
      </c>
      <c r="G13" s="181">
        <f>BS!O14</f>
        <v>25565.237997532553</v>
      </c>
      <c r="H13" s="181">
        <f>BS!P14</f>
        <v>25171.431292552523</v>
      </c>
      <c r="I13" s="181">
        <f>BS!Q14</f>
        <v>30471.809956212375</v>
      </c>
      <c r="J13" s="181">
        <f>BS!R14</f>
        <v>35505.689618186952</v>
      </c>
      <c r="K13" s="181">
        <f>BS!S14</f>
        <v>24791.178703793266</v>
      </c>
      <c r="L13" s="181">
        <f>BS!T14</f>
        <v>28643.359245283464</v>
      </c>
      <c r="M13" s="181">
        <f>BS!U14</f>
        <v>39378.65116765767</v>
      </c>
      <c r="N13" s="181">
        <f>BS!V14</f>
        <v>27597.096975692395</v>
      </c>
      <c r="O13" s="181">
        <f>BS!W14</f>
        <v>27523.088601386113</v>
      </c>
      <c r="P13" s="181">
        <f>BS!X14</f>
        <v>22773.703662376436</v>
      </c>
      <c r="Q13" s="181">
        <f>BS!Y14</f>
        <v>29029.171372996825</v>
      </c>
      <c r="R13" s="181">
        <f>BS!Z14</f>
        <v>32004.219688052399</v>
      </c>
      <c r="S13" s="181">
        <f>BS!AA14</f>
        <v>50352.382742925081</v>
      </c>
      <c r="T13" s="181">
        <f>BS!AB14</f>
        <v>43436.524725002411</v>
      </c>
      <c r="U13" s="181">
        <f>BS!AC14</f>
        <v>47041.947742764023</v>
      </c>
    </row>
    <row r="14" spans="1:21" ht="15.75" customHeight="1" x14ac:dyDescent="0.2">
      <c r="A14" s="186"/>
      <c r="B14" s="228" t="s">
        <v>468</v>
      </c>
      <c r="C14" s="180" t="s">
        <v>497</v>
      </c>
      <c r="D14" s="181">
        <f>BS!L28</f>
        <v>2013.6689291101059</v>
      </c>
      <c r="E14" s="181">
        <f>BS!M28</f>
        <v>1760.6727370289193</v>
      </c>
      <c r="F14" s="181">
        <f>BS!N28</f>
        <v>2559.4410936353843</v>
      </c>
      <c r="G14" s="181">
        <f>BS!O28</f>
        <v>2312.3970530425672</v>
      </c>
      <c r="H14" s="181">
        <f>BS!P28</f>
        <v>1662.6438580140386</v>
      </c>
      <c r="I14" s="181">
        <f>BS!Q28</f>
        <v>4433.906702717637</v>
      </c>
      <c r="J14" s="181">
        <f>BS!R28</f>
        <v>595.46738526004822</v>
      </c>
      <c r="K14" s="181">
        <f>BS!S28</f>
        <v>1082.3637322357565</v>
      </c>
      <c r="L14" s="181">
        <f>BS!T28</f>
        <v>2528.3560461986867</v>
      </c>
      <c r="M14" s="181">
        <f>BS!U28</f>
        <v>317.73005814388762</v>
      </c>
      <c r="N14" s="181">
        <f>BS!V28</f>
        <v>2358.4675002743024</v>
      </c>
      <c r="O14" s="181">
        <f>BS!W28</f>
        <v>223.58119782662726</v>
      </c>
      <c r="P14" s="181">
        <f>BS!X28</f>
        <v>571.30570174323259</v>
      </c>
      <c r="Q14" s="181">
        <f>BS!Y28</f>
        <v>388.38522522486272</v>
      </c>
      <c r="R14" s="181">
        <f>BS!Z28</f>
        <v>1048.5833909450564</v>
      </c>
      <c r="S14" s="181">
        <f>BS!AA28</f>
        <v>888.48208984761527</v>
      </c>
      <c r="T14" s="181">
        <f>BS!AB28</f>
        <v>1404.0674858785055</v>
      </c>
      <c r="U14" s="181">
        <f>BS!AC28</f>
        <v>2063.026474365307</v>
      </c>
    </row>
    <row r="15" spans="1:21" ht="15.75" customHeight="1" x14ac:dyDescent="0.2">
      <c r="A15" s="186"/>
      <c r="B15" s="228" t="s">
        <v>469</v>
      </c>
      <c r="C15" s="180" t="s">
        <v>496</v>
      </c>
      <c r="D15" s="181">
        <f>BS!K14</f>
        <v>32981.304309663799</v>
      </c>
      <c r="E15" s="181">
        <f>BS!L14</f>
        <v>14503.676470588236</v>
      </c>
      <c r="F15" s="181">
        <f>BS!M14</f>
        <v>30894.718961441944</v>
      </c>
      <c r="G15" s="181">
        <f>BS!N14</f>
        <v>22019.176805710729</v>
      </c>
      <c r="H15" s="181">
        <f>BS!O14</f>
        <v>25565.237997532553</v>
      </c>
      <c r="I15" s="181">
        <f>BS!P14</f>
        <v>25171.431292552523</v>
      </c>
      <c r="J15" s="181">
        <f>BS!Q14</f>
        <v>30471.809956212375</v>
      </c>
      <c r="K15" s="181">
        <f>BS!R14</f>
        <v>35505.689618186952</v>
      </c>
      <c r="L15" s="181">
        <f>BS!S14</f>
        <v>24791.178703793266</v>
      </c>
      <c r="M15" s="181">
        <f>BS!T14</f>
        <v>28643.359245283464</v>
      </c>
      <c r="N15" s="181">
        <f>BS!U14</f>
        <v>39378.65116765767</v>
      </c>
      <c r="O15" s="181">
        <f>BS!V14</f>
        <v>27597.096975692395</v>
      </c>
      <c r="P15" s="181">
        <f>BS!W14</f>
        <v>27523.088601386113</v>
      </c>
      <c r="Q15" s="181">
        <f>BS!X14</f>
        <v>22773.703662376436</v>
      </c>
      <c r="R15" s="181">
        <f>BS!Y14</f>
        <v>29029.171372996825</v>
      </c>
      <c r="S15" s="181">
        <f>BS!Z14</f>
        <v>32004.219688052399</v>
      </c>
      <c r="T15" s="181">
        <f>BS!AA14</f>
        <v>50352.382742925081</v>
      </c>
      <c r="U15" s="181">
        <f>BS!AB14</f>
        <v>43436.524725002411</v>
      </c>
    </row>
    <row r="16" spans="1:21" ht="15.75" customHeight="1" x14ac:dyDescent="0.2">
      <c r="A16" s="186"/>
      <c r="B16" s="228" t="s">
        <v>470</v>
      </c>
      <c r="C16" s="180" t="s">
        <v>464</v>
      </c>
      <c r="D16" s="181">
        <f>BS!K28</f>
        <v>2082.5945756166102</v>
      </c>
      <c r="E16" s="181">
        <f>BS!L28</f>
        <v>2013.6689291101059</v>
      </c>
      <c r="F16" s="181">
        <f>BS!M28</f>
        <v>1760.6727370289193</v>
      </c>
      <c r="G16" s="181">
        <f>BS!N28</f>
        <v>2559.4410936353843</v>
      </c>
      <c r="H16" s="181">
        <f>BS!O28</f>
        <v>2312.3970530425672</v>
      </c>
      <c r="I16" s="181">
        <f>BS!P28</f>
        <v>1662.6438580140386</v>
      </c>
      <c r="J16" s="181">
        <f>BS!Q28</f>
        <v>4433.906702717637</v>
      </c>
      <c r="K16" s="181">
        <f>BS!R28</f>
        <v>595.46738526004822</v>
      </c>
      <c r="L16" s="181">
        <f>BS!S28</f>
        <v>1082.3637322357565</v>
      </c>
      <c r="M16" s="181">
        <f>BS!T28</f>
        <v>2528.3560461986867</v>
      </c>
      <c r="N16" s="181">
        <f>BS!U28</f>
        <v>317.73005814388762</v>
      </c>
      <c r="O16" s="181">
        <f>BS!V28</f>
        <v>2358.4675002743024</v>
      </c>
      <c r="P16" s="181">
        <f>BS!W28</f>
        <v>223.58119782662726</v>
      </c>
      <c r="Q16" s="181">
        <f>BS!X28</f>
        <v>571.30570174323259</v>
      </c>
      <c r="R16" s="181">
        <f>BS!Y28</f>
        <v>388.38522522486272</v>
      </c>
      <c r="S16" s="181">
        <f>BS!Z28</f>
        <v>1048.5833909450564</v>
      </c>
      <c r="T16" s="181">
        <f>BS!AA28</f>
        <v>888.48208984761527</v>
      </c>
      <c r="U16" s="181">
        <f>BS!AB28</f>
        <v>1404.0674858785055</v>
      </c>
    </row>
    <row r="17" spans="1:21" ht="15.75" customHeight="1" x14ac:dyDescent="0.2">
      <c r="A17" s="186"/>
      <c r="B17" s="228" t="s">
        <v>471</v>
      </c>
      <c r="C17" s="180" t="s">
        <v>499</v>
      </c>
      <c r="D17" s="181">
        <f>BS!L32</f>
        <v>70567.119155354449</v>
      </c>
      <c r="E17" s="181">
        <f>BS!M32</f>
        <v>83271.031743403582</v>
      </c>
      <c r="F17" s="181">
        <f>BS!N32</f>
        <v>65197.228922441594</v>
      </c>
      <c r="G17" s="181">
        <f>BS!O32</f>
        <v>62919.536032985256</v>
      </c>
      <c r="H17" s="181">
        <f>BS!P32</f>
        <v>58066.606346215602</v>
      </c>
      <c r="I17" s="181">
        <f>BS!Q32</f>
        <v>91202.461981727974</v>
      </c>
      <c r="J17" s="181">
        <f>BS!R32</f>
        <v>55978.347209041101</v>
      </c>
      <c r="K17" s="181">
        <f>BS!S32</f>
        <v>63839.651176012609</v>
      </c>
      <c r="L17" s="181">
        <f>BS!T32</f>
        <v>56390.662090524216</v>
      </c>
      <c r="M17" s="181">
        <f>BS!U32</f>
        <v>55525.12938616192</v>
      </c>
      <c r="N17" s="181">
        <f>BS!V32</f>
        <v>49876.578993154719</v>
      </c>
      <c r="O17" s="181">
        <f>BS!W32</f>
        <v>52969.360789005841</v>
      </c>
      <c r="P17" s="181">
        <f>BS!X32</f>
        <v>59182.911050414907</v>
      </c>
      <c r="Q17" s="181">
        <f>BS!Y32</f>
        <v>83852.357949327983</v>
      </c>
      <c r="R17" s="181">
        <f>BS!Z32</f>
        <v>70808.698215586643</v>
      </c>
      <c r="S17" s="181">
        <f>BS!AA32</f>
        <v>74036.760439342965</v>
      </c>
      <c r="T17" s="181">
        <f>BS!AB32</f>
        <v>72465.820731344764</v>
      </c>
      <c r="U17" s="181">
        <f>BS!AC32</f>
        <v>81504.762224636957</v>
      </c>
    </row>
    <row r="18" spans="1:21" ht="15.75" customHeight="1" x14ac:dyDescent="0.2">
      <c r="A18" s="186"/>
      <c r="B18" s="228" t="s">
        <v>472</v>
      </c>
      <c r="C18" s="180" t="s">
        <v>498</v>
      </c>
      <c r="D18" s="181">
        <f>BS!K32</f>
        <v>81706.574212235602</v>
      </c>
      <c r="E18" s="181">
        <f>BS!L32</f>
        <v>70567.119155354449</v>
      </c>
      <c r="F18" s="181">
        <f>BS!M32</f>
        <v>83271.031743403582</v>
      </c>
      <c r="G18" s="181">
        <f>BS!N32</f>
        <v>65197.228922441594</v>
      </c>
      <c r="H18" s="181">
        <f>BS!O32</f>
        <v>62919.536032985256</v>
      </c>
      <c r="I18" s="181">
        <f>BS!P32</f>
        <v>58066.606346215602</v>
      </c>
      <c r="J18" s="181">
        <f>BS!Q32</f>
        <v>91202.461981727974</v>
      </c>
      <c r="K18" s="181">
        <f>BS!R32</f>
        <v>55978.347209041101</v>
      </c>
      <c r="L18" s="181">
        <f>BS!S32</f>
        <v>63839.651176012609</v>
      </c>
      <c r="M18" s="181">
        <f>BS!T32</f>
        <v>56390.662090524216</v>
      </c>
      <c r="N18" s="181">
        <f>BS!U32</f>
        <v>55525.12938616192</v>
      </c>
      <c r="O18" s="181">
        <f>BS!V32</f>
        <v>49876.578993154719</v>
      </c>
      <c r="P18" s="181">
        <f>BS!W32</f>
        <v>52969.360789005841</v>
      </c>
      <c r="Q18" s="181">
        <f>BS!X32</f>
        <v>59182.911050414907</v>
      </c>
      <c r="R18" s="181">
        <f>BS!Y32</f>
        <v>83852.357949327983</v>
      </c>
      <c r="S18" s="181">
        <f>BS!Z32</f>
        <v>70808.698215586643</v>
      </c>
      <c r="T18" s="181">
        <f>BS!AA32</f>
        <v>74036.760439342965</v>
      </c>
      <c r="U18" s="181">
        <f>BS!AB32</f>
        <v>72465.820731344764</v>
      </c>
    </row>
    <row r="19" spans="1:21" ht="15.75" customHeight="1" x14ac:dyDescent="0.2">
      <c r="A19" s="186"/>
      <c r="B19" s="228" t="s">
        <v>473</v>
      </c>
      <c r="C19" s="180" t="s">
        <v>494</v>
      </c>
      <c r="D19" s="181">
        <f>BS!L36+BS!L42</f>
        <v>40419.211915535445</v>
      </c>
      <c r="E19" s="181">
        <f>BS!M36+BS!M42</f>
        <v>58295.244875462697</v>
      </c>
      <c r="F19" s="181">
        <f>BS!N36+BS!N42</f>
        <v>33873.819903585521</v>
      </c>
      <c r="G19" s="181">
        <f>BS!O36+BS!O42</f>
        <v>39437.608358089215</v>
      </c>
      <c r="H19" s="181">
        <f>BS!P36+BS!P42</f>
        <v>57861.345955804689</v>
      </c>
      <c r="I19" s="181">
        <f>BS!Q36+BS!Q42</f>
        <v>51016.59470770265</v>
      </c>
      <c r="J19" s="181">
        <f>BS!R36+BS!R42</f>
        <v>35597.483449337466</v>
      </c>
      <c r="K19" s="181">
        <f>BS!S36+BS!S42</f>
        <v>60004.812179066939</v>
      </c>
      <c r="L19" s="181">
        <f>BS!T36+BS!T42</f>
        <v>39946.557139155208</v>
      </c>
      <c r="M19" s="181">
        <f>BS!U36+BS!U42</f>
        <v>57690.528862647625</v>
      </c>
      <c r="N19" s="181">
        <f>BS!V36+BS!V42</f>
        <v>46287.164091933621</v>
      </c>
      <c r="O19" s="181">
        <f>BS!W36+BS!W42</f>
        <v>49494.005807056485</v>
      </c>
      <c r="P19" s="181">
        <f>BS!X36+BS!X42</f>
        <v>53206.217380071961</v>
      </c>
      <c r="Q19" s="181">
        <f>BS!Y36+BS!Y42</f>
        <v>81183.861368939441</v>
      </c>
      <c r="R19" s="181">
        <f>BS!Z36+BS!Z42</f>
        <v>64328.2056399133</v>
      </c>
      <c r="S19" s="181">
        <f>BS!AA36+BS!AA42</f>
        <v>59688.397486641596</v>
      </c>
      <c r="T19" s="181">
        <f>BS!AB36+BS!AB42</f>
        <v>75614.681399266687</v>
      </c>
      <c r="U19" s="181">
        <f>BS!AC36+BS!AC42</f>
        <v>60479.131976686738</v>
      </c>
    </row>
    <row r="20" spans="1:21" ht="15.75" customHeight="1" x14ac:dyDescent="0.2">
      <c r="A20" s="186"/>
      <c r="B20" s="229" t="s">
        <v>474</v>
      </c>
      <c r="C20" s="180" t="s">
        <v>498</v>
      </c>
      <c r="D20" s="181">
        <f>BS!K36+BS!K42</f>
        <v>64372.597208812498</v>
      </c>
      <c r="E20" s="181">
        <f>BS!L36+BS!L42</f>
        <v>40419.211915535445</v>
      </c>
      <c r="F20" s="181">
        <f>BS!M36+BS!M42</f>
        <v>58295.244875462697</v>
      </c>
      <c r="G20" s="181">
        <f>BS!N36+BS!N42</f>
        <v>33873.819903585521</v>
      </c>
      <c r="H20" s="181">
        <f>BS!O36+BS!O42</f>
        <v>39437.608358089215</v>
      </c>
      <c r="I20" s="181">
        <f>BS!P36+BS!P42</f>
        <v>57861.345955804689</v>
      </c>
      <c r="J20" s="181">
        <f>BS!Q36+BS!Q42</f>
        <v>51016.59470770265</v>
      </c>
      <c r="K20" s="181">
        <f>BS!R36+BS!R42</f>
        <v>35597.483449337466</v>
      </c>
      <c r="L20" s="181">
        <f>BS!S36+BS!S42</f>
        <v>60004.812179066939</v>
      </c>
      <c r="M20" s="181">
        <f>BS!T36+BS!T42</f>
        <v>39946.557139155208</v>
      </c>
      <c r="N20" s="181">
        <f>BS!U36+BS!U42</f>
        <v>57690.528862647625</v>
      </c>
      <c r="O20" s="181">
        <f>BS!V36+BS!V42</f>
        <v>46287.164091933621</v>
      </c>
      <c r="P20" s="181">
        <f>BS!W36+BS!W42</f>
        <v>49494.005807056485</v>
      </c>
      <c r="Q20" s="181">
        <f>BS!X36+BS!X42</f>
        <v>53206.217380071961</v>
      </c>
      <c r="R20" s="181">
        <f>BS!Y36+BS!Y42</f>
        <v>81183.861368939441</v>
      </c>
      <c r="S20" s="181">
        <f>BS!Z36+BS!Z42</f>
        <v>64328.2056399133</v>
      </c>
      <c r="T20" s="181">
        <f>BS!AA36+BS!AA42</f>
        <v>59688.397486641596</v>
      </c>
      <c r="U20" s="181">
        <f>BS!AB36+BS!AB42</f>
        <v>75614.681399266687</v>
      </c>
    </row>
    <row r="21" spans="1:21"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row>
    <row r="22" spans="1:21" ht="15.75" customHeight="1" x14ac:dyDescent="0.2">
      <c r="A22" s="187"/>
      <c r="B22" s="209" t="s">
        <v>476</v>
      </c>
      <c r="C22" s="225"/>
      <c r="D22" s="226">
        <f t="shared" ref="D22:K22" si="0">D5+D6-D7+D8+D9-D10+D11-D12-D13-D14+D15+D16+D17-D18+D19-D20-D21</f>
        <v>15937.789879909105</v>
      </c>
      <c r="E22" s="226">
        <f t="shared" si="0"/>
        <v>-1188.7603179501239</v>
      </c>
      <c r="F22" s="226">
        <f t="shared" si="0"/>
        <v>17305.920290738009</v>
      </c>
      <c r="G22" s="226">
        <f t="shared" si="0"/>
        <v>36210.846252692412</v>
      </c>
      <c r="H22" s="226">
        <f t="shared" si="0"/>
        <v>14153.546906329815</v>
      </c>
      <c r="I22" s="226">
        <f t="shared" si="0"/>
        <v>-7682.8795833573095</v>
      </c>
      <c r="J22" s="226">
        <f t="shared" si="0"/>
        <v>6091.9368216183502</v>
      </c>
      <c r="K22" s="226">
        <f t="shared" si="0"/>
        <v>30490.145901565164</v>
      </c>
      <c r="L22" s="226">
        <f t="shared" ref="L22:U22" si="1">L5+L6-L7+L8+L9-L10+L11-L12-L13-L14+L15+L16+L17-L18+L19-L20-L21</f>
        <v>21994.822688098444</v>
      </c>
      <c r="M22" s="226">
        <f t="shared" si="1"/>
        <v>29848.227842454784</v>
      </c>
      <c r="N22" s="226">
        <f t="shared" si="1"/>
        <v>15678.969947333375</v>
      </c>
      <c r="O22" s="226">
        <f t="shared" si="1"/>
        <v>36045.601363305686</v>
      </c>
      <c r="P22" s="226">
        <f t="shared" si="1"/>
        <v>30809.736242808009</v>
      </c>
      <c r="Q22" s="226">
        <f t="shared" ref="Q22:R22" si="2">Q5+Q6-Q7+Q8+Q9-Q10+Q11-Q12-Q13-Q14+Q15+Q16+Q17-Q18+Q19-Q20-Q21</f>
        <v>60268.35990848337</v>
      </c>
      <c r="R22" s="226">
        <f t="shared" si="2"/>
        <v>-8344.6510029751371</v>
      </c>
      <c r="S22" s="226">
        <f t="shared" ref="S22:T22" si="3">S5+S6-S7+S8+S9-S10+S11-S12-S13-S14+S15+S16+S17-S18+S19-S20-S21</f>
        <v>10508.474960847001</v>
      </c>
      <c r="T22" s="226">
        <f t="shared" si="3"/>
        <v>70509.647426085547</v>
      </c>
      <c r="U22" s="226">
        <f t="shared" si="1"/>
        <v>-3605.3522387449048</v>
      </c>
    </row>
    <row r="23" spans="1:21"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row>
    <row r="24" spans="1:21" ht="15.75" customHeight="1" x14ac:dyDescent="0.2">
      <c r="A24" s="232"/>
      <c r="B24" s="227" t="s">
        <v>501</v>
      </c>
      <c r="C24" s="178" t="s">
        <v>491</v>
      </c>
      <c r="D24" s="179">
        <f>D37</f>
        <v>1014.6799012227566</v>
      </c>
      <c r="E24" s="179">
        <f>E37</f>
        <v>51390.13630970745</v>
      </c>
      <c r="F24" s="179">
        <f t="shared" ref="F24:K24" si="4">F37</f>
        <v>-57502.91276838856</v>
      </c>
      <c r="G24" s="179">
        <f t="shared" si="4"/>
        <v>-14616.189667720624</v>
      </c>
      <c r="H24" s="179">
        <f t="shared" si="4"/>
        <v>42709.256122474602</v>
      </c>
      <c r="I24" s="179">
        <f t="shared" si="4"/>
        <v>12464.231299613573</v>
      </c>
      <c r="J24" s="179">
        <f t="shared" si="4"/>
        <v>-36367.093886244576</v>
      </c>
      <c r="K24" s="179">
        <f t="shared" si="4"/>
        <v>2457.7395719700144</v>
      </c>
      <c r="L24" s="179">
        <f t="shared" ref="L24:U24" si="5">L37</f>
        <v>-7796.1903499241307</v>
      </c>
      <c r="M24" s="179">
        <f t="shared" si="5"/>
        <v>-13604.469471344681</v>
      </c>
      <c r="N24" s="179">
        <f t="shared" si="5"/>
        <v>-10121.157314369571</v>
      </c>
      <c r="O24" s="179">
        <f t="shared" si="5"/>
        <v>28359.808039085168</v>
      </c>
      <c r="P24" s="179">
        <f t="shared" si="5"/>
        <v>-11740.872555837035</v>
      </c>
      <c r="Q24" s="179">
        <f t="shared" ref="Q24:R24" si="6">Q37</f>
        <v>25692.04867299684</v>
      </c>
      <c r="R24" s="179">
        <f t="shared" si="6"/>
        <v>7118.5871729577484</v>
      </c>
      <c r="S24" s="179">
        <f t="shared" ref="S24:T24" si="7">S37</f>
        <v>27145.23586656744</v>
      </c>
      <c r="T24" s="179">
        <f t="shared" si="7"/>
        <v>41501.815309458907</v>
      </c>
      <c r="U24" s="179">
        <f t="shared" si="5"/>
        <v>-37092.128384579875</v>
      </c>
    </row>
    <row r="25" spans="1:21" ht="15.75" customHeight="1" x14ac:dyDescent="0.2">
      <c r="A25" s="186"/>
      <c r="B25" s="231" t="s">
        <v>478</v>
      </c>
      <c r="C25" s="182" t="s">
        <v>502</v>
      </c>
      <c r="D25" s="183">
        <f>D22+D33</f>
        <v>440.76268385482399</v>
      </c>
      <c r="E25" s="183">
        <f>E22+E33</f>
        <v>14958.239387758331</v>
      </c>
      <c r="F25" s="183">
        <f t="shared" ref="F25:K25" si="8">F22+F33</f>
        <v>-30202.067603127951</v>
      </c>
      <c r="G25" s="183">
        <f t="shared" si="8"/>
        <v>19091.767075659009</v>
      </c>
      <c r="H25" s="183">
        <f t="shared" si="8"/>
        <v>-8787.7086330087041</v>
      </c>
      <c r="I25" s="183">
        <f t="shared" si="8"/>
        <v>33263.349366824004</v>
      </c>
      <c r="J25" s="183">
        <f t="shared" si="8"/>
        <v>-34027.874544535618</v>
      </c>
      <c r="K25" s="183">
        <f t="shared" si="8"/>
        <v>40622.704520392086</v>
      </c>
      <c r="L25" s="183">
        <f t="shared" ref="L25:U25" si="9">L22+L33</f>
        <v>10373.091221603408</v>
      </c>
      <c r="M25" s="183">
        <f t="shared" si="9"/>
        <v>79559.0948325965</v>
      </c>
      <c r="N25" s="183">
        <f t="shared" si="9"/>
        <v>-61924.537515223768</v>
      </c>
      <c r="O25" s="183">
        <f t="shared" si="9"/>
        <v>48025.062275358105</v>
      </c>
      <c r="P25" s="183">
        <f t="shared" si="9"/>
        <v>21660.989695052369</v>
      </c>
      <c r="Q25" s="183">
        <f t="shared" ref="Q25:R25" si="10">Q22+Q33</f>
        <v>77190.96582723796</v>
      </c>
      <c r="R25" s="183">
        <f t="shared" si="10"/>
        <v>16851.87234009945</v>
      </c>
      <c r="S25" s="183">
        <f t="shared" ref="S25:T25" si="11">S22+S33</f>
        <v>-11115.62870154823</v>
      </c>
      <c r="T25" s="183">
        <f t="shared" si="11"/>
        <v>95509.105221094971</v>
      </c>
      <c r="U25" s="183">
        <f t="shared" si="9"/>
        <v>7986.784998281797</v>
      </c>
    </row>
    <row r="26" spans="1:21" ht="15.75" customHeight="1" x14ac:dyDescent="0.2">
      <c r="A26" s="187"/>
      <c r="B26" s="209" t="s">
        <v>476</v>
      </c>
      <c r="C26" s="225"/>
      <c r="D26" s="226">
        <f t="shared" ref="D26:K26" si="12">D24-D25</f>
        <v>573.91721736793261</v>
      </c>
      <c r="E26" s="226">
        <f t="shared" si="12"/>
        <v>36431.896921949119</v>
      </c>
      <c r="F26" s="226">
        <f t="shared" si="12"/>
        <v>-27300.845165260609</v>
      </c>
      <c r="G26" s="226">
        <f t="shared" si="12"/>
        <v>-33707.956743379633</v>
      </c>
      <c r="H26" s="226">
        <f t="shared" si="12"/>
        <v>51496.964755483306</v>
      </c>
      <c r="I26" s="226">
        <f t="shared" si="12"/>
        <v>-20799.118067210431</v>
      </c>
      <c r="J26" s="226">
        <f t="shared" si="12"/>
        <v>-2339.2193417089584</v>
      </c>
      <c r="K26" s="226">
        <f t="shared" si="12"/>
        <v>-38164.964948422072</v>
      </c>
      <c r="L26" s="226">
        <f t="shared" ref="L26:U26" si="13">L24-L25</f>
        <v>-18169.281571527539</v>
      </c>
      <c r="M26" s="226">
        <f t="shared" si="13"/>
        <v>-93163.564303941181</v>
      </c>
      <c r="N26" s="226">
        <f t="shared" si="13"/>
        <v>51803.380200854197</v>
      </c>
      <c r="O26" s="226">
        <f t="shared" si="13"/>
        <v>-19665.254236272936</v>
      </c>
      <c r="P26" s="226">
        <f t="shared" si="13"/>
        <v>-33401.862250889404</v>
      </c>
      <c r="Q26" s="226">
        <f t="shared" ref="Q26:R26" si="14">Q24-Q25</f>
        <v>-51498.91715424112</v>
      </c>
      <c r="R26" s="226">
        <f t="shared" si="14"/>
        <v>-9733.2851671417011</v>
      </c>
      <c r="S26" s="226">
        <f t="shared" ref="S26:T26" si="15">S24-S25</f>
        <v>38260.86456811567</v>
      </c>
      <c r="T26" s="226">
        <f t="shared" si="15"/>
        <v>-54007.289911636064</v>
      </c>
      <c r="U26" s="226">
        <f t="shared" si="13"/>
        <v>-45078.913382861676</v>
      </c>
    </row>
    <row r="27" spans="1:21"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row>
    <row r="28" spans="1:21" ht="15.75" customHeight="1" x14ac:dyDescent="0.2">
      <c r="A28" s="232"/>
      <c r="B28" s="227" t="s">
        <v>480</v>
      </c>
      <c r="C28" s="178" t="s">
        <v>494</v>
      </c>
      <c r="D28" s="179">
        <f>(BS!L33+BS!L34)-(BS!K33+BS!K34)</f>
        <v>-33418.504955743381</v>
      </c>
      <c r="E28" s="179">
        <f>(BS!M33+BS!M34)-(BS!L33+BS!L34)</f>
        <v>28191.410367936405</v>
      </c>
      <c r="F28" s="179">
        <f>(BS!N33+BS!N34)-(BS!M33+BS!M34)</f>
        <v>-25495.955141244034</v>
      </c>
      <c r="G28" s="179">
        <f>(BS!O33+BS!O34)-(BS!N33+BS!N34)</f>
        <v>-13667.613124356008</v>
      </c>
      <c r="H28" s="179">
        <f>(BS!P33+BS!P34)-(BS!O33+BS!O34)</f>
        <v>-7775.2574087204557</v>
      </c>
      <c r="I28" s="179">
        <f>(BS!Q33+BS!Q34)-(BS!P33+BS!P34)</f>
        <v>14015.146827292701</v>
      </c>
      <c r="J28" s="179">
        <f>(BS!R33+BS!R34)-(BS!Q33+BS!Q34)</f>
        <v>6846.1635840427043</v>
      </c>
      <c r="K28" s="179">
        <f>(BS!S33+BS!S34)-(BS!R33+BS!R34)</f>
        <v>-11422.152266350677</v>
      </c>
      <c r="L28" s="179">
        <f>(BS!T33+BS!T34)-(BS!S33+BS!S34)</f>
        <v>4244.3418662185868</v>
      </c>
      <c r="M28" s="179">
        <f>(BS!U33+BS!U34)-(BS!T33+BS!T34)</f>
        <v>731.31469650632062</v>
      </c>
      <c r="N28" s="179">
        <f>(BS!V33+BS!V34)-(BS!U33+BS!U34)</f>
        <v>-17026.312047579675</v>
      </c>
      <c r="O28" s="179">
        <f>(BS!W33+BS!W34)-(BS!V33+BS!V34)</f>
        <v>-585.91172893464682</v>
      </c>
      <c r="P28" s="179">
        <f>(BS!X33+BS!X34)-(BS!W33+BS!W34)</f>
        <v>-8195.3072176018468</v>
      </c>
      <c r="Q28" s="179">
        <f>(BS!Y33+BS!Y34)-(BS!X33+BS!X34)</f>
        <v>-99.45535090204794</v>
      </c>
      <c r="R28" s="179">
        <f>(BS!Z33+BS!Z34)-(BS!Y33+BS!Y34)</f>
        <v>10361.870513690119</v>
      </c>
      <c r="S28" s="179">
        <f>(BS!AA33+BS!AA34)-(BS!Z33+BS!Z34)</f>
        <v>1569.6921656362028</v>
      </c>
      <c r="T28" s="179">
        <f>(BS!AB33+BS!AB34)-(BS!AA33+BS!AA34)</f>
        <v>10404.851765478765</v>
      </c>
      <c r="U28" s="179">
        <f>(BS!AC33+BS!AC34)-(BS!AB33+BS!AB34)</f>
        <v>-2257.2896713208174</v>
      </c>
    </row>
    <row r="29" spans="1:21" ht="15.75" customHeight="1" x14ac:dyDescent="0.2">
      <c r="A29" s="186"/>
      <c r="B29" s="228" t="s">
        <v>481</v>
      </c>
      <c r="C29" s="180" t="s">
        <v>499</v>
      </c>
      <c r="D29" s="181">
        <f>(BS!L38+BS!L39+BS!L40)-(BS!K38+BS!K39+BS!K40)</f>
        <v>-12812.12494500936</v>
      </c>
      <c r="E29" s="181">
        <f>(BS!M38+BS!M39+BS!M40)-(BS!L38+BS!L39+BS!L40)</f>
        <v>21287.841299342283</v>
      </c>
      <c r="F29" s="181">
        <f>(BS!N38+BS!N39+BS!N40)-(BS!M38+BS!M39+BS!M40)</f>
        <v>-40772.654705084424</v>
      </c>
      <c r="G29" s="181">
        <f>(BS!O38+BS!O39+BS!O40)-(BS!N38+BS!N39+BS!N40)</f>
        <v>25601.16364287358</v>
      </c>
      <c r="H29" s="181">
        <f>(BS!P38+BS!P39+BS!P40)-(BS!O38+BS!O39+BS!O40)</f>
        <v>-14193.857560107543</v>
      </c>
      <c r="I29" s="181">
        <f>(BS!Q38+BS!Q39+BS!Q40)-(BS!P38+BS!P39+BS!P40)</f>
        <v>4730.9035658366483</v>
      </c>
      <c r="J29" s="181">
        <f>(BS!R38+BS!R39+BS!R40)-(BS!Q38+BS!Q39+BS!Q40)</f>
        <v>-20773.44742319893</v>
      </c>
      <c r="K29" s="181">
        <f>(BS!S38+BS!S39+BS!S40)-(BS!R38+BS!R39+BS!R40)</f>
        <v>2552.639309562539</v>
      </c>
      <c r="L29" s="181">
        <f>(BS!T38+BS!T39+BS!T40)-(BS!S38+BS!S39+BS!S40)</f>
        <v>-6141.763353477174</v>
      </c>
      <c r="M29" s="181">
        <f>(BS!U38+BS!U39+BS!U40)-(BS!T38+BS!T39+BS!T40)</f>
        <v>22061.59518041696</v>
      </c>
      <c r="N29" s="181">
        <f>(BS!V38+BS!V39+BS!V40)-(BS!U38+BS!U39+BS!U40)</f>
        <v>-38749.557849607765</v>
      </c>
      <c r="O29" s="181">
        <f>(BS!W38+BS!W39+BS!W40)-(BS!V38+BS!V39+BS!V40)</f>
        <v>6048.2010986578243</v>
      </c>
      <c r="P29" s="181">
        <f>(BS!X38+BS!X39+BS!X40)-(BS!W38+BS!W39+BS!W40)</f>
        <v>6981.2263424129487</v>
      </c>
      <c r="Q29" s="181">
        <f>(BS!Y38+BS!Y39+BS!Y40)-(BS!X38+BS!X39+BS!X40)</f>
        <v>3644.7450934429071</v>
      </c>
      <c r="R29" s="181">
        <f>(BS!Z38+BS!Z39+BS!Z40)-(BS!Y38+BS!Y39+BS!Y40)</f>
        <v>1133.2726752190501</v>
      </c>
      <c r="S29" s="181">
        <f>(BS!AA38+BS!AA39+BS!AA40)-(BS!Z38+BS!Z39+BS!Z40)</f>
        <v>-2682.5788732302753</v>
      </c>
      <c r="T29" s="181">
        <f>(BS!AB38+BS!AB39+BS!AB40)-(BS!AA38+BS!AA39+BS!AA40)</f>
        <v>25509.198023456571</v>
      </c>
      <c r="U29" s="181">
        <f>(BS!AC38+BS!AC39+BS!AC40)-(BS!AB38+BS!AB39+BS!AB40)</f>
        <v>-5808.5597826840822</v>
      </c>
    </row>
    <row r="30" spans="1:21" ht="15.75" customHeight="1" x14ac:dyDescent="0.2">
      <c r="A30" s="186"/>
      <c r="B30" s="228" t="s">
        <v>482</v>
      </c>
      <c r="C30" s="180" t="s">
        <v>499</v>
      </c>
      <c r="D30" s="181">
        <f>BS!L45+BS!L46</f>
        <v>68701.828808446458</v>
      </c>
      <c r="E30" s="181">
        <f>BS!M45+BS!M46</f>
        <v>35369.576846876218</v>
      </c>
      <c r="F30" s="181">
        <f>BS!N45+BS!N46</f>
        <v>54130.198799338716</v>
      </c>
      <c r="G30" s="181">
        <f>BS!O45+BS!O46</f>
        <v>25077.56910378774</v>
      </c>
      <c r="H30" s="181">
        <f>BS!P45+BS!P46</f>
        <v>24105.42853327722</v>
      </c>
      <c r="I30" s="181">
        <f>BS!Q45+BS!Q46</f>
        <v>46305.607090329184</v>
      </c>
      <c r="J30" s="181">
        <f>BS!R45+BS!R46</f>
        <v>20113.079563331445</v>
      </c>
      <c r="K30" s="181">
        <f>BS!S45+BS!S46</f>
        <v>39115.151138946501</v>
      </c>
      <c r="L30" s="181">
        <f>BS!T45+BS!T46</f>
        <v>29390.841159710053</v>
      </c>
      <c r="M30" s="181">
        <f>BS!U45+BS!U46</f>
        <v>56308.798272928485</v>
      </c>
      <c r="N30" s="181">
        <f>BS!V45+BS!V46</f>
        <v>34481.160707558774</v>
      </c>
      <c r="O30" s="181">
        <f>BS!W45+BS!W46</f>
        <v>40998.332249888015</v>
      </c>
      <c r="P30" s="181">
        <f>BS!X45+BS!X46</f>
        <v>33063.666577321274</v>
      </c>
      <c r="Q30" s="181">
        <f>BS!Y45+BS!Y46</f>
        <v>46440.982753535005</v>
      </c>
      <c r="R30" s="181">
        <f>BS!Z45+BS!Z46</f>
        <v>60142.362907700423</v>
      </c>
      <c r="S30" s="181">
        <f>BS!AA45+BS!AA46</f>
        <v>39631.145952899264</v>
      </c>
      <c r="T30" s="181">
        <f>BS!AB45+BS!AB46</f>
        <v>28716.553958973342</v>
      </c>
      <c r="U30" s="181">
        <f>BS!AC45+BS!AC46</f>
        <v>48374.540650004943</v>
      </c>
    </row>
    <row r="31" spans="1:21" ht="15.75" customHeight="1" x14ac:dyDescent="0.2">
      <c r="A31" s="186"/>
      <c r="B31" s="228" t="s">
        <v>483</v>
      </c>
      <c r="C31" s="180" t="s">
        <v>498</v>
      </c>
      <c r="D31" s="181">
        <f>BS!K45+BS!K46</f>
        <v>37968.226103747998</v>
      </c>
      <c r="E31" s="181">
        <f>BS!L45+BS!L46</f>
        <v>68701.828808446458</v>
      </c>
      <c r="F31" s="181">
        <f>BS!M45+BS!M46</f>
        <v>35369.576846876218</v>
      </c>
      <c r="G31" s="181">
        <f>BS!N45+BS!N46</f>
        <v>54130.198799338716</v>
      </c>
      <c r="H31" s="181">
        <f>BS!O45+BS!O46</f>
        <v>25077.56910378774</v>
      </c>
      <c r="I31" s="181">
        <f>BS!P45+BS!P46</f>
        <v>24105.42853327722</v>
      </c>
      <c r="J31" s="181">
        <f>BS!Q45+BS!Q46</f>
        <v>46305.607090329184</v>
      </c>
      <c r="K31" s="181">
        <f>BS!R45+BS!R46</f>
        <v>20113.079563331445</v>
      </c>
      <c r="L31" s="181">
        <f>BS!S45+BS!S46</f>
        <v>39115.151138946501</v>
      </c>
      <c r="M31" s="181">
        <f>BS!T45+BS!T46</f>
        <v>29390.841159710053</v>
      </c>
      <c r="N31" s="181">
        <f>BS!U45+BS!U46</f>
        <v>56308.798272928485</v>
      </c>
      <c r="O31" s="181">
        <f>BS!V45+BS!V46</f>
        <v>34481.160707558774</v>
      </c>
      <c r="P31" s="181">
        <f>BS!W45+BS!W46</f>
        <v>40998.332249888015</v>
      </c>
      <c r="Q31" s="181">
        <f>BS!X45+BS!X46</f>
        <v>33063.666577321274</v>
      </c>
      <c r="R31" s="181">
        <f>BS!Y45+BS!Y46</f>
        <v>46440.982753535005</v>
      </c>
      <c r="S31" s="181">
        <f>BS!Z45+BS!Z46</f>
        <v>60142.362907700423</v>
      </c>
      <c r="T31" s="181">
        <f>BS!AA45+BS!AA46</f>
        <v>39631.145952899264</v>
      </c>
      <c r="U31" s="181">
        <f>BS!AB45+BS!AB46</f>
        <v>28716.553958973342</v>
      </c>
    </row>
    <row r="32" spans="1:21"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row>
    <row r="33" spans="1:21" ht="15.75" customHeight="1" x14ac:dyDescent="0.2">
      <c r="A33" s="187"/>
      <c r="B33" s="209" t="s">
        <v>476</v>
      </c>
      <c r="C33" s="225"/>
      <c r="D33" s="226">
        <f t="shared" ref="D33:K33" si="16">D28+D29+D30-D31-D32</f>
        <v>-15497.027196054281</v>
      </c>
      <c r="E33" s="226">
        <f t="shared" si="16"/>
        <v>16146.999705708455</v>
      </c>
      <c r="F33" s="226">
        <f t="shared" si="16"/>
        <v>-47507.98789386596</v>
      </c>
      <c r="G33" s="226">
        <f t="shared" si="16"/>
        <v>-17119.079177033404</v>
      </c>
      <c r="H33" s="226">
        <f t="shared" si="16"/>
        <v>-22941.255539338519</v>
      </c>
      <c r="I33" s="226">
        <f t="shared" si="16"/>
        <v>40946.228950181314</v>
      </c>
      <c r="J33" s="226">
        <f t="shared" si="16"/>
        <v>-40119.811366153968</v>
      </c>
      <c r="K33" s="226">
        <f t="shared" si="16"/>
        <v>10132.558618826919</v>
      </c>
      <c r="L33" s="226">
        <f t="shared" ref="L33:U33" si="17">L28+L29+L30-L31-L32</f>
        <v>-11621.731466495035</v>
      </c>
      <c r="M33" s="226">
        <f t="shared" si="17"/>
        <v>49710.866990141716</v>
      </c>
      <c r="N33" s="226">
        <f t="shared" si="17"/>
        <v>-77603.507462557143</v>
      </c>
      <c r="O33" s="226">
        <f t="shared" si="17"/>
        <v>11979.460912052418</v>
      </c>
      <c r="P33" s="226">
        <f t="shared" si="17"/>
        <v>-9148.7465477556398</v>
      </c>
      <c r="Q33" s="226">
        <f t="shared" ref="Q33:R33" si="18">Q28+Q29+Q30-Q31-Q32</f>
        <v>16922.605918754591</v>
      </c>
      <c r="R33" s="226">
        <f t="shared" si="18"/>
        <v>25196.523343074587</v>
      </c>
      <c r="S33" s="226">
        <f t="shared" ref="S33:T33" si="19">S28+S29+S30-S31-S32</f>
        <v>-21624.103662395231</v>
      </c>
      <c r="T33" s="226">
        <f t="shared" si="19"/>
        <v>24999.457795009417</v>
      </c>
      <c r="U33" s="226">
        <f t="shared" si="17"/>
        <v>11592.137237026702</v>
      </c>
    </row>
    <row r="34" spans="1:21"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row>
    <row r="35" spans="1:21" ht="15.75" customHeight="1" x14ac:dyDescent="0.2">
      <c r="A35" s="232"/>
      <c r="B35" s="227" t="s">
        <v>486</v>
      </c>
      <c r="C35" s="178" t="s">
        <v>492</v>
      </c>
      <c r="D35" s="179">
        <f>BS!L10</f>
        <v>85014.328808446444</v>
      </c>
      <c r="E35" s="179">
        <f>BS!M10</f>
        <v>136404.46511815389</v>
      </c>
      <c r="F35" s="179">
        <f>BS!N10</f>
        <v>78901.552349765334</v>
      </c>
      <c r="G35" s="179">
        <f>BS!O10</f>
        <v>64285.36268204471</v>
      </c>
      <c r="H35" s="179">
        <f>BS!P10</f>
        <v>106994.61880451931</v>
      </c>
      <c r="I35" s="179">
        <f>BS!Q10</f>
        <v>119458.85010413289</v>
      </c>
      <c r="J35" s="179">
        <f>BS!R10</f>
        <v>83091.756217888309</v>
      </c>
      <c r="K35" s="179">
        <f>BS!S10</f>
        <v>85549.495789858323</v>
      </c>
      <c r="L35" s="179">
        <f>BS!T10</f>
        <v>77753.305439934193</v>
      </c>
      <c r="M35" s="179">
        <f>BS!U10</f>
        <v>64148.835968589512</v>
      </c>
      <c r="N35" s="179">
        <f>BS!V10</f>
        <v>54027.678654219941</v>
      </c>
      <c r="O35" s="179">
        <f>BS!W10</f>
        <v>82387.486693305109</v>
      </c>
      <c r="P35" s="179">
        <f>BS!X10</f>
        <v>70646.614137468074</v>
      </c>
      <c r="Q35" s="179">
        <f>BS!Y10</f>
        <v>96338.662810464913</v>
      </c>
      <c r="R35" s="179">
        <f>BS!Z10</f>
        <v>103457.24998342266</v>
      </c>
      <c r="S35" s="179">
        <f>BS!AA10</f>
        <v>130602.4858499901</v>
      </c>
      <c r="T35" s="179">
        <f>BS!AB10</f>
        <v>172104.30115944901</v>
      </c>
      <c r="U35" s="179">
        <f>BS!AC10</f>
        <v>135012.17277486913</v>
      </c>
    </row>
    <row r="36" spans="1:21" ht="15.75" customHeight="1" x14ac:dyDescent="0.2">
      <c r="A36" s="186"/>
      <c r="B36" s="230" t="s">
        <v>487</v>
      </c>
      <c r="C36" s="182" t="s">
        <v>498</v>
      </c>
      <c r="D36" s="183">
        <f>BS!K10</f>
        <v>83999.648907223687</v>
      </c>
      <c r="E36" s="183">
        <f>BS!L10</f>
        <v>85014.328808446444</v>
      </c>
      <c r="F36" s="183">
        <f>BS!M10</f>
        <v>136404.46511815389</v>
      </c>
      <c r="G36" s="183">
        <f>BS!N10</f>
        <v>78901.552349765334</v>
      </c>
      <c r="H36" s="183">
        <f>BS!O10</f>
        <v>64285.36268204471</v>
      </c>
      <c r="I36" s="183">
        <f>BS!P10</f>
        <v>106994.61880451931</v>
      </c>
      <c r="J36" s="183">
        <f>BS!Q10</f>
        <v>119458.85010413289</v>
      </c>
      <c r="K36" s="183">
        <f>BS!R10</f>
        <v>83091.756217888309</v>
      </c>
      <c r="L36" s="183">
        <f>BS!S10</f>
        <v>85549.495789858323</v>
      </c>
      <c r="M36" s="183">
        <f>BS!T10</f>
        <v>77753.305439934193</v>
      </c>
      <c r="N36" s="183">
        <f>BS!U10</f>
        <v>64148.835968589512</v>
      </c>
      <c r="O36" s="183">
        <f>BS!V10</f>
        <v>54027.678654219941</v>
      </c>
      <c r="P36" s="183">
        <f>BS!W10</f>
        <v>82387.486693305109</v>
      </c>
      <c r="Q36" s="183">
        <f>BS!X10</f>
        <v>70646.614137468074</v>
      </c>
      <c r="R36" s="183">
        <f>BS!Y10</f>
        <v>96338.662810464913</v>
      </c>
      <c r="S36" s="183">
        <f>BS!Z10</f>
        <v>103457.24998342266</v>
      </c>
      <c r="T36" s="183">
        <f>BS!AA10</f>
        <v>130602.4858499901</v>
      </c>
      <c r="U36" s="183">
        <f>BS!AB10</f>
        <v>172104.30115944901</v>
      </c>
    </row>
    <row r="37" spans="1:21" ht="15.75" customHeight="1" x14ac:dyDescent="0.2">
      <c r="A37" s="187"/>
      <c r="B37" s="209" t="s">
        <v>476</v>
      </c>
      <c r="C37" s="225"/>
      <c r="D37" s="226">
        <f t="shared" ref="D37:K37" si="20">+D35-D36</f>
        <v>1014.6799012227566</v>
      </c>
      <c r="E37" s="226">
        <f t="shared" si="20"/>
        <v>51390.13630970745</v>
      </c>
      <c r="F37" s="226">
        <f t="shared" si="20"/>
        <v>-57502.91276838856</v>
      </c>
      <c r="G37" s="226">
        <f t="shared" si="20"/>
        <v>-14616.189667720624</v>
      </c>
      <c r="H37" s="226">
        <f t="shared" si="20"/>
        <v>42709.256122474602</v>
      </c>
      <c r="I37" s="226">
        <f t="shared" si="20"/>
        <v>12464.231299613573</v>
      </c>
      <c r="J37" s="226">
        <f t="shared" si="20"/>
        <v>-36367.093886244576</v>
      </c>
      <c r="K37" s="226">
        <f t="shared" si="20"/>
        <v>2457.7395719700144</v>
      </c>
      <c r="L37" s="226">
        <f t="shared" ref="L37:U37" si="21">+L35-L36</f>
        <v>-7796.1903499241307</v>
      </c>
      <c r="M37" s="226">
        <f t="shared" si="21"/>
        <v>-13604.469471344681</v>
      </c>
      <c r="N37" s="226">
        <f t="shared" si="21"/>
        <v>-10121.157314369571</v>
      </c>
      <c r="O37" s="226">
        <f t="shared" si="21"/>
        <v>28359.808039085168</v>
      </c>
      <c r="P37" s="226">
        <f t="shared" si="21"/>
        <v>-11740.872555837035</v>
      </c>
      <c r="Q37" s="226">
        <f t="shared" ref="Q37:R37" si="22">+Q35-Q36</f>
        <v>25692.04867299684</v>
      </c>
      <c r="R37" s="226">
        <f t="shared" si="22"/>
        <v>7118.5871729577484</v>
      </c>
      <c r="S37" s="226">
        <f t="shared" ref="S37:T37" si="23">+S35-S36</f>
        <v>27145.23586656744</v>
      </c>
      <c r="T37" s="226">
        <f t="shared" si="23"/>
        <v>41501.815309458907</v>
      </c>
      <c r="U37" s="226">
        <f t="shared" si="21"/>
        <v>-37092.128384579875</v>
      </c>
    </row>
    <row r="38" spans="1:21"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row>
    <row r="39" spans="1:21" ht="15.75" customHeight="1" x14ac:dyDescent="0.2">
      <c r="A39" s="232"/>
      <c r="B39" s="233" t="s">
        <v>489</v>
      </c>
      <c r="C39" s="234" t="s">
        <v>504</v>
      </c>
      <c r="D39" s="235">
        <f>D22</f>
        <v>15937.789879909105</v>
      </c>
      <c r="E39" s="235">
        <f>E22</f>
        <v>-1188.7603179501239</v>
      </c>
      <c r="F39" s="235">
        <f t="shared" ref="F39:K39" si="24">F22</f>
        <v>17305.920290738009</v>
      </c>
      <c r="G39" s="235">
        <f t="shared" si="24"/>
        <v>36210.846252692412</v>
      </c>
      <c r="H39" s="235">
        <f t="shared" si="24"/>
        <v>14153.546906329815</v>
      </c>
      <c r="I39" s="235">
        <f t="shared" si="24"/>
        <v>-7682.8795833573095</v>
      </c>
      <c r="J39" s="235">
        <f t="shared" si="24"/>
        <v>6091.9368216183502</v>
      </c>
      <c r="K39" s="235">
        <f t="shared" si="24"/>
        <v>30490.145901565164</v>
      </c>
      <c r="L39" s="235">
        <f t="shared" ref="L39:U39" si="25">L22</f>
        <v>21994.822688098444</v>
      </c>
      <c r="M39" s="235">
        <f t="shared" si="25"/>
        <v>29848.227842454784</v>
      </c>
      <c r="N39" s="235">
        <f t="shared" si="25"/>
        <v>15678.969947333375</v>
      </c>
      <c r="O39" s="235">
        <f t="shared" si="25"/>
        <v>36045.601363305686</v>
      </c>
      <c r="P39" s="235">
        <f t="shared" si="25"/>
        <v>30809.736242808009</v>
      </c>
      <c r="Q39" s="235">
        <f t="shared" ref="Q39:R39" si="26">Q22</f>
        <v>60268.35990848337</v>
      </c>
      <c r="R39" s="235">
        <f t="shared" si="26"/>
        <v>-8344.6510029751371</v>
      </c>
      <c r="S39" s="235">
        <f t="shared" ref="S39:T39" si="27">S22</f>
        <v>10508.474960847001</v>
      </c>
      <c r="T39" s="235">
        <f t="shared" si="27"/>
        <v>70509.647426085547</v>
      </c>
      <c r="U39" s="235">
        <f t="shared" si="25"/>
        <v>-3605.3522387449048</v>
      </c>
    </row>
    <row r="40" spans="1:21" ht="15.75" customHeight="1" x14ac:dyDescent="0.2">
      <c r="A40" s="186"/>
      <c r="B40" s="230" t="s">
        <v>490</v>
      </c>
      <c r="C40" s="182" t="s">
        <v>491</v>
      </c>
      <c r="D40" s="183">
        <f>D26</f>
        <v>573.91721736793261</v>
      </c>
      <c r="E40" s="183">
        <f>E26</f>
        <v>36431.896921949119</v>
      </c>
      <c r="F40" s="183">
        <f t="shared" ref="F40:K40" si="28">F26</f>
        <v>-27300.845165260609</v>
      </c>
      <c r="G40" s="183">
        <f t="shared" si="28"/>
        <v>-33707.956743379633</v>
      </c>
      <c r="H40" s="183">
        <f t="shared" si="28"/>
        <v>51496.964755483306</v>
      </c>
      <c r="I40" s="183">
        <f t="shared" si="28"/>
        <v>-20799.118067210431</v>
      </c>
      <c r="J40" s="183">
        <f t="shared" si="28"/>
        <v>-2339.2193417089584</v>
      </c>
      <c r="K40" s="183">
        <f t="shared" si="28"/>
        <v>-38164.964948422072</v>
      </c>
      <c r="L40" s="183">
        <f t="shared" ref="L40:U40" si="29">L26</f>
        <v>-18169.281571527539</v>
      </c>
      <c r="M40" s="183">
        <f t="shared" si="29"/>
        <v>-93163.564303941181</v>
      </c>
      <c r="N40" s="183">
        <f t="shared" si="29"/>
        <v>51803.380200854197</v>
      </c>
      <c r="O40" s="183">
        <f t="shared" si="29"/>
        <v>-19665.254236272936</v>
      </c>
      <c r="P40" s="183">
        <f t="shared" si="29"/>
        <v>-33401.862250889404</v>
      </c>
      <c r="Q40" s="183">
        <f t="shared" ref="Q40:R40" si="30">Q26</f>
        <v>-51498.91715424112</v>
      </c>
      <c r="R40" s="183">
        <f t="shared" si="30"/>
        <v>-9733.2851671417011</v>
      </c>
      <c r="S40" s="183">
        <f t="shared" ref="S40:T40" si="31">S26</f>
        <v>38260.86456811567</v>
      </c>
      <c r="T40" s="183">
        <f t="shared" si="31"/>
        <v>-54007.289911636064</v>
      </c>
      <c r="U40" s="183">
        <f t="shared" si="29"/>
        <v>-45078.913382861676</v>
      </c>
    </row>
    <row r="41" spans="1:21" ht="15.75" customHeight="1" x14ac:dyDescent="0.2">
      <c r="A41" s="187"/>
      <c r="B41" s="209" t="s">
        <v>476</v>
      </c>
      <c r="C41" s="225"/>
      <c r="D41" s="226">
        <f t="shared" ref="D41:K41" si="32">D39+D40</f>
        <v>16511.707097277038</v>
      </c>
      <c r="E41" s="226">
        <f t="shared" si="32"/>
        <v>35243.136603998995</v>
      </c>
      <c r="F41" s="226">
        <f t="shared" si="32"/>
        <v>-9994.9248745225996</v>
      </c>
      <c r="G41" s="226">
        <f t="shared" si="32"/>
        <v>2502.8895093127794</v>
      </c>
      <c r="H41" s="226">
        <f t="shared" si="32"/>
        <v>65650.511661813129</v>
      </c>
      <c r="I41" s="226">
        <f t="shared" si="32"/>
        <v>-28481.99765056774</v>
      </c>
      <c r="J41" s="226">
        <f t="shared" si="32"/>
        <v>3752.7174799093918</v>
      </c>
      <c r="K41" s="226">
        <f t="shared" si="32"/>
        <v>-7674.8190468569082</v>
      </c>
      <c r="L41" s="226">
        <f t="shared" ref="L41:U41" si="33">L39+L40</f>
        <v>3825.5411165709047</v>
      </c>
      <c r="M41" s="226">
        <f t="shared" si="33"/>
        <v>-63315.336461486397</v>
      </c>
      <c r="N41" s="226">
        <f t="shared" si="33"/>
        <v>67482.350148187572</v>
      </c>
      <c r="O41" s="226">
        <f t="shared" si="33"/>
        <v>16380.34712703275</v>
      </c>
      <c r="P41" s="226">
        <f t="shared" si="33"/>
        <v>-2592.1260080813954</v>
      </c>
      <c r="Q41" s="226">
        <f t="shared" ref="Q41:R41" si="34">Q39+Q40</f>
        <v>8769.4427542422491</v>
      </c>
      <c r="R41" s="226">
        <f t="shared" si="34"/>
        <v>-18077.936170116838</v>
      </c>
      <c r="S41" s="226">
        <f t="shared" ref="S41:T41" si="35">S39+S40</f>
        <v>48769.339528962671</v>
      </c>
      <c r="T41" s="226">
        <f t="shared" si="35"/>
        <v>16502.357514449483</v>
      </c>
      <c r="U41" s="226">
        <f t="shared" si="33"/>
        <v>-48684.265621606581</v>
      </c>
    </row>
    <row r="42" spans="1:21" x14ac:dyDescent="0.2">
      <c r="B42" s="31" t="s">
        <v>582</v>
      </c>
    </row>
  </sheetData>
  <sheetProtection algorithmName="SHA-512" hashValue="UvGJYa50R+NTzTx/XML+cHAX6j2LY5RKyRgBIaanRe6n0YRFHWObDdCsAui46UT7pzakQ+2DKt8nDqmQQlRxiw==" saltValue="gBmxigVchrVZbJaa8jVgjA=="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topLeftCell="A73"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森川 雅章</cp:lastModifiedBy>
  <cp:lastPrinted>2016-06-02T03:51:42Z</cp:lastPrinted>
  <dcterms:created xsi:type="dcterms:W3CDTF">2009-06-23T03:53:45Z</dcterms:created>
  <dcterms:modified xsi:type="dcterms:W3CDTF">2023-03-31T02:45:21Z</dcterms:modified>
</cp:coreProperties>
</file>