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EFA53C69-C02F-412A-80E0-1F3F47FD3703}"/>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41" i="5" s="1"/>
  <c r="T38" i="5"/>
  <c r="T33" i="5"/>
  <c r="T32" i="5"/>
  <c r="T31" i="5"/>
  <c r="T30" i="5"/>
  <c r="T29" i="5"/>
  <c r="T28" i="5"/>
  <c r="T27" i="5"/>
  <c r="T26" i="5"/>
  <c r="T25" i="5"/>
  <c r="T24" i="5"/>
  <c r="T23" i="5"/>
  <c r="T20" i="5"/>
  <c r="T19" i="5"/>
  <c r="T44" i="5" s="1"/>
  <c r="T18" i="5"/>
  <c r="T17" i="5"/>
  <c r="T16" i="5"/>
  <c r="T15" i="5"/>
  <c r="T13" i="5"/>
  <c r="T12" i="5"/>
  <c r="T45" i="5" s="1"/>
  <c r="T11" i="5"/>
  <c r="T22" i="5" s="1"/>
  <c r="T9" i="5"/>
  <c r="T8" i="5"/>
  <c r="T7" i="5"/>
  <c r="T6" i="5"/>
  <c r="T5" i="5"/>
  <c r="T32" i="6"/>
  <c r="T25" i="6"/>
  <c r="AM25" i="6" s="1"/>
  <c r="T24" i="6"/>
  <c r="T23" i="6"/>
  <c r="T22" i="6"/>
  <c r="T21" i="6"/>
  <c r="AM21" i="6" s="1"/>
  <c r="T20" i="6"/>
  <c r="T19" i="6"/>
  <c r="T18" i="6"/>
  <c r="T17" i="6"/>
  <c r="AM17" i="6" s="1"/>
  <c r="T16" i="6"/>
  <c r="AM16" i="6" s="1"/>
  <c r="T14" i="6"/>
  <c r="T13" i="6"/>
  <c r="T12" i="6"/>
  <c r="T11" i="6"/>
  <c r="T10" i="6"/>
  <c r="T9" i="6"/>
  <c r="AM9" i="6" s="1"/>
  <c r="T8" i="6"/>
  <c r="T7" i="6"/>
  <c r="T6" i="6"/>
  <c r="T5" i="6"/>
  <c r="AM8" i="6" s="1"/>
  <c r="CQ81" i="3"/>
  <c r="CT80" i="3" s="1"/>
  <c r="CL81" i="3"/>
  <c r="CL78" i="3"/>
  <c r="CL80" i="3" s="1"/>
  <c r="CL76" i="3"/>
  <c r="CL71" i="3"/>
  <c r="CL66" i="3"/>
  <c r="CQ64" i="3"/>
  <c r="CQ65" i="3"/>
  <c r="CL65" i="3"/>
  <c r="CL64" i="3"/>
  <c r="CL54" i="3"/>
  <c r="CL53" i="3"/>
  <c r="CL55" i="3" s="1"/>
  <c r="CL50" i="3"/>
  <c r="CL45" i="3"/>
  <c r="CL44" i="3"/>
  <c r="CL46" i="3" s="1"/>
  <c r="CO45" i="3" s="1"/>
  <c r="CL43" i="3"/>
  <c r="CL39" i="3"/>
  <c r="CL41" i="3" s="1"/>
  <c r="CL35" i="3"/>
  <c r="CL33" i="3"/>
  <c r="CL31" i="3"/>
  <c r="CL30" i="3"/>
  <c r="CL19" i="3"/>
  <c r="CL15" i="3"/>
  <c r="CQ61" i="3" s="1"/>
  <c r="CL12" i="3"/>
  <c r="CL70" i="3" s="1"/>
  <c r="CL9" i="3"/>
  <c r="CL7" i="3"/>
  <c r="CQ67" i="3" s="1"/>
  <c r="CL6" i="3"/>
  <c r="CL40" i="3" s="1"/>
  <c r="CL51" i="3"/>
  <c r="CO50" i="3" s="1"/>
  <c r="CL17" i="3"/>
  <c r="CL8" i="3"/>
  <c r="V70" i="7"/>
  <c r="V71" i="7" s="1"/>
  <c r="V69" i="7"/>
  <c r="V68" i="7"/>
  <c r="V66" i="7"/>
  <c r="V64" i="7"/>
  <c r="V51" i="7"/>
  <c r="V44" i="7"/>
  <c r="V40" i="7"/>
  <c r="V35" i="7"/>
  <c r="V34" i="7"/>
  <c r="V30" i="7"/>
  <c r="V29" i="7"/>
  <c r="V28" i="7"/>
  <c r="V16" i="7"/>
  <c r="V15" i="7"/>
  <c r="V14" i="7"/>
  <c r="V13" i="7"/>
  <c r="V26" i="7" s="1"/>
  <c r="V11" i="7"/>
  <c r="V10" i="7"/>
  <c r="V33" i="7" s="1"/>
  <c r="V9" i="7"/>
  <c r="V8" i="7"/>
  <c r="V56" i="7" s="1"/>
  <c r="V7" i="7"/>
  <c r="V54" i="7" s="1"/>
  <c r="V6" i="7"/>
  <c r="V48" i="7" s="1"/>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AL22" i="6" s="1"/>
  <c r="S24" i="6"/>
  <c r="S23" i="6"/>
  <c r="S22" i="6"/>
  <c r="S21" i="6"/>
  <c r="S20" i="6"/>
  <c r="S19" i="6"/>
  <c r="S18" i="6"/>
  <c r="S17" i="6"/>
  <c r="AL17" i="6" s="1"/>
  <c r="S16" i="6"/>
  <c r="S14" i="6"/>
  <c r="S13" i="6"/>
  <c r="S12" i="6"/>
  <c r="S11" i="6"/>
  <c r="S10" i="6"/>
  <c r="S9" i="6"/>
  <c r="S8" i="6"/>
  <c r="S7" i="6"/>
  <c r="S6" i="6"/>
  <c r="S5" i="6"/>
  <c r="S31" i="6" s="1"/>
  <c r="CQ80" i="3"/>
  <c r="CG81" i="3"/>
  <c r="CQ78" i="3"/>
  <c r="CG78" i="3"/>
  <c r="CG80" i="3" s="1"/>
  <c r="CQ76" i="3"/>
  <c r="CG76" i="3"/>
  <c r="CQ71" i="3"/>
  <c r="CG71" i="3"/>
  <c r="CG64" i="3"/>
  <c r="CQ54" i="3"/>
  <c r="CT53" i="3" s="1"/>
  <c r="CG54" i="3"/>
  <c r="CQ53" i="3"/>
  <c r="CQ55" i="3" s="1"/>
  <c r="CG53" i="3"/>
  <c r="CQ50" i="3"/>
  <c r="CG50" i="3"/>
  <c r="CQ45" i="3"/>
  <c r="CG45" i="3"/>
  <c r="CG44" i="3"/>
  <c r="CQ44" i="3"/>
  <c r="CQ43" i="3"/>
  <c r="CG43" i="3"/>
  <c r="CQ39" i="3"/>
  <c r="CQ41" i="3" s="1"/>
  <c r="CG39" i="3"/>
  <c r="CQ35" i="3"/>
  <c r="CG35" i="3"/>
  <c r="CQ33" i="3"/>
  <c r="CG33" i="3"/>
  <c r="CQ31" i="3"/>
  <c r="CG31" i="3"/>
  <c r="CQ30" i="3"/>
  <c r="CG30" i="3"/>
  <c r="CQ19" i="3"/>
  <c r="CG19" i="3"/>
  <c r="CQ15" i="3"/>
  <c r="CG15" i="3"/>
  <c r="CL61" i="3" s="1"/>
  <c r="CQ12" i="3"/>
  <c r="CQ70" i="3" s="1"/>
  <c r="CG12" i="3"/>
  <c r="CL59" i="3" s="1"/>
  <c r="CQ9" i="3"/>
  <c r="CG9" i="3"/>
  <c r="CQ7" i="3"/>
  <c r="CQ49" i="3" s="1"/>
  <c r="CQ6" i="3"/>
  <c r="CQ17" i="3" s="1"/>
  <c r="CG7" i="3"/>
  <c r="CG6" i="3"/>
  <c r="CQ32" i="3"/>
  <c r="CT31" i="3" s="1"/>
  <c r="CQ28" i="3"/>
  <c r="CQ8"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Q62" i="3" l="1"/>
  <c r="CQ14" i="3"/>
  <c r="CT8" i="3"/>
  <c r="CT43" i="3"/>
  <c r="AM13" i="6"/>
  <c r="S47" i="5"/>
  <c r="CO69" i="3"/>
  <c r="AM6" i="6"/>
  <c r="AM7" i="6"/>
  <c r="CL69" i="3"/>
  <c r="AM11" i="6"/>
  <c r="T47" i="5"/>
  <c r="AM10" i="6"/>
  <c r="CL58" i="3"/>
  <c r="AM12" i="6"/>
  <c r="T35" i="5"/>
  <c r="T39" i="5" s="1"/>
  <c r="CO64" i="3"/>
  <c r="CQ66" i="3"/>
  <c r="CT66" i="3" s="1"/>
  <c r="AM19" i="6"/>
  <c r="T28" i="6"/>
  <c r="T37" i="5"/>
  <c r="V20" i="7"/>
  <c r="AM22" i="6"/>
  <c r="AM18" i="6"/>
  <c r="AM24" i="6"/>
  <c r="S37" i="8"/>
  <c r="S24" i="8" s="1"/>
  <c r="CO6" i="3"/>
  <c r="CO80" i="3"/>
  <c r="AM20" i="6"/>
  <c r="T34" i="5"/>
  <c r="CO22" i="3"/>
  <c r="CL24" i="3" s="1"/>
  <c r="CO11" i="3"/>
  <c r="CQ59" i="3"/>
  <c r="CQ63" i="3"/>
  <c r="V63" i="7"/>
  <c r="CL14" i="3"/>
  <c r="CO13" i="3" s="1"/>
  <c r="CO8" i="3"/>
  <c r="CL60" i="3"/>
  <c r="T34" i="6"/>
  <c r="T49" i="5"/>
  <c r="T16" i="9"/>
  <c r="T20" i="9"/>
  <c r="V12" i="7"/>
  <c r="V25" i="7" s="1"/>
  <c r="CL36" i="3"/>
  <c r="CO35" i="3" s="1"/>
  <c r="CQ60" i="3"/>
  <c r="CT60" i="3" s="1"/>
  <c r="AM5" i="6"/>
  <c r="T5" i="9"/>
  <c r="T17" i="9" s="1"/>
  <c r="T10" i="5"/>
  <c r="CT62" i="3"/>
  <c r="CL62" i="3"/>
  <c r="CO40" i="3"/>
  <c r="CQ58" i="3"/>
  <c r="CL63" i="3"/>
  <c r="CO53" i="3"/>
  <c r="V50" i="7"/>
  <c r="CL48" i="3"/>
  <c r="R44" i="5"/>
  <c r="S41" i="5"/>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O48" i="3" s="1"/>
  <c r="CL56" i="3"/>
  <c r="CO55" i="3" s="1"/>
  <c r="CL74" i="3"/>
  <c r="CL16" i="3"/>
  <c r="CO15" i="3" s="1"/>
  <c r="CL25" i="3"/>
  <c r="CO24" i="3" s="1"/>
  <c r="CL29" i="3"/>
  <c r="CO29" i="3" s="1"/>
  <c r="CL34" i="3"/>
  <c r="CO33" i="3" s="1"/>
  <c r="CL38" i="3"/>
  <c r="CO38" i="3" s="1"/>
  <c r="V18" i="7"/>
  <c r="V22" i="7"/>
  <c r="V27" i="7"/>
  <c r="V32" i="7"/>
  <c r="V24" i="7"/>
  <c r="V53" i="7"/>
  <c r="V21" i="7"/>
  <c r="V19" i="7"/>
  <c r="U48" i="7"/>
  <c r="U33" i="7"/>
  <c r="U54" i="7"/>
  <c r="U24" i="7"/>
  <c r="U56" i="7"/>
  <c r="U26" i="7"/>
  <c r="T18" i="9"/>
  <c r="T19" i="9"/>
  <c r="S33" i="8"/>
  <c r="CQ51" i="3"/>
  <c r="CT50" i="3" s="1"/>
  <c r="U50" i="7"/>
  <c r="AL23" i="6"/>
  <c r="S46" i="5"/>
  <c r="U20" i="7"/>
  <c r="S37" i="5"/>
  <c r="CQ48" i="3"/>
  <c r="CT48" i="3" s="1"/>
  <c r="S45" i="5"/>
  <c r="T22" i="8"/>
  <c r="T33" i="8"/>
  <c r="U66" i="7"/>
  <c r="AL8" i="6"/>
  <c r="AL12" i="6"/>
  <c r="S20" i="9"/>
  <c r="U12" i="7"/>
  <c r="U25" i="7" s="1"/>
  <c r="AL13" i="6"/>
  <c r="S10" i="5"/>
  <c r="R47" i="5"/>
  <c r="U63" i="7"/>
  <c r="S49" i="5"/>
  <c r="S34" i="5"/>
  <c r="CG69" i="3"/>
  <c r="S32" i="6"/>
  <c r="S33" i="6" s="1"/>
  <c r="S5" i="9"/>
  <c r="S17" i="9" s="1"/>
  <c r="AL5" i="6"/>
  <c r="S22" i="8"/>
  <c r="S43" i="5"/>
  <c r="U46" i="5"/>
  <c r="U37" i="5"/>
  <c r="S29" i="6"/>
  <c r="CQ46" i="3"/>
  <c r="CT45" i="3" s="1"/>
  <c r="CT38" i="3"/>
  <c r="CQ27" i="3"/>
  <c r="CT27" i="3" s="1"/>
  <c r="CQ79" i="3"/>
  <c r="CT78" i="3" s="1"/>
  <c r="CT6" i="3"/>
  <c r="CQ40" i="3"/>
  <c r="CT40" i="3" s="1"/>
  <c r="CQ18" i="3"/>
  <c r="CT17" i="3" s="1"/>
  <c r="CQ36" i="3"/>
  <c r="CT35" i="3" s="1"/>
  <c r="CQ56" i="3"/>
  <c r="CT55" i="3" s="1"/>
  <c r="CQ74" i="3"/>
  <c r="CQ20" i="3"/>
  <c r="CT19" i="3" s="1"/>
  <c r="CQ16" i="3"/>
  <c r="CT15" i="3" s="1"/>
  <c r="CQ25" i="3"/>
  <c r="CQ29" i="3"/>
  <c r="CT29" i="3" s="1"/>
  <c r="CQ34" i="3"/>
  <c r="CT33" i="3" s="1"/>
  <c r="CQ38" i="3"/>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B15" i="3"/>
  <c r="CO60" i="3" s="1"/>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S35" i="6" l="1"/>
  <c r="T36" i="5"/>
  <c r="CL72" i="3"/>
  <c r="CO71" i="3" s="1"/>
  <c r="CL73" i="3"/>
  <c r="CL75" i="3" s="1"/>
  <c r="CO75" i="3" s="1"/>
  <c r="CO62" i="3"/>
  <c r="S36" i="5"/>
  <c r="CO27" i="3"/>
  <c r="S25" i="8"/>
  <c r="S26" i="8" s="1"/>
  <c r="S40" i="8" s="1"/>
  <c r="S34" i="6"/>
  <c r="CT58" i="3"/>
  <c r="T39" i="8"/>
  <c r="V60" i="7"/>
  <c r="V59" i="7"/>
  <c r="CB70" i="3"/>
  <c r="CE69" i="3" s="1"/>
  <c r="CO58" i="3"/>
  <c r="CG67" i="3"/>
  <c r="CO66" i="3"/>
  <c r="U21" i="7"/>
  <c r="U18" i="7"/>
  <c r="T25" i="8"/>
  <c r="T26" i="8" s="1"/>
  <c r="T40" i="8" s="1"/>
  <c r="S39" i="8"/>
  <c r="S41" i="8" s="1"/>
  <c r="S39" i="5"/>
  <c r="S19" i="9"/>
  <c r="U36" i="5"/>
  <c r="S18" i="9"/>
  <c r="U59" i="7"/>
  <c r="U61" i="7"/>
  <c r="U60" i="7"/>
  <c r="R36" i="5"/>
  <c r="R39" i="5"/>
  <c r="R27" i="6"/>
  <c r="AK18" i="6"/>
  <c r="R30" i="6"/>
  <c r="AK19" i="6"/>
  <c r="AK16" i="6"/>
  <c r="AK20" i="6"/>
  <c r="AK24" i="6"/>
  <c r="AK6" i="6"/>
  <c r="AK10" i="6"/>
  <c r="U39" i="5"/>
  <c r="CB69" i="3"/>
  <c r="R48" i="5"/>
  <c r="R49" i="5" s="1"/>
  <c r="R31" i="6"/>
  <c r="CE53" i="3"/>
  <c r="R28" i="6"/>
  <c r="AK12" i="6"/>
  <c r="CB13" i="3"/>
  <c r="T12" i="7"/>
  <c r="T21" i="7" s="1"/>
  <c r="R32" i="6"/>
  <c r="R33" i="6" s="1"/>
  <c r="T63" i="7"/>
  <c r="T66" i="7"/>
  <c r="AK9" i="6"/>
  <c r="AK7" i="6"/>
  <c r="AK11" i="6"/>
  <c r="R5" i="9"/>
  <c r="CG61" i="3"/>
  <c r="CG59" i="3"/>
  <c r="CG63" i="3"/>
  <c r="AK8" i="6"/>
  <c r="AK5" i="6"/>
  <c r="AK13" i="6"/>
  <c r="CB79" i="3"/>
  <c r="CE78" i="3" s="1"/>
  <c r="T53" i="7"/>
  <c r="CE64" i="3"/>
  <c r="AK22" i="6"/>
  <c r="AK23" i="6"/>
  <c r="CE55" i="3"/>
  <c r="R29" i="6"/>
  <c r="CE80" i="3"/>
  <c r="T54" i="7"/>
  <c r="T26" i="7"/>
  <c r="R21" i="9"/>
  <c r="R37" i="8"/>
  <c r="R24" i="8" s="1"/>
  <c r="R33" i="8"/>
  <c r="R22" i="8"/>
  <c r="CB51" i="3"/>
  <c r="CE50" i="3" s="1"/>
  <c r="CB48" i="3"/>
  <c r="T50" i="7"/>
  <c r="CB49" i="3"/>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B27" i="3"/>
  <c r="CB32" i="3"/>
  <c r="CE31" i="3" s="1"/>
  <c r="P42" i="1"/>
  <c r="CE13" i="3" l="1"/>
  <c r="CO73" i="3"/>
  <c r="V61" i="7"/>
  <c r="CE48" i="3"/>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48" i="3" l="1"/>
  <c r="BP24" i="3"/>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CT22" i="3" s="1"/>
  <c r="CQ24" i="3" s="1"/>
  <c r="CT24"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N53" i="3"/>
  <c r="AN55" i="3" s="1"/>
  <c r="AI9" i="3"/>
  <c r="AL80" i="3" s="1"/>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F5" i="6"/>
  <c r="AD13" i="3"/>
  <c r="L48" i="5"/>
  <c r="U20" i="9" l="1"/>
  <c r="AQ80" i="3"/>
  <c r="F32" i="7"/>
  <c r="F27" i="7"/>
  <c r="R22" i="3"/>
  <c r="O24" i="3" s="1"/>
  <c r="W22" i="3"/>
  <c r="T24" i="3" s="1"/>
  <c r="AF11" i="6"/>
  <c r="AF7" i="6"/>
  <c r="AG22" i="3"/>
  <c r="AD24" i="3" s="1"/>
  <c r="D41" i="5"/>
  <c r="M53" i="3"/>
  <c r="BK45" i="3"/>
  <c r="I21" i="9"/>
  <c r="V21" i="6"/>
  <c r="CQ72" i="3"/>
  <c r="CT71" i="3" s="1"/>
  <c r="CQ73" i="3"/>
  <c r="I47" i="5"/>
  <c r="N31" i="6"/>
  <c r="N63" i="7"/>
  <c r="E47" i="5"/>
  <c r="T14" i="3"/>
  <c r="J47" i="5"/>
  <c r="G12" i="7"/>
  <c r="C47" i="5"/>
  <c r="Y59" i="3"/>
  <c r="AI29" i="3"/>
  <c r="AL29" i="3" s="1"/>
  <c r="AN69" i="3"/>
  <c r="W63" i="7"/>
  <c r="U48" i="5"/>
  <c r="U49" i="5" s="1"/>
  <c r="W12" i="7"/>
  <c r="W18" i="7" s="1"/>
  <c r="U10" i="5"/>
  <c r="R64" i="3"/>
  <c r="M80" i="3"/>
  <c r="AV80" i="3"/>
  <c r="CJ80" i="3"/>
  <c r="BF80" i="3"/>
  <c r="AV6" i="3"/>
  <c r="G48" i="5"/>
  <c r="G49" i="5" s="1"/>
  <c r="E12" i="7"/>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G18" i="7"/>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W24" i="3" s="1"/>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G21" i="7"/>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H13" i="3" s="1"/>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BA73" i="3" s="1"/>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AL40" i="3"/>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F38" i="3"/>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W13" i="3" s="1"/>
  <c r="F11" i="6"/>
  <c r="Y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C5" i="6"/>
  <c r="AC8" i="6"/>
  <c r="AC6" i="6"/>
  <c r="AC7" i="6"/>
  <c r="U5" i="9"/>
  <c r="U19" i="9" s="1"/>
  <c r="T41" i="3"/>
  <c r="W40" i="3" s="1"/>
  <c r="Y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BF58" i="3" s="1"/>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8" i="9" l="1"/>
  <c r="U17" i="9"/>
  <c r="CQ75" i="3"/>
  <c r="CT75" i="3" s="1"/>
  <c r="CT73"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<sst xmlns="http://schemas.openxmlformats.org/spreadsheetml/2006/main" count="1674" uniqueCount="585">
  <si>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</si>
  <si>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</si>
  <si>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</si>
  <si>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</si>
  <si>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</si>
  <si>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</si>
  <si>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</si>
  <si>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</si>
  <si>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</si>
  <si>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</si>
  <si>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</si>
  <si>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</si>
  <si>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</si>
  <si>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</si>
  <si>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</si>
  <si>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</si>
  <si>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</si>
  <si>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</si>
  <si>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</si>
  <si>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</si>
  <si>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</si>
  <si>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</si>
  <si>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</si>
  <si>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</si>
  <si>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</si>
  <si>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</si>
  <si>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</si>
  <si>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</si>
  <si>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</si>
  <si>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</si>
  <si>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</si>
  <si>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</si>
  <si>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</si>
  <si>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</si>
  <si>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</si>
  <si>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</si>
  <si>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</si>
  <si>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</si>
  <si>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</si>
  <si>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</si>
  <si>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</si>
  <si>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</si>
  <si>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</si>
  <si>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</si>
  <si>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</si>
  <si>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</si>
  <si>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</si>
  <si>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</si>
  <si>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</si>
  <si>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</si>
  <si>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</si>
  <si>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</si>
  <si>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</si>
  <si>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</si>
  <si>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</si>
  <si>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</si>
  <si>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</si>
  <si>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</si>
  <si>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</si>
  <si>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</si>
  <si>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</si>
  <si>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</si>
  <si>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</si>
  <si>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</si>
  <si>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</si>
  <si>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</si>
  <si>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</si>
  <si>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</si>
  <si>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</si>
  <si>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</si>
  <si>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</si>
  <si>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</si>
  <si>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</si>
  <si>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</si>
  <si>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</si>
  <si>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</si>
  <si>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</si>
  <si>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</si>
  <si>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</si>
  <si>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</si>
  <si>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</si>
  <si>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</si>
  <si>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</si>
  <si>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</si>
  <si>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</si>
  <si>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</si>
  <si>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</si>
  <si>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</si>
  <si>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</si>
  <si>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</si>
  <si>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</si>
  <si>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</si>
  <si>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</si>
  <si>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</si>
  <si>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</si>
  <si>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</si>
  <si>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</si>
  <si>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</si>
  <si>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</si>
  <si>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</si>
  <si>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</si>
  <si>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</si>
  <si>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</si>
  <si>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</si>
  <si>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</si>
  <si>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</si>
  <si>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</si>
  <si>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</si>
  <si>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</si>
  <si>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</si>
  <si>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</si>
  <si>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</si>
  <si>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</si>
  <si>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</si>
  <si>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</si>
  <si>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</si>
  <si>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</si>
  <si>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</si>
  <si>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</si>
  <si>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</si>
  <si>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</si>
  <si>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</si>
  <si>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</si>
  <si>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</si>
  <si>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</si>
  <si>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</si>
  <si>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</si>
  <si>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</si>
  <si>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</si>
  <si>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</si>
  <si>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</si>
  <si>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</si>
  <si>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</si>
  <si>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</si>
  <si>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</si>
  <si>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</si>
  <si>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</si>
  <si>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</si>
  <si>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</si>
  <si>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</si>
  <si>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</si>
  <si>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</si>
  <si>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</si>
  <si>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</si>
  <si>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</si>
  <si>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</si>
  <si>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</si>
  <si>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</si>
  <si>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</si>
  <si>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</si>
  <si>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</si>
  <si>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</si>
  <si>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</si>
  <si>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</si>
  <si>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</si>
  <si>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</si>
  <si>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</si>
  <si>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</si>
  <si>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</si>
  <si>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</si>
  <si>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</si>
  <si>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</si>
  <si>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</si>
  <si>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</si>
  <si>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</si>
  <si>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</si>
  <si>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</si>
  <si>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</si>
  <si>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</si>
  <si>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</si>
  <si>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</si>
  <si>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</si>
  <si>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</si>
  <si>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</si>
  <si>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</si>
  <si>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</si>
  <si>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</si>
  <si>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</si>
  <si>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</si>
  <si>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</si>
  <si>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</si>
  <si>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</si>
  <si>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</si>
  <si>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</si>
  <si>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</si>
  <si>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</si>
  <si>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</si>
  <si>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</si>
  <si>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</si>
  <si>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</si>
  <si>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</si>
  <si>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</si>
  <si>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</si>
  <si>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</si>
  <si>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</si>
  <si>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</si>
  <si>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</si>
  <si>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</si>
  <si>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</si>
  <si>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</si>
  <si>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</si>
  <si>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</si>
  <si>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</si>
  <si>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</si>
  <si>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</si>
  <si>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</si>
  <si>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</si>
  <si>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</si>
  <si>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</si>
  <si>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</si>
  <si>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</si>
  <si>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</si>
  <si>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</si>
  <si>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</si>
  <si>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</si>
  <si>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</si>
  <si>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</si>
  <si>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</si>
  <si>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</si>
  <si>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</si>
  <si>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</si>
  <si>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</si>
  <si>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</si>
  <si>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</si>
  <si>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</si>
  <si>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</si>
  <si>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</si>
  <si>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</si>
  <si>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</si>
  <si>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</si>
  <si>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</si>
  <si>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</si>
  <si>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</si>
  <si>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</si>
  <si>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</si>
  <si>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</si>
  <si>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</si>
  <si>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</si>
  <si>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</si>
  <si>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</si>
  <si>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</si>
  <si>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</si>
  <si>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</si>
  <si>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</si>
  <si>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</si>
  <si>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</si>
  <si>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</si>
  <si>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</si>
  <si>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</si>
  <si>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</si>
  <si>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</si>
  <si>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</si>
  <si>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</si>
  <si>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</si>
  <si>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</si>
  <si>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</si>
  <si>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</si>
  <si>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</si>
  <si>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</si>
  <si>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</si>
  <si>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</si>
  <si>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</si>
  <si>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</si>
  <si>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</si>
  <si>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</si>
  <si>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</si>
  <si>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</si>
  <si>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</si>
  <si>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</si>
  <si>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</si>
  <si>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</si>
  <si>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</si>
  <si>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</si>
  <si>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</si>
  <si>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</si>
  <si>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</si>
  <si>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</si>
  <si>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</si>
  <si>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</si>
  <si>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</si>
  <si>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</si>
  <si>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</si>
  <si>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</si>
  <si>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</si>
  <si>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</si>
  <si>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</si>
  <si>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</si>
  <si>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</si>
  <si>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</si>
  <si>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</si>
  <si>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</si>
  <si>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</si>
  <si>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</si>
  <si>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</si>
  <si>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</si>
  <si>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</si>
  <si>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</si>
  <si>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</si>
  <si>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</si>
  <si>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</si>
  <si>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</si>
  <si>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</si>
  <si>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</si>
  <si>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</si>
  <si>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</si>
  <si>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</si>
  <si>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</si>
  <si>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</si>
  <si>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</si>
  <si>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</si>
  <si>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</si>
  <si>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</si>
  <si>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</si>
  <si>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</si>
  <si>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</si>
  <si>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</si>
  <si>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</si>
  <si>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</si>
  <si>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</si>
  <si>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</si>
  <si>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</si>
  <si>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</si>
  <si>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</si>
  <si>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</si>
  <si>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</si>
  <si>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</si>
  <si>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</si>
  <si>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</si>
  <si>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</si>
  <si>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</si>
  <si>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</si>
  <si>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</si>
  <si>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</si>
  <si>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</si>
  <si>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</si>
  <si>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</si>
  <si>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</si>
  <si>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</si>
  <si>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</si>
  <si>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</si>
  <si>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</si>
  <si>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</si>
  <si>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</si>
  <si>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</si>
  <si>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</si>
  <si>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</si>
  <si>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</si>
  <si>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</si>
  <si>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</si>
  <si>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</si>
  <si>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</si>
  <si>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</si>
  <si>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</si>
  <si>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</si>
  <si>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</si>
  <si>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</si>
  <si>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</si>
  <si>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</si>
  <si>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</si>
  <si>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</si>
  <si>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</si>
  <si>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</si>
  <si>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</si>
  <si>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</si>
  <si>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</si>
  <si>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</si>
  <si>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</si>
  <si>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</si>
  <si>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</si>
  <si>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</si>
  <si>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</si>
  <si>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</si>
  <si>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</si>
  <si>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</si>
  <si>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</si>
  <si>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</si>
  <si>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</si>
  <si>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</si>
  <si>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</si>
  <si>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</si>
  <si>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</si>
  <si>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</si>
  <si>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</si>
  <si>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</si>
  <si>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</si>
  <si>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</si>
  <si>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</si>
  <si>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</si>
  <si>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</si>
  <si>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</si>
  <si>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</si>
  <si>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</si>
  <si>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</si>
  <si>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</si>
  <si>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</si>
  <si>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</si>
  <si>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</si>
  <si>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</si>
  <si>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</si>
  <si>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</si>
  <si>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</si>
  <si>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</si>
  <si>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</si>
  <si>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</si>
  <si>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</si>
  <si>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</si>
  <si>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</si>
  <si>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</si>
  <si>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</si>
  <si>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</si>
  <si>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</si>
  <si>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</si>
  <si>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</si>
  <si>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</si>
  <si>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</si>
  <si>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</si>
  <si>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</si>
  <si>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</si>
  <si>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</si>
  <si>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</si>
  <si>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</si>
  <si>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</si>
  <si>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</si>
  <si>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</si>
  <si>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</si>
  <si>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</si>
  <si>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</si>
  <si>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</si>
  <si>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</si>
  <si>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</si>
  <si>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</si>
  <si>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</si>
  <si>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</si>
  <si>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</si>
  <si>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</si>
  <si>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</si>
  <si>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</si>
  <si>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</si>
  <si>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</si>
  <si>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</si>
  <si>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</si>
  <si>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</si>
  <si>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</si>
  <si>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</si>
  <si>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</si>
  <si>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</si>
  <si>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</si>
  <si>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</si>
  <si>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</si>
  <si>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</si>
  <si>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</si>
  <si>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</si>
  <si>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</si>
  <si>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</si>
  <si>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</si>
  <si>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</si>
  <si>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</si>
  <si>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</si>
  <si>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</si>
  <si>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</si>
  <si>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</si>
  <si>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</si>
  <si>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</si>
  <si>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</si>
  <si>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</si>
  <si>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</si>
  <si>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</si>
  <si>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</si>
  <si>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</si>
  <si>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</si>
  <si>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</si>
  <si>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</si>
  <si>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</si>
  <si>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</si>
  <si>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</si>
  <si>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</si>
  <si>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</si>
  <si>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</si>
  <si>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</si>
  <si>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</si>
  <si>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</si>
  <si>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</si>
  <si>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</si>
  <si>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</si>
  <si>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</si>
  <si>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</si>
  <si>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</si>
  <si>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</si>
  <si>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</si>
  <si>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</si>
  <si>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</si>
  <si>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</si>
  <si>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</si>
  <si>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</si>
  <si>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</si>
  <si>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</si>
  <si>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</si>
  <si>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</si>
  <si>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</si>
  <si>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</si>
  <si>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</si>
  <si>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</si>
  <si>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</si>
  <si>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</si>
  <si>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</si>
  <si>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</si>
  <si>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</si>
  <si>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</si>
  <si>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</si>
  <si>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</si>
  <si>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</si>
  <si>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</si>
  <si>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</si>
  <si>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</si>
  <si>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</si>
  <si>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</si>
  <si>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</si>
  <si>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</si>
  <si>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</si>
  <si>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</si>
  <si>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</si>
  <si>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</si>
  <si>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</si>
  <si>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</si>
  <si>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</si>
  <si>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</si>
  <si>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</si>
  <si>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</si>
  <si>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</si>
  <si>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</si>
  <si>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</si>
  <si>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</si>
  <si>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</si>
  <si>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</si>
  <si>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</si>
  <si>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</si>
  <si>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</si>
  <si>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</si>
  <si>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</si>
  <si>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</si>
  <si>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</si>
  <si>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</si>
  <si>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</si>
  <si>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</si>
  <si>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</si>
  <si>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</si>
  <si>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</si>
  <si>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</si>
  <si>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</si>
  <si>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</si>
  <si>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</si>
  <si>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</si>
  <si>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</si>
  <si>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</si>
  <si>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</si>
  <si>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</si>
  <si>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</si>
  <si>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</si>
  <si>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</si>
  <si>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</si>
  <si>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</si>
  <si>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</si>
  <si>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</si>
  <si>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</si>
  <si>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</si>
  <si>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</si>
  <si>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</si>
  <si>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</si>
  <si>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</si>
  <si>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</si>
  <si>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</si>
  <si>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</si>
  <si>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</si>
  <si>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</si>
  <si>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</si>
  <si>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</si>
  <si>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</si>
  <si>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</si>
  <si>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</si>
  <si>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</si>
  <si>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</si>
  <si>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</si>
  <si>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</si>
  <si>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</si>
  <si>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２９　電気機械器具製造業</t>
    <rPh sb="3" eb="5">
      <t>デンキ</t>
    </rPh>
    <rPh sb="5" eb="7">
      <t>キカイ</t>
    </rPh>
    <rPh sb="7" eb="9">
      <t>キグ</t>
    </rPh>
    <rPh sb="9" eb="12">
      <t>セイゾウギョウ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</si>
</sst>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102294.807002124</c:v>
                </c:pt>
                <c:pt idx="1">
                  <c:v>160090.80540445691</c:v>
                </c:pt>
                <c:pt idx="2">
                  <c:v>108550.90494610141</c:v>
                </c:pt>
                <c:pt idx="3">
                  <c:v>139106.15880287433</c:v>
                </c:pt>
                <c:pt idx="4">
                  <c:v>191574.64771048079</c:v>
                </c:pt>
                <c:pt idx="5">
                  <c:v>140407.80308647518</c:v>
                </c:pt>
                <c:pt idx="6">
                  <c:v>194526.15780704789</c:v>
                </c:pt>
                <c:pt idx="7">
                  <c:v>137261.67614876965</c:v>
                </c:pt>
                <c:pt idx="8">
                  <c:v>132903.12845135876</c:v>
                </c:pt>
                <c:pt idx="9">
                  <c:v>104424.86700869461</c:v>
                </c:pt>
                <c:pt idx="10">
                  <c:v>229402.06154112416</c:v>
                </c:pt>
                <c:pt idx="11">
                  <c:v>247628.38913046109</c:v>
                </c:pt>
                <c:pt idx="12">
                  <c:v>174566.53855215071</c:v>
                </c:pt>
                <c:pt idx="13">
                  <c:v>233062.78406444282</c:v>
                </c:pt>
                <c:pt idx="14">
                  <c:v>199056.17467008712</c:v>
                </c:pt>
                <c:pt idx="15">
                  <c:v>192911.29688865112</c:v>
                </c:pt>
                <c:pt idx="16">
                  <c:v>266758.76979175821</c:v>
                </c:pt>
                <c:pt idx="17">
                  <c:v>265925.07249006396</c:v>
                </c:pt>
                <c:pt idx="18">
                  <c:v>200080.09964047253</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232420.49366439602</c:v>
                </c:pt>
                <c:pt idx="1">
                  <c:v>239770.66151956483</c:v>
                </c:pt>
                <c:pt idx="2">
                  <c:v>211301.51339668961</c:v>
                </c:pt>
                <c:pt idx="3">
                  <c:v>299953.06316659745</c:v>
                </c:pt>
                <c:pt idx="4">
                  <c:v>219945.11217140753</c:v>
                </c:pt>
                <c:pt idx="5">
                  <c:v>229581.38348331413</c:v>
                </c:pt>
                <c:pt idx="6">
                  <c:v>252043.5853315116</c:v>
                </c:pt>
                <c:pt idx="7">
                  <c:v>193230.85373826348</c:v>
                </c:pt>
                <c:pt idx="8">
                  <c:v>215175.23771263339</c:v>
                </c:pt>
                <c:pt idx="9">
                  <c:v>200117.25642156738</c:v>
                </c:pt>
                <c:pt idx="10">
                  <c:v>218613.90182089867</c:v>
                </c:pt>
                <c:pt idx="11">
                  <c:v>269525.04792397027</c:v>
                </c:pt>
                <c:pt idx="12">
                  <c:v>227171.06868133586</c:v>
                </c:pt>
                <c:pt idx="13">
                  <c:v>249026.77406452302</c:v>
                </c:pt>
                <c:pt idx="14">
                  <c:v>224514.55138701978</c:v>
                </c:pt>
                <c:pt idx="15">
                  <c:v>257208.86967707254</c:v>
                </c:pt>
                <c:pt idx="16">
                  <c:v>236867.36350057114</c:v>
                </c:pt>
                <c:pt idx="17">
                  <c:v>268303.90997062379</c:v>
                </c:pt>
                <c:pt idx="18">
                  <c:v>333402.90010272211</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139570.131106716</c:v>
                </c:pt>
                <c:pt idx="1">
                  <c:v>131431.04053342692</c:v>
                </c:pt>
                <c:pt idx="2">
                  <c:v>163980.23618194507</c:v>
                </c:pt>
                <c:pt idx="3">
                  <c:v>175155.81656647174</c:v>
                </c:pt>
                <c:pt idx="4">
                  <c:v>167419.4828037424</c:v>
                </c:pt>
                <c:pt idx="5">
                  <c:v>132054.10942914442</c:v>
                </c:pt>
                <c:pt idx="6">
                  <c:v>151272.83464229415</c:v>
                </c:pt>
                <c:pt idx="7">
                  <c:v>108581.00350824046</c:v>
                </c:pt>
                <c:pt idx="8">
                  <c:v>101939.93417601804</c:v>
                </c:pt>
                <c:pt idx="9">
                  <c:v>114893.74221280642</c:v>
                </c:pt>
                <c:pt idx="10">
                  <c:v>165950.60286300292</c:v>
                </c:pt>
                <c:pt idx="11">
                  <c:v>193224.9935587467</c:v>
                </c:pt>
                <c:pt idx="12">
                  <c:v>144375.36133145381</c:v>
                </c:pt>
                <c:pt idx="13">
                  <c:v>203303.46635164876</c:v>
                </c:pt>
                <c:pt idx="14">
                  <c:v>146609.20648573179</c:v>
                </c:pt>
                <c:pt idx="15">
                  <c:v>149032.44284491224</c:v>
                </c:pt>
                <c:pt idx="16">
                  <c:v>189701.32958439505</c:v>
                </c:pt>
                <c:pt idx="17">
                  <c:v>199671.22464143773</c:v>
                </c:pt>
                <c:pt idx="18">
                  <c:v>178433.71477486732</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193409.72679997099</c:v>
                </c:pt>
                <c:pt idx="1">
                  <c:v>257778.55764169153</c:v>
                </c:pt>
                <c:pt idx="2">
                  <c:v>154839.62442458019</c:v>
                </c:pt>
                <c:pt idx="3">
                  <c:v>263263.18402791483</c:v>
                </c:pt>
                <c:pt idx="4">
                  <c:v>242785.98009825882</c:v>
                </c:pt>
                <c:pt idx="5">
                  <c:v>237314.61141043369</c:v>
                </c:pt>
                <c:pt idx="6">
                  <c:v>293317.87266084732</c:v>
                </c:pt>
                <c:pt idx="7">
                  <c:v>221243.48239326297</c:v>
                </c:pt>
                <c:pt idx="8">
                  <c:v>244834.35591527296</c:v>
                </c:pt>
                <c:pt idx="9">
                  <c:v>186045.67045341473</c:v>
                </c:pt>
                <c:pt idx="10">
                  <c:v>281012.13835993927</c:v>
                </c:pt>
                <c:pt idx="11">
                  <c:v>322831.19111882587</c:v>
                </c:pt>
                <c:pt idx="12">
                  <c:v>254649.85018438409</c:v>
                </c:pt>
                <c:pt idx="13">
                  <c:v>276132.9326386762</c:v>
                </c:pt>
                <c:pt idx="14">
                  <c:v>276753.70178473729</c:v>
                </c:pt>
                <c:pt idx="15">
                  <c:v>300126.60015887808</c:v>
                </c:pt>
                <c:pt idx="16">
                  <c:v>312301.07811264391</c:v>
                </c:pt>
                <c:pt idx="17">
                  <c:v>333026.05719716608</c:v>
                </c:pt>
                <c:pt idx="18">
                  <c:v>352638.21357644239</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406109.61253936804</c:v>
                </c:pt>
                <c:pt idx="1">
                  <c:v>484288.20845762413</c:v>
                </c:pt>
                <c:pt idx="2">
                  <c:v>416426.79832610243</c:v>
                </c:pt>
                <c:pt idx="3">
                  <c:v>733864.73974775011</c:v>
                </c:pt>
                <c:pt idx="4">
                  <c:v>548635.41173829371</c:v>
                </c:pt>
                <c:pt idx="5">
                  <c:v>435549.2760954285</c:v>
                </c:pt>
                <c:pt idx="6">
                  <c:v>447411.78996418981</c:v>
                </c:pt>
                <c:pt idx="7">
                  <c:v>344506.67549986951</c:v>
                </c:pt>
                <c:pt idx="8">
                  <c:v>419786.34152781614</c:v>
                </c:pt>
                <c:pt idx="9">
                  <c:v>378318.34964730439</c:v>
                </c:pt>
                <c:pt idx="10">
                  <c:v>453482.84130994877</c:v>
                </c:pt>
                <c:pt idx="11">
                  <c:v>532887.90511023544</c:v>
                </c:pt>
                <c:pt idx="12">
                  <c:v>477457.02486995549</c:v>
                </c:pt>
                <c:pt idx="13">
                  <c:v>493855.36318422219</c:v>
                </c:pt>
                <c:pt idx="14">
                  <c:v>496901.22828476451</c:v>
                </c:pt>
                <c:pt idx="15">
                  <c:v>488368.73248863994</c:v>
                </c:pt>
                <c:pt idx="16">
                  <c:v>541381.79843598977</c:v>
                </c:pt>
                <c:pt idx="17">
                  <c:v>527460.97356143082</c:v>
                </c:pt>
                <c:pt idx="18">
                  <c:v>542406.32066426985</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13352.649967040199</c:v>
                </c:pt>
                <c:pt idx="1">
                  <c:v>16288.647131075628</c:v>
                </c:pt>
                <c:pt idx="2">
                  <c:v>14215.91183382935</c:v>
                </c:pt>
                <c:pt idx="3">
                  <c:v>30782.277270524366</c:v>
                </c:pt>
                <c:pt idx="4">
                  <c:v>15900.586610850854</c:v>
                </c:pt>
                <c:pt idx="5">
                  <c:v>10319.69872265439</c:v>
                </c:pt>
                <c:pt idx="6">
                  <c:v>3721.8057469202972</c:v>
                </c:pt>
                <c:pt idx="7">
                  <c:v>13461.730876041527</c:v>
                </c:pt>
                <c:pt idx="8">
                  <c:v>15174.711737890315</c:v>
                </c:pt>
                <c:pt idx="9">
                  <c:v>20734.977222637892</c:v>
                </c:pt>
                <c:pt idx="10">
                  <c:v>19681.508170292218</c:v>
                </c:pt>
                <c:pt idx="11">
                  <c:v>28070.766032345389</c:v>
                </c:pt>
                <c:pt idx="12">
                  <c:v>22767.58050310929</c:v>
                </c:pt>
                <c:pt idx="13">
                  <c:v>19737.228932195911</c:v>
                </c:pt>
                <c:pt idx="14">
                  <c:v>26426.612312332018</c:v>
                </c:pt>
                <c:pt idx="15">
                  <c:v>21488.346085337296</c:v>
                </c:pt>
                <c:pt idx="16">
                  <c:v>27455.862314383623</c:v>
                </c:pt>
                <c:pt idx="17">
                  <c:v>26313.929065146018</c:v>
                </c:pt>
                <c:pt idx="18">
                  <c:v>24716.111282314676</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14965.261822569024</c:v>
                </c:pt>
                <c:pt idx="1">
                  <c:v>16777.863221884498</c:v>
                </c:pt>
                <c:pt idx="2">
                  <c:v>15284.395553994324</c:v>
                </c:pt>
                <c:pt idx="3">
                  <c:v>16485.885720255101</c:v>
                </c:pt>
                <c:pt idx="4">
                  <c:v>17220.43721468962</c:v>
                </c:pt>
                <c:pt idx="5">
                  <c:v>17343.188241751039</c:v>
                </c:pt>
                <c:pt idx="6">
                  <c:v>14944.539143234482</c:v>
                </c:pt>
                <c:pt idx="7">
                  <c:v>14598.540179184063</c:v>
                </c:pt>
                <c:pt idx="8">
                  <c:v>17413.638707029873</c:v>
                </c:pt>
                <c:pt idx="9">
                  <c:v>13595.927838792228</c:v>
                </c:pt>
                <c:pt idx="10">
                  <c:v>16259.202951577685</c:v>
                </c:pt>
                <c:pt idx="11">
                  <c:v>17812.845487461094</c:v>
                </c:pt>
                <c:pt idx="12">
                  <c:v>16457.152421597504</c:v>
                </c:pt>
                <c:pt idx="13">
                  <c:v>17531.358936601177</c:v>
                </c:pt>
                <c:pt idx="14">
                  <c:v>18343.13697279034</c:v>
                </c:pt>
                <c:pt idx="15">
                  <c:v>16897.956323225157</c:v>
                </c:pt>
                <c:pt idx="16">
                  <c:v>18863.51772320089</c:v>
                </c:pt>
                <c:pt idx="17">
                  <c:v>18992.612148137086</c:v>
                </c:pt>
                <c:pt idx="18">
                  <c:v>17665.219666957539</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6396.0241728047786</c:v>
                </c:pt>
                <c:pt idx="1">
                  <c:v>7003.3100303951369</c:v>
                </c:pt>
                <c:pt idx="2">
                  <c:v>6842.920447657355</c:v>
                </c:pt>
                <c:pt idx="3">
                  <c:v>5996.0488473046398</c:v>
                </c:pt>
                <c:pt idx="4">
                  <c:v>7146.2124896965424</c:v>
                </c:pt>
                <c:pt idx="5">
                  <c:v>7509.946223022198</c:v>
                </c:pt>
                <c:pt idx="6">
                  <c:v>7456.3372938122975</c:v>
                </c:pt>
                <c:pt idx="7">
                  <c:v>7012.2252049212448</c:v>
                </c:pt>
                <c:pt idx="8">
                  <c:v>7163.8311748553715</c:v>
                </c:pt>
                <c:pt idx="9">
                  <c:v>6532.5243730988996</c:v>
                </c:pt>
                <c:pt idx="10">
                  <c:v>8467.7701895385726</c:v>
                </c:pt>
                <c:pt idx="11">
                  <c:v>9060.347720185724</c:v>
                </c:pt>
                <c:pt idx="12">
                  <c:v>7754.9532284012894</c:v>
                </c:pt>
                <c:pt idx="13">
                  <c:v>8067.0368458466983</c:v>
                </c:pt>
                <c:pt idx="14">
                  <c:v>8233.7856924269654</c:v>
                </c:pt>
                <c:pt idx="15">
                  <c:v>8490.9689419442348</c:v>
                </c:pt>
                <c:pt idx="16">
                  <c:v>9162.7661602894968</c:v>
                </c:pt>
                <c:pt idx="17">
                  <c:v>8407.1826140521171</c:v>
                </c:pt>
                <c:pt idx="18">
                  <c:v>8290.8645387559864</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173567.75507214485</c:v>
                </c:pt>
                <c:pt idx="1">
                  <c:v>202148.53483067203</c:v>
                </c:pt>
                <c:pt idx="2">
                  <c:v>186436.90835870069</c:v>
                </c:pt>
                <c:pt idx="3">
                  <c:v>266912.49117635679</c:v>
                </c:pt>
                <c:pt idx="4">
                  <c:v>227675.12710476006</c:v>
                </c:pt>
                <c:pt idx="5">
                  <c:v>188601.51866878817</c:v>
                </c:pt>
                <c:pt idx="6">
                  <c:v>223228.91212818446</c:v>
                </c:pt>
                <c:pt idx="7">
                  <c:v>165479.44955814275</c:v>
                </c:pt>
                <c:pt idx="8">
                  <c:v>172696.73103998747</c:v>
                </c:pt>
                <c:pt idx="9">
                  <c:v>181773.09185256076</c:v>
                </c:pt>
                <c:pt idx="10">
                  <c:v>236173.23041896272</c:v>
                </c:pt>
                <c:pt idx="11">
                  <c:v>271048.76194983686</c:v>
                </c:pt>
                <c:pt idx="12">
                  <c:v>224987.70149196428</c:v>
                </c:pt>
                <c:pt idx="13">
                  <c:v>227247.03919036273</c:v>
                </c:pt>
                <c:pt idx="14">
                  <c:v>223046.81200764666</c:v>
                </c:pt>
                <c:pt idx="15">
                  <c:v>245397.94401517705</c:v>
                </c:pt>
                <c:pt idx="16">
                  <c:v>262970.8252350408</c:v>
                </c:pt>
                <c:pt idx="17">
                  <c:v>233483.45619491965</c:v>
                </c:pt>
                <c:pt idx="18">
                  <c:v>254569.00136962859</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53.00227846274003</c:v>
                </c:pt>
                <c:pt idx="1">
                  <c:v>60.099805172456442</c:v>
                </c:pt>
                <c:pt idx="2">
                  <c:v>55.800969255286759</c:v>
                </c:pt>
                <c:pt idx="3">
                  <c:v>51.530860030549633</c:v>
                </c:pt>
                <c:pt idx="4">
                  <c:v>62.318595278616669</c:v>
                </c:pt>
                <c:pt idx="5">
                  <c:v>55.191125970728592</c:v>
                </c:pt>
                <c:pt idx="6">
                  <c:v>55.118767324411408</c:v>
                </c:pt>
                <c:pt idx="7">
                  <c:v>61.996912861631337</c:v>
                </c:pt>
                <c:pt idx="8">
                  <c:v>59.353357931236815</c:v>
                </c:pt>
                <c:pt idx="9">
                  <c:v>57.624685567454826</c:v>
                </c:pt>
                <c:pt idx="10">
                  <c:v>58.643334999937899</c:v>
                </c:pt>
                <c:pt idx="11">
                  <c:v>43.670165985638334</c:v>
                </c:pt>
                <c:pt idx="12">
                  <c:v>57.618633635673199</c:v>
                </c:pt>
                <c:pt idx="13">
                  <c:v>58.012857267889672</c:v>
                </c:pt>
                <c:pt idx="14">
                  <c:v>53.226637729976531</c:v>
                </c:pt>
                <c:pt idx="15">
                  <c:v>53.124992773331961</c:v>
                </c:pt>
                <c:pt idx="16">
                  <c:v>43.290800787955938</c:v>
                </c:pt>
                <c:pt idx="17">
                  <c:v>52.636060426207564</c:v>
                </c:pt>
                <c:pt idx="18">
                  <c:v>52.535978517031644</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0.19250614490361895</c:v>
                </c:pt>
                <c:pt idx="2">
                  <c:v>-0.14012608390290726</c:v>
                </c:pt>
                <c:pt idx="3">
                  <c:v>0.76228989752254872</c:v>
                </c:pt>
                <c:pt idx="4">
                  <c:v>-0.25240254501548187</c:v>
                </c:pt>
                <c:pt idx="5">
                  <c:v>-0.20612256012524544</c:v>
                </c:pt>
                <c:pt idx="6">
                  <c:v>2.723575613557494E-2</c:v>
                </c:pt>
                <c:pt idx="7">
                  <c:v>-0.23000090022785646</c:v>
                </c:pt>
                <c:pt idx="8">
                  <c:v>0.218514389942424</c:v>
                </c:pt>
                <c:pt idx="9">
                  <c:v>-9.8783566253224486E-2</c:v>
                </c:pt>
                <c:pt idx="10">
                  <c:v>0.19868053382215822</c:v>
                </c:pt>
                <c:pt idx="11">
                  <c:v>0.17510048135650291</c:v>
                </c:pt>
                <c:pt idx="12">
                  <c:v>-0.10401977547006491</c:v>
                </c:pt>
                <c:pt idx="13">
                  <c:v>3.4345160841927402E-2</c:v>
                </c:pt>
                <c:pt idx="14">
                  <c:v>6.1675245985051141E-3</c:v>
                </c:pt>
                <c:pt idx="15">
                  <c:v>-1.7171412164903588E-2</c:v>
                </c:pt>
                <c:pt idx="16">
                  <c:v>0.1085513105583249</c:v>
                </c:pt>
                <c:pt idx="17">
                  <c:v>-2.571350738937872E-2</c:v>
                </c:pt>
                <c:pt idx="18">
                  <c:v>2.8334507863070124E-2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3.5151083739716378E-2</c:v>
                </c:pt>
                <c:pt idx="1">
                  <c:v>3.3393799218357861E-2</c:v>
                </c:pt>
                <c:pt idx="2">
                  <c:v>3.7488115564242232E-2</c:v>
                </c:pt>
                <c:pt idx="3">
                  <c:v>4.0865385672092594E-2</c:v>
                </c:pt>
                <c:pt idx="4">
                  <c:v>2.6481030260744429E-2</c:v>
                </c:pt>
                <c:pt idx="5">
                  <c:v>2.0374681192054645E-2</c:v>
                </c:pt>
                <c:pt idx="6">
                  <c:v>4.2339806504654851E-4</c:v>
                </c:pt>
                <c:pt idx="7">
                  <c:v>3.2702866173404531E-2</c:v>
                </c:pt>
                <c:pt idx="8">
                  <c:v>3.6828996814006795E-2</c:v>
                </c:pt>
                <c:pt idx="9">
                  <c:v>5.0459140628387598E-2</c:v>
                </c:pt>
                <c:pt idx="10">
                  <c:v>3.7768957058845483E-2</c:v>
                </c:pt>
                <c:pt idx="11">
                  <c:v>4.1577023796306609E-2</c:v>
                </c:pt>
                <c:pt idx="12">
                  <c:v>4.2559894605580843E-2</c:v>
                </c:pt>
                <c:pt idx="13">
                  <c:v>3.803516900733226E-2</c:v>
                </c:pt>
                <c:pt idx="14">
                  <c:v>4.8105883044263699E-2</c:v>
                </c:pt>
                <c:pt idx="15">
                  <c:v>3.9385064070466637E-2</c:v>
                </c:pt>
                <c:pt idx="16">
                  <c:v>4.5461869257325524E-2</c:v>
                </c:pt>
                <c:pt idx="17">
                  <c:v>3.699052154365555E-2</c:v>
                </c:pt>
                <c:pt idx="18">
                  <c:v>3.567032146732365E-2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526.04517151190441</c:v>
                </c:pt>
                <c:pt idx="1">
                  <c:v>560.27659574468169</c:v>
                </c:pt>
                <c:pt idx="2">
                  <c:v>572.98318685772938</c:v>
                </c:pt>
                <c:pt idx="3">
                  <c:v>673.70207810426871</c:v>
                </c:pt>
                <c:pt idx="4">
                  <c:v>456.01491898544532</c:v>
                </c:pt>
                <c:pt idx="5">
                  <c:v>353.36193127946819</c:v>
                </c:pt>
                <c:pt idx="6">
                  <c:v>6.3274889562578842</c:v>
                </c:pt>
                <c:pt idx="7">
                  <c:v>477.41410580692542</c:v>
                </c:pt>
                <c:pt idx="8">
                  <c:v>641.32684446146868</c:v>
                </c:pt>
                <c:pt idx="9">
                  <c:v>686.03883479102683</c:v>
                </c:pt>
                <c:pt idx="10">
                  <c:v>614.09313808919137</c:v>
                </c:pt>
                <c:pt idx="11">
                  <c:v>740.60510071210274</c:v>
                </c:pt>
                <c:pt idx="12">
                  <c:v>700.41467257116926</c:v>
                </c:pt>
                <c:pt idx="13">
                  <c:v>666.80820008183059</c:v>
                </c:pt>
                <c:pt idx="14">
                  <c:v>882.41280187796133</c:v>
                </c:pt>
                <c:pt idx="15">
                  <c:v>665.52709245016956</c:v>
                </c:pt>
                <c:pt idx="16">
                  <c:v>857.57077646540165</c:v>
                </c:pt>
                <c:pt idx="17">
                  <c:v>702.54662883595915</c:v>
                </c:pt>
                <c:pt idx="18">
                  <c:v>630.1240643112634</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2.9808086199935069</c:v>
                </c:pt>
                <c:pt idx="1">
                  <c:v>2.3542745460052767</c:v>
                </c:pt>
                <c:pt idx="2">
                  <c:v>3.0969670290517755</c:v>
                </c:pt>
                <c:pt idx="3">
                  <c:v>1.9578329416389975</c:v>
                </c:pt>
                <c:pt idx="4">
                  <c:v>1.3776561385242942</c:v>
                </c:pt>
                <c:pt idx="5">
                  <c:v>4.1340504275338583</c:v>
                </c:pt>
                <c:pt idx="6">
                  <c:v>4.8512462206524996</c:v>
                </c:pt>
                <c:pt idx="7">
                  <c:v>1.5446897339364407</c:v>
                </c:pt>
                <c:pt idx="8">
                  <c:v>1.740731957755165</c:v>
                </c:pt>
                <c:pt idx="9">
                  <c:v>1.2493146351999505</c:v>
                </c:pt>
                <c:pt idx="10">
                  <c:v>-0.72584836910589545</c:v>
                </c:pt>
                <c:pt idx="11">
                  <c:v>1.0061679749754209</c:v>
                </c:pt>
                <c:pt idx="12">
                  <c:v>1.0301469711087898</c:v>
                </c:pt>
                <c:pt idx="13">
                  <c:v>0.84880779200563128</c:v>
                </c:pt>
                <c:pt idx="14">
                  <c:v>1.0475471902028632</c:v>
                </c:pt>
                <c:pt idx="15">
                  <c:v>1.1570031451488831</c:v>
                </c:pt>
                <c:pt idx="16">
                  <c:v>0.35162407598668088</c:v>
                </c:pt>
                <c:pt idx="17">
                  <c:v>0.22469492595699977</c:v>
                </c:pt>
                <c:pt idx="18">
                  <c:v>2.1248530420787506</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1.6608916514510319</c:v>
                </c:pt>
                <c:pt idx="1">
                  <c:v>2.1884089923815879</c:v>
                </c:pt>
                <c:pt idx="2">
                  <c:v>1.2622993424902933</c:v>
                </c:pt>
                <c:pt idx="3">
                  <c:v>1.5462038545783621</c:v>
                </c:pt>
                <c:pt idx="4">
                  <c:v>1.6159696350948332</c:v>
                </c:pt>
                <c:pt idx="5">
                  <c:v>2.0703531104303359</c:v>
                </c:pt>
                <c:pt idx="6">
                  <c:v>2.2009390632137076</c:v>
                </c:pt>
                <c:pt idx="7">
                  <c:v>2.304565968698947</c:v>
                </c:pt>
                <c:pt idx="8">
                  <c:v>2.229656022036</c:v>
                </c:pt>
                <c:pt idx="9">
                  <c:v>1.8713178059310305</c:v>
                </c:pt>
                <c:pt idx="10">
                  <c:v>2.3771107581796462</c:v>
                </c:pt>
                <c:pt idx="11">
                  <c:v>2.4744061804021902</c:v>
                </c:pt>
                <c:pt idx="12">
                  <c:v>2.2271724876851273</c:v>
                </c:pt>
                <c:pt idx="13">
                  <c:v>1.7103798468853881</c:v>
                </c:pt>
                <c:pt idx="14">
                  <c:v>2.5989673561768321</c:v>
                </c:pt>
                <c:pt idx="15">
                  <c:v>2.1992759702774838</c:v>
                </c:pt>
                <c:pt idx="16">
                  <c:v>2.1115230771933624</c:v>
                </c:pt>
                <c:pt idx="17">
                  <c:v>2.1386997241825427</c:v>
                </c:pt>
                <c:pt idx="18">
                  <c:v>2.0139929832400587</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0.30561736137673989</c:v>
                </c:pt>
                <c:pt idx="1">
                  <c:v>0.40036567323171457</c:v>
                </c:pt>
                <c:pt idx="2">
                  <c:v>0.33937809665007951</c:v>
                </c:pt>
                <c:pt idx="3">
                  <c:v>0.31682778049596805</c:v>
                </c:pt>
                <c:pt idx="4">
                  <c:v>0.4655296449566973</c:v>
                </c:pt>
                <c:pt idx="5">
                  <c:v>0.37949163971036953</c:v>
                </c:pt>
                <c:pt idx="6">
                  <c:v>0.43560084577134295</c:v>
                </c:pt>
                <c:pt idx="7">
                  <c:v>0.41532459506932745</c:v>
                </c:pt>
                <c:pt idx="8">
                  <c:v>0.38181955953201457</c:v>
                </c:pt>
                <c:pt idx="9">
                  <c:v>0.34289137355610244</c:v>
                </c:pt>
                <c:pt idx="10">
                  <c:v>0.51203992781782648</c:v>
                </c:pt>
                <c:pt idx="11">
                  <c:v>0.47882963041082477</c:v>
                </c:pt>
                <c:pt idx="12">
                  <c:v>0.43452874565137256</c:v>
                </c:pt>
                <c:pt idx="13">
                  <c:v>0.48344292079044615</c:v>
                </c:pt>
                <c:pt idx="14">
                  <c:v>0.46994790344234005</c:v>
                </c:pt>
                <c:pt idx="15">
                  <c:v>0.42857732494081324</c:v>
                </c:pt>
                <c:pt idx="16">
                  <c:v>0.52967618667420957</c:v>
                </c:pt>
                <c:pt idx="17">
                  <c:v>0.49777357878488476</c:v>
                </c:pt>
                <c:pt idx="18">
                  <c:v>0.37504494002018074</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13653</c:v>
                </c:pt>
                <c:pt idx="1">
                  <c:v>11398</c:v>
                </c:pt>
                <c:pt idx="2">
                  <c:v>11095.1497475019</c:v>
                </c:pt>
                <c:pt idx="3">
                  <c:v>9497.9089165771002</c:v>
                </c:pt>
                <c:pt idx="4">
                  <c:v>11121.968536598401</c:v>
                </c:pt>
                <c:pt idx="5">
                  <c:v>10872.0368789164</c:v>
                </c:pt>
                <c:pt idx="6">
                  <c:v>9781.1197773644799</c:v>
                </c:pt>
                <c:pt idx="7">
                  <c:v>11836.349255306866</c:v>
                </c:pt>
                <c:pt idx="8">
                  <c:v>11561.672096000028</c:v>
                </c:pt>
                <c:pt idx="9">
                  <c:v>12088.165173891553</c:v>
                </c:pt>
                <c:pt idx="10">
                  <c:v>12038.196718999983</c:v>
                </c:pt>
                <c:pt idx="11">
                  <c:v>11998.27552100001</c:v>
                </c:pt>
                <c:pt idx="12">
                  <c:v>11968.32784500004</c:v>
                </c:pt>
                <c:pt idx="13">
                  <c:v>11948.291200000027</c:v>
                </c:pt>
                <c:pt idx="14">
                  <c:v>10843.784799000012</c:v>
                </c:pt>
                <c:pt idx="15">
                  <c:v>11293</c:v>
                </c:pt>
                <c:pt idx="16">
                  <c:v>11381</c:v>
                </c:pt>
                <c:pt idx="17">
                  <c:v>11574</c:v>
                </c:pt>
                <c:pt idx="18">
                  <c:v>11682</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27.136819746575799</c:v>
                </c:pt>
                <c:pt idx="1">
                  <c:v>28.864713107562729</c:v>
                </c:pt>
                <c:pt idx="2">
                  <c:v>27.245225161506383</c:v>
                </c:pt>
                <c:pt idx="3">
                  <c:v>44.514729278154569</c:v>
                </c:pt>
                <c:pt idx="4">
                  <c:v>31.859551816157666</c:v>
                </c:pt>
                <c:pt idx="5">
                  <c:v>25.113564474086207</c:v>
                </c:pt>
                <c:pt idx="6">
                  <c:v>29.938145678231695</c:v>
                </c:pt>
                <c:pt idx="7">
                  <c:v>23.598707218075045</c:v>
                </c:pt>
                <c:pt idx="8">
                  <c:v>24.10675612319605</c:v>
                </c:pt>
                <c:pt idx="9">
                  <c:v>27.825857428271824</c:v>
                </c:pt>
                <c:pt idx="10">
                  <c:v>27.890840815536151</c:v>
                </c:pt>
                <c:pt idx="11">
                  <c:v>29.91593372801378</c:v>
                </c:pt>
                <c:pt idx="12">
                  <c:v>29.012128747338206</c:v>
                </c:pt>
                <c:pt idx="13">
                  <c:v>28.169827847924175</c:v>
                </c:pt>
                <c:pt idx="14">
                  <c:v>27.089217565231777</c:v>
                </c:pt>
                <c:pt idx="15">
                  <c:v>28.901053070980453</c:v>
                </c:pt>
                <c:pt idx="16">
                  <c:v>28.699938493981197</c:v>
                </c:pt>
                <c:pt idx="17">
                  <c:v>27.771902540176256</c:v>
                </c:pt>
                <c:pt idx="18">
                  <c:v>30.704759458996747</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406109.61253936804</c:v>
                </c:pt>
                <c:pt idx="1">
                  <c:v>484288.20845762413</c:v>
                </c:pt>
                <c:pt idx="2">
                  <c:v>416426.79832610243</c:v>
                </c:pt>
                <c:pt idx="3">
                  <c:v>733864.73974775011</c:v>
                </c:pt>
                <c:pt idx="4">
                  <c:v>548635.41173829371</c:v>
                </c:pt>
                <c:pt idx="5">
                  <c:v>435549.2760954285</c:v>
                </c:pt>
                <c:pt idx="6">
                  <c:v>447411.78996418981</c:v>
                </c:pt>
                <c:pt idx="7">
                  <c:v>344506.67549986951</c:v>
                </c:pt>
                <c:pt idx="8">
                  <c:v>419786.34152781614</c:v>
                </c:pt>
                <c:pt idx="9">
                  <c:v>378318.34964730439</c:v>
                </c:pt>
                <c:pt idx="10">
                  <c:v>453482.84130994877</c:v>
                </c:pt>
                <c:pt idx="11">
                  <c:v>532887.90511023544</c:v>
                </c:pt>
                <c:pt idx="12">
                  <c:v>477457.02486995549</c:v>
                </c:pt>
                <c:pt idx="13">
                  <c:v>493855.36318422219</c:v>
                </c:pt>
                <c:pt idx="14">
                  <c:v>496901.22828476451</c:v>
                </c:pt>
                <c:pt idx="15">
                  <c:v>488368.73248863994</c:v>
                </c:pt>
                <c:pt idx="16">
                  <c:v>541381.79843598977</c:v>
                </c:pt>
                <c:pt idx="17">
                  <c:v>527460.97356143082</c:v>
                </c:pt>
                <c:pt idx="18">
                  <c:v>542406.32066426985</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5517.7470153079903</c:v>
                </c:pt>
                <c:pt idx="1">
                  <c:v>9127.4785050008759</c:v>
                </c:pt>
                <c:pt idx="2">
                  <c:v>3577.1446193826596</c:v>
                </c:pt>
                <c:pt idx="3">
                  <c:v>17079.226625996056</c:v>
                </c:pt>
                <c:pt idx="4">
                  <c:v>6659.4918801793892</c:v>
                </c:pt>
                <c:pt idx="5">
                  <c:v>2463.6837859254802</c:v>
                </c:pt>
                <c:pt idx="6">
                  <c:v>-1797.7817804879176</c:v>
                </c:pt>
                <c:pt idx="7">
                  <c:v>4677.0994597093013</c:v>
                </c:pt>
                <c:pt idx="8">
                  <c:v>18330.605961998706</c:v>
                </c:pt>
                <c:pt idx="9">
                  <c:v>12258.669644283404</c:v>
                </c:pt>
                <c:pt idx="10">
                  <c:v>11457.792954600152</c:v>
                </c:pt>
                <c:pt idx="11">
                  <c:v>17642.907715193411</c:v>
                </c:pt>
                <c:pt idx="12">
                  <c:v>13084.615362251294</c:v>
                </c:pt>
                <c:pt idx="13">
                  <c:v>14263.983767058991</c:v>
                </c:pt>
                <c:pt idx="14">
                  <c:v>9870.8653483552771</c:v>
                </c:pt>
                <c:pt idx="15">
                  <c:v>14249.19386772373</c:v>
                </c:pt>
                <c:pt idx="16">
                  <c:v>16846.532554257094</c:v>
                </c:pt>
                <c:pt idx="17">
                  <c:v>17523.236305512357</c:v>
                </c:pt>
                <c:pt idx="18">
                  <c:v>18128.290960451977</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14275.1929978751</c:v>
                </c:pt>
                <c:pt idx="1">
                  <c:v>16172.223197052139</c:v>
                </c:pt>
                <c:pt idx="2">
                  <c:v>15611.055939696322</c:v>
                </c:pt>
                <c:pt idx="3">
                  <c:v>29989.665620941669</c:v>
                </c:pt>
                <c:pt idx="4">
                  <c:v>14528.430940357735</c:v>
                </c:pt>
                <c:pt idx="5">
                  <c:v>8874.1776438745437</c:v>
                </c:pt>
                <c:pt idx="6">
                  <c:v>189.43328614985074</c:v>
                </c:pt>
                <c:pt idx="7">
                  <c:v>11266.355704716734</c:v>
                </c:pt>
                <c:pt idx="8">
                  <c:v>15460.30983469151</c:v>
                </c:pt>
                <c:pt idx="9">
                  <c:v>19089.618807152841</c:v>
                </c:pt>
                <c:pt idx="10">
                  <c:v>17127.573960358695</c:v>
                </c:pt>
                <c:pt idx="11">
                  <c:v>22155.893111532238</c:v>
                </c:pt>
                <c:pt idx="12">
                  <c:v>20320.520657159497</c:v>
                </c:pt>
                <c:pt idx="13">
                  <c:v>18783.872203889347</c:v>
                </c:pt>
                <c:pt idx="14">
                  <c:v>23903.87237241786</c:v>
                </c:pt>
                <c:pt idx="15">
                  <c:v>19234.433819077665</c:v>
                </c:pt>
                <c:pt idx="16">
                  <c:v>24612.228538792726</c:v>
                </c:pt>
                <c:pt idx="17">
                  <c:v>19511.056505961638</c:v>
                </c:pt>
                <c:pt idx="18">
                  <c:v>19347.807824002739</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31238.3007397642</c:v>
                </c:pt>
                <c:pt idx="1">
                  <c:v>37989.20863309352</c:v>
                </c:pt>
                <c:pt idx="2">
                  <c:v>35795.623604731889</c:v>
                </c:pt>
                <c:pt idx="3">
                  <c:v>34452.481771663726</c:v>
                </c:pt>
                <c:pt idx="4">
                  <c:v>36193.608541569054</c:v>
                </c:pt>
                <c:pt idx="5">
                  <c:v>35451.071547702079</c:v>
                </c:pt>
                <c:pt idx="6">
                  <c:v>37417.437839453734</c:v>
                </c:pt>
                <c:pt idx="7">
                  <c:v>31452.538783187207</c:v>
                </c:pt>
                <c:pt idx="8">
                  <c:v>34343.62185186147</c:v>
                </c:pt>
                <c:pt idx="9">
                  <c:v>30829.76953715839</c:v>
                </c:pt>
                <c:pt idx="10">
                  <c:v>37197.972951277086</c:v>
                </c:pt>
                <c:pt idx="11">
                  <c:v>48414.169927672359</c:v>
                </c:pt>
                <c:pt idx="12">
                  <c:v>38448.933141668647</c:v>
                </c:pt>
                <c:pt idx="13">
                  <c:v>38402.994620742713</c:v>
                </c:pt>
                <c:pt idx="14">
                  <c:v>39887.544675902369</c:v>
                </c:pt>
                <c:pt idx="15">
                  <c:v>39344.205251586827</c:v>
                </c:pt>
                <c:pt idx="16">
                  <c:v>47338.318513311657</c:v>
                </c:pt>
                <c:pt idx="17">
                  <c:v>44648.190772420938</c:v>
                </c:pt>
                <c:pt idx="18">
                  <c:v>43861.609056668385</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36059.396469640407</c:v>
                </c:pt>
                <c:pt idx="1">
                  <c:v>26810.668538340058</c:v>
                </c:pt>
                <c:pt idx="2">
                  <c:v>31114.983410134195</c:v>
                </c:pt>
                <c:pt idx="3">
                  <c:v>65090.847576997243</c:v>
                </c:pt>
                <c:pt idx="4">
                  <c:v>35283.753301795165</c:v>
                </c:pt>
                <c:pt idx="5">
                  <c:v>40297.605640783557</c:v>
                </c:pt>
                <c:pt idx="6">
                  <c:v>62702.232053268257</c:v>
                </c:pt>
                <c:pt idx="7">
                  <c:v>20285.704089227132</c:v>
                </c:pt>
                <c:pt idx="8">
                  <c:v>20509.798213173995</c:v>
                </c:pt>
                <c:pt idx="9">
                  <c:v>27180.982198108242</c:v>
                </c:pt>
                <c:pt idx="10">
                  <c:v>43505.749876437389</c:v>
                </c:pt>
                <c:pt idx="11">
                  <c:v>82324.885977923739</c:v>
                </c:pt>
                <c:pt idx="12">
                  <c:v>36736.416330071836</c:v>
                </c:pt>
                <c:pt idx="13">
                  <c:v>38309.423463783896</c:v>
                </c:pt>
                <c:pt idx="14">
                  <c:v>40704.506905986927</c:v>
                </c:pt>
                <c:pt idx="15">
                  <c:v>56571.298961519729</c:v>
                </c:pt>
                <c:pt idx="16">
                  <c:v>77303.120991125601</c:v>
                </c:pt>
                <c:pt idx="17">
                  <c:v>46554.983324693225</c:v>
                </c:pt>
                <c:pt idx="18">
                  <c:v>57803.880243109088</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91994.864864864794</c:v>
                </c:pt>
                <c:pt idx="1">
                  <c:v>121176.34672749604</c:v>
                </c:pt>
                <c:pt idx="2">
                  <c:v>103915.24540413803</c:v>
                </c:pt>
                <c:pt idx="3">
                  <c:v>137379.49620675392</c:v>
                </c:pt>
                <c:pt idx="4">
                  <c:v>141669.33432103723</c:v>
                </c:pt>
                <c:pt idx="5">
                  <c:v>103978.66383642798</c:v>
                </c:pt>
                <c:pt idx="6">
                  <c:v>122919.80894931302</c:v>
                </c:pt>
                <c:pt idx="7">
                  <c:v>102474.85098101167</c:v>
                </c:pt>
                <c:pt idx="8">
                  <c:v>102383.00114026046</c:v>
                </c:pt>
                <c:pt idx="9">
                  <c:v>104672.72131014128</c:v>
                </c:pt>
                <c:pt idx="10">
                  <c:v>138341.9336308896</c:v>
                </c:pt>
                <c:pt idx="11">
                  <c:v>118153.8129327088</c:v>
                </c:pt>
                <c:pt idx="12">
                  <c:v>129481.83136306432</c:v>
                </c:pt>
                <c:pt idx="13">
                  <c:v>131750.74890194682</c:v>
                </c:pt>
                <c:pt idx="14">
                  <c:v>118550.88805333964</c:v>
                </c:pt>
                <c:pt idx="15">
                  <c:v>130248.00598299243</c:v>
                </c:pt>
                <c:pt idx="16">
                  <c:v>113717.15710394518</c:v>
                </c:pt>
                <c:pt idx="17">
                  <c:v>122769.22567824434</c:v>
                </c:pt>
                <c:pt idx="18">
                  <c:v>133555.70424584829</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232541.85746722319</c:v>
                </c:pt>
                <c:pt idx="1">
                  <c:v>282139.67362695211</c:v>
                </c:pt>
                <c:pt idx="2">
                  <c:v>229989.88996740174</c:v>
                </c:pt>
                <c:pt idx="3">
                  <c:v>466952.24857139331</c:v>
                </c:pt>
                <c:pt idx="4">
                  <c:v>320960.28463353362</c:v>
                </c:pt>
                <c:pt idx="5">
                  <c:v>246947.75742664034</c:v>
                </c:pt>
                <c:pt idx="6">
                  <c:v>224182.87783600535</c:v>
                </c:pt>
                <c:pt idx="7">
                  <c:v>179027.22594172679</c:v>
                </c:pt>
                <c:pt idx="8">
                  <c:v>247089.6104878287</c:v>
                </c:pt>
                <c:pt idx="9">
                  <c:v>196545.25779474358</c:v>
                </c:pt>
                <c:pt idx="10">
                  <c:v>217309.61089098605</c:v>
                </c:pt>
                <c:pt idx="11">
                  <c:v>261839.14316039861</c:v>
                </c:pt>
                <c:pt idx="12">
                  <c:v>252469.32337799121</c:v>
                </c:pt>
                <c:pt idx="13">
                  <c:v>266608.32399385952</c:v>
                </c:pt>
                <c:pt idx="14">
                  <c:v>273854.41627711785</c:v>
                </c:pt>
                <c:pt idx="15">
                  <c:v>242970.78847346289</c:v>
                </c:pt>
                <c:pt idx="16">
                  <c:v>278410.97320094891</c:v>
                </c:pt>
                <c:pt idx="17">
                  <c:v>293977.51736651117</c:v>
                </c:pt>
                <c:pt idx="18">
                  <c:v>287837.31929464132</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125711.05251593054</c:v>
                </c:pt>
                <c:pt idx="1">
                  <c:v>133829.61923144411</c:v>
                </c:pt>
                <c:pt idx="2">
                  <c:v>125087.19447112871</c:v>
                </c:pt>
                <c:pt idx="3">
                  <c:v>143416.72815093122</c:v>
                </c:pt>
                <c:pt idx="4">
                  <c:v>109686.17721124504</c:v>
                </c:pt>
                <c:pt idx="5">
                  <c:v>144420.23895498624</c:v>
                </c:pt>
                <c:pt idx="6">
                  <c:v>143749.11474677225</c:v>
                </c:pt>
                <c:pt idx="7">
                  <c:v>106944.27405396827</c:v>
                </c:pt>
                <c:pt idx="8">
                  <c:v>113439.24187769614</c:v>
                </c:pt>
                <c:pt idx="9">
                  <c:v>102877.93776981541</c:v>
                </c:pt>
                <c:pt idx="10">
                  <c:v>102077.37149902055</c:v>
                </c:pt>
                <c:pt idx="11">
                  <c:v>124853.96797245808</c:v>
                </c:pt>
                <c:pt idx="12">
                  <c:v>114062.01395665506</c:v>
                </c:pt>
                <c:pt idx="13">
                  <c:v>137633.79321047218</c:v>
                </c:pt>
                <c:pt idx="14">
                  <c:v>119815.85817704201</c:v>
                </c:pt>
                <c:pt idx="15">
                  <c:v>145678.81633362942</c:v>
                </c:pt>
                <c:pt idx="16">
                  <c:v>118144.92918021262</c:v>
                </c:pt>
                <c:pt idx="17">
                  <c:v>142158.09538621045</c:v>
                </c:pt>
                <c:pt idx="18">
                  <c:v>195544.5417736689</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37.557605602612611</c:v>
                </c:pt>
                <c:pt idx="1">
                  <c:v>33.468996215350067</c:v>
                </c:pt>
                <c:pt idx="2">
                  <c:v>39.107784496120452</c:v>
                </c:pt>
                <c:pt idx="3">
                  <c:v>32.664552063753973</c:v>
                </c:pt>
                <c:pt idx="4">
                  <c:v>26.653927199686951</c:v>
                </c:pt>
                <c:pt idx="5">
                  <c:v>39.033637791937181</c:v>
                </c:pt>
                <c:pt idx="6">
                  <c:v>32.189622551783764</c:v>
                </c:pt>
                <c:pt idx="7">
                  <c:v>32.359059398565911</c:v>
                </c:pt>
                <c:pt idx="8">
                  <c:v>32.590144319469402</c:v>
                </c:pt>
                <c:pt idx="9">
                  <c:v>33.781184885372255</c:v>
                </c:pt>
                <c:pt idx="10">
                  <c:v>22.784315704513421</c:v>
                </c:pt>
                <c:pt idx="11">
                  <c:v>24.142538563331069</c:v>
                </c:pt>
                <c:pt idx="12">
                  <c:v>28.392167400539936</c:v>
                </c:pt>
                <c:pt idx="13">
                  <c:v>28.549424249021619</c:v>
                </c:pt>
                <c:pt idx="14">
                  <c:v>28.287096063595325</c:v>
                </c:pt>
                <c:pt idx="15">
                  <c:v>32.364427802716172</c:v>
                </c:pt>
                <c:pt idx="16">
                  <c:v>23.458855958857779</c:v>
                </c:pt>
                <c:pt idx="17">
                  <c:v>26.60995566571895</c:v>
                </c:pt>
                <c:pt idx="18">
                  <c:v>36.654315482929938</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-16892.963150903248</c:v>
                </c:pt>
                <c:pt idx="2">
                  <c:v>82840.477364587321</c:v>
                </c:pt>
                <c:pt idx="3">
                  <c:v>26938.390298673632</c:v>
                </c:pt>
                <c:pt idx="4">
                  <c:v>35948.998033225274</c:v>
                </c:pt>
                <c:pt idx="5">
                  <c:v>7152.226408509021</c:v>
                </c:pt>
                <c:pt idx="6">
                  <c:v>1177.8718568635486</c:v>
                </c:pt>
                <c:pt idx="7">
                  <c:v>53445.2694762791</c:v>
                </c:pt>
                <c:pt idx="8">
                  <c:v>13675.469186456186</c:v>
                </c:pt>
                <c:pt idx="9">
                  <c:v>82810.152523399447</c:v>
                </c:pt>
                <c:pt idx="10">
                  <c:v>12439.217465995076</c:v>
                </c:pt>
                <c:pt idx="11">
                  <c:v>4599.0615433381245</c:v>
                </c:pt>
                <c:pt idx="12">
                  <c:v>63424.637842508637</c:v>
                </c:pt>
                <c:pt idx="13">
                  <c:v>44932.196732279743</c:v>
                </c:pt>
                <c:pt idx="14">
                  <c:v>15906.076733819282</c:v>
                </c:pt>
                <c:pt idx="15">
                  <c:v>48391.552657455424</c:v>
                </c:pt>
                <c:pt idx="16">
                  <c:v>38803.673998900122</c:v>
                </c:pt>
                <c:pt idx="17">
                  <c:v>64293.018355892804</c:v>
                </c:pt>
                <c:pt idx="18">
                  <c:v>31785.251759629093</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-18.919603934992665</c:v>
                </c:pt>
                <c:pt idx="2">
                  <c:v>-42871.747691316821</c:v>
                </c:pt>
                <c:pt idx="3">
                  <c:v>-30043.361863536051</c:v>
                </c:pt>
                <c:pt idx="4">
                  <c:v>-2260.0237055247235</c:v>
                </c:pt>
                <c:pt idx="5">
                  <c:v>29239.858305791429</c:v>
                </c:pt>
                <c:pt idx="6">
                  <c:v>-27664.777530142776</c:v>
                </c:pt>
                <c:pt idx="7">
                  <c:v>35999.737157159856</c:v>
                </c:pt>
                <c:pt idx="8">
                  <c:v>10.204405478154513</c:v>
                </c:pt>
                <c:pt idx="9">
                  <c:v>-20665.466126009036</c:v>
                </c:pt>
                <c:pt idx="10">
                  <c:v>-58896.63335263999</c:v>
                </c:pt>
                <c:pt idx="11">
                  <c:v>-36381.332786270214</c:v>
                </c:pt>
                <c:pt idx="12">
                  <c:v>39393.852397320661</c:v>
                </c:pt>
                <c:pt idx="13">
                  <c:v>-70024.283286147096</c:v>
                </c:pt>
                <c:pt idx="14">
                  <c:v>49386.117181936097</c:v>
                </c:pt>
                <c:pt idx="15">
                  <c:v>-13907.389956534153</c:v>
                </c:pt>
                <c:pt idx="16">
                  <c:v>-52922.889639052271</c:v>
                </c:pt>
                <c:pt idx="17">
                  <c:v>-22675.201519804046</c:v>
                </c:pt>
                <c:pt idx="18">
                  <c:v>10729.046418530696</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40033.019596188635</c:v>
                </c:pt>
                <c:pt idx="2">
                  <c:v>-41268.989373597418</c:v>
                </c:pt>
                <c:pt idx="3">
                  <c:v>20537.908537938503</c:v>
                </c:pt>
                <c:pt idx="4">
                  <c:v>-39569.964422231671</c:v>
                </c:pt>
                <c:pt idx="5">
                  <c:v>37873.878146061004</c:v>
                </c:pt>
                <c:pt idx="6">
                  <c:v>-1185.9544822113821</c:v>
                </c:pt>
                <c:pt idx="7">
                  <c:v>-36302.341043535635</c:v>
                </c:pt>
                <c:pt idx="8">
                  <c:v>9043.0929477548525</c:v>
                </c:pt>
                <c:pt idx="9">
                  <c:v>-10293.240679599556</c:v>
                </c:pt>
                <c:pt idx="10">
                  <c:v>8330.2974515758942</c:v>
                </c:pt>
                <c:pt idx="11">
                  <c:v>64503.729788088254</c:v>
                </c:pt>
                <c:pt idx="12">
                  <c:v>-50993.860311400756</c:v>
                </c:pt>
                <c:pt idx="13">
                  <c:v>33838.885359477048</c:v>
                </c:pt>
                <c:pt idx="14">
                  <c:v>-36296.764770771682</c:v>
                </c:pt>
                <c:pt idx="15">
                  <c:v>41235.177364433774</c:v>
                </c:pt>
                <c:pt idx="16">
                  <c:v>-39222.264916052802</c:v>
                </c:pt>
                <c:pt idx="17">
                  <c:v>30081.046329106124</c:v>
                </c:pt>
                <c:pt idx="18">
                  <c:v>52287.917931988814</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-16911.88275483824</c:v>
                </c:pt>
                <c:pt idx="2">
                  <c:v>39968.7296732705</c:v>
                </c:pt>
                <c:pt idx="3">
                  <c:v>-3104.9715648624187</c:v>
                </c:pt>
                <c:pt idx="4">
                  <c:v>33688.974327700547</c:v>
                </c:pt>
                <c:pt idx="5">
                  <c:v>36392.08471430045</c:v>
                </c:pt>
                <c:pt idx="6">
                  <c:v>-26486.905673279227</c:v>
                </c:pt>
                <c:pt idx="7">
                  <c:v>89445.006633438956</c:v>
                </c:pt>
                <c:pt idx="8">
                  <c:v>13685.673591934341</c:v>
                </c:pt>
                <c:pt idx="9">
                  <c:v>62144.686397390411</c:v>
                </c:pt>
                <c:pt idx="10">
                  <c:v>-46457.415886644914</c:v>
                </c:pt>
                <c:pt idx="11">
                  <c:v>-31782.271242932089</c:v>
                </c:pt>
                <c:pt idx="12">
                  <c:v>102818.49023982929</c:v>
                </c:pt>
                <c:pt idx="13">
                  <c:v>-25092.086553867353</c:v>
                </c:pt>
                <c:pt idx="14">
                  <c:v>65292.193915755379</c:v>
                </c:pt>
                <c:pt idx="15">
                  <c:v>34484.162700921268</c:v>
                </c:pt>
                <c:pt idx="16">
                  <c:v>-14119.21564015215</c:v>
                </c:pt>
                <c:pt idx="17">
                  <c:v>41617.816836088758</c:v>
                </c:pt>
                <c:pt idx="18">
                  <c:v>42514.298178159792</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173567.75507214485</c:v>
                </c:pt>
                <c:pt idx="1">
                  <c:v>202148.53483067203</c:v>
                </c:pt>
                <c:pt idx="2">
                  <c:v>186436.90835870069</c:v>
                </c:pt>
                <c:pt idx="3">
                  <c:v>266912.49117635679</c:v>
                </c:pt>
                <c:pt idx="4">
                  <c:v>227675.12710476006</c:v>
                </c:pt>
                <c:pt idx="5">
                  <c:v>188601.51866878817</c:v>
                </c:pt>
                <c:pt idx="6">
                  <c:v>223228.91212818446</c:v>
                </c:pt>
                <c:pt idx="7">
                  <c:v>165479.44955814275</c:v>
                </c:pt>
                <c:pt idx="8">
                  <c:v>172696.73103998747</c:v>
                </c:pt>
                <c:pt idx="9">
                  <c:v>181773.09185256076</c:v>
                </c:pt>
                <c:pt idx="10">
                  <c:v>236173.23041896272</c:v>
                </c:pt>
                <c:pt idx="11">
                  <c:v>271048.76194983686</c:v>
                </c:pt>
                <c:pt idx="12">
                  <c:v>224987.70149196428</c:v>
                </c:pt>
                <c:pt idx="13">
                  <c:v>227247.03919036273</c:v>
                </c:pt>
                <c:pt idx="14">
                  <c:v>223046.81200764666</c:v>
                </c:pt>
                <c:pt idx="15">
                  <c:v>245397.94401517705</c:v>
                </c:pt>
                <c:pt idx="16">
                  <c:v>262970.8252350408</c:v>
                </c:pt>
                <c:pt idx="17">
                  <c:v>233483.45619491965</c:v>
                </c:pt>
                <c:pt idx="18">
                  <c:v>254569.00136962859</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53.00227846274003</c:v>
                </c:pt>
                <c:pt idx="1">
                  <c:v>59.944212224440982</c:v>
                </c:pt>
                <c:pt idx="2">
                  <c:v>55.737485843847658</c:v>
                </c:pt>
                <c:pt idx="3">
                  <c:v>51.469863999726904</c:v>
                </c:pt>
                <c:pt idx="4">
                  <c:v>62.224335228261886</c:v>
                </c:pt>
                <c:pt idx="5">
                  <c:v>55.13140327307211</c:v>
                </c:pt>
                <c:pt idx="6">
                  <c:v>55.064466236671414</c:v>
                </c:pt>
                <c:pt idx="7">
                  <c:v>61.926028431105081</c:v>
                </c:pt>
                <c:pt idx="8">
                  <c:v>59.284851846184594</c:v>
                </c:pt>
                <c:pt idx="9">
                  <c:v>57.584277322544033</c:v>
                </c:pt>
                <c:pt idx="10">
                  <c:v>58.576466683152894</c:v>
                </c:pt>
                <c:pt idx="11">
                  <c:v>43.591349424638061</c:v>
                </c:pt>
                <c:pt idx="12">
                  <c:v>57.55062632509668</c:v>
                </c:pt>
                <c:pt idx="13">
                  <c:v>57.976882502561644</c:v>
                </c:pt>
                <c:pt idx="14">
                  <c:v>53.150675854212793</c:v>
                </c:pt>
                <c:pt idx="15">
                  <c:v>53.07624173694667</c:v>
                </c:pt>
                <c:pt idx="16">
                  <c:v>43.243259780740267</c:v>
                </c:pt>
                <c:pt idx="17">
                  <c:v>52.581552320243439</c:v>
                </c:pt>
                <c:pt idx="18">
                  <c:v>52.463459230029486</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14275.1929978751</c:v>
                </c:pt>
                <c:pt idx="1">
                  <c:v>16172.223197052139</c:v>
                </c:pt>
                <c:pt idx="2">
                  <c:v>15611.055939696322</c:v>
                </c:pt>
                <c:pt idx="3">
                  <c:v>29989.665620941669</c:v>
                </c:pt>
                <c:pt idx="4">
                  <c:v>14528.430940357735</c:v>
                </c:pt>
                <c:pt idx="5">
                  <c:v>8874.1776438745437</c:v>
                </c:pt>
                <c:pt idx="6">
                  <c:v>189.43328614985074</c:v>
                </c:pt>
                <c:pt idx="7">
                  <c:v>11266.355704716734</c:v>
                </c:pt>
                <c:pt idx="8">
                  <c:v>15460.30983469151</c:v>
                </c:pt>
                <c:pt idx="9">
                  <c:v>19089.618807152841</c:v>
                </c:pt>
                <c:pt idx="10">
                  <c:v>17127.573960358695</c:v>
                </c:pt>
                <c:pt idx="11">
                  <c:v>22155.893111532238</c:v>
                </c:pt>
                <c:pt idx="12">
                  <c:v>20320.520657159497</c:v>
                </c:pt>
                <c:pt idx="13">
                  <c:v>18783.872203889347</c:v>
                </c:pt>
                <c:pt idx="14">
                  <c:v>23903.87237241786</c:v>
                </c:pt>
                <c:pt idx="15">
                  <c:v>19234.433819077665</c:v>
                </c:pt>
                <c:pt idx="16">
                  <c:v>24612.228538792726</c:v>
                </c:pt>
                <c:pt idx="17">
                  <c:v>19511.056505961638</c:v>
                </c:pt>
                <c:pt idx="18">
                  <c:v>19347.807824002739</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37538.546107082766</c:v>
                </c:pt>
                <c:pt idx="1">
                  <c:v>37627.653974381472</c:v>
                </c:pt>
                <c:pt idx="2">
                  <c:v>36720.983953218834</c:v>
                </c:pt>
                <c:pt idx="3">
                  <c:v>51182.486252676092</c:v>
                </c:pt>
                <c:pt idx="4">
                  <c:v>40626.809470752334</c:v>
                </c:pt>
                <c:pt idx="5">
                  <c:v>44899.943465163931</c:v>
                </c:pt>
                <c:pt idx="6">
                  <c:v>56967.162725955044</c:v>
                </c:pt>
                <c:pt idx="7">
                  <c:v>31360.441844090696</c:v>
                </c:pt>
                <c:pt idx="8">
                  <c:v>34237.084737368641</c:v>
                </c:pt>
                <c:pt idx="9">
                  <c:v>34160.759666312471</c:v>
                </c:pt>
                <c:pt idx="10">
                  <c:v>48150.415825976015</c:v>
                </c:pt>
                <c:pt idx="11">
                  <c:v>76007.344702956616</c:v>
                </c:pt>
                <c:pt idx="12">
                  <c:v>44599.582697235812</c:v>
                </c:pt>
                <c:pt idx="13">
                  <c:v>45217.294822136559</c:v>
                </c:pt>
                <c:pt idx="14">
                  <c:v>49354.960223057322</c:v>
                </c:pt>
                <c:pt idx="15">
                  <c:v>55194.419117345649</c:v>
                </c:pt>
                <c:pt idx="16">
                  <c:v>72327.488577453682</c:v>
                </c:pt>
                <c:pt idx="17">
                  <c:v>54339.772334542911</c:v>
                </c:pt>
                <c:pt idx="18">
                  <c:v>60584.884651600776</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29759.151102321852</c:v>
                </c:pt>
                <c:pt idx="1">
                  <c:v>26857.694332339008</c:v>
                </c:pt>
                <c:pt idx="2">
                  <c:v>30071.266552039546</c:v>
                </c:pt>
                <c:pt idx="3">
                  <c:v>48198.037070597158</c:v>
                </c:pt>
                <c:pt idx="4">
                  <c:v>30635.94568315757</c:v>
                </c:pt>
                <c:pt idx="5">
                  <c:v>30736.095808551621</c:v>
                </c:pt>
                <c:pt idx="6">
                  <c:v>43031.29143933118</c:v>
                </c:pt>
                <c:pt idx="7">
                  <c:v>20260.501862866357</c:v>
                </c:pt>
                <c:pt idx="8">
                  <c:v>20498.027558218197</c:v>
                </c:pt>
                <c:pt idx="9">
                  <c:v>23776.540752816378</c:v>
                </c:pt>
                <c:pt idx="10">
                  <c:v>32395.381937860555</c:v>
                </c:pt>
                <c:pt idx="11">
                  <c:v>54518.079889836852</c:v>
                </c:pt>
                <c:pt idx="12">
                  <c:v>30432.758689592105</c:v>
                </c:pt>
                <c:pt idx="13">
                  <c:v>31413.371673326434</c:v>
                </c:pt>
                <c:pt idx="14">
                  <c:v>31067.660816599742</c:v>
                </c:pt>
                <c:pt idx="15">
                  <c:v>40601.451054785335</c:v>
                </c:pt>
                <c:pt idx="16">
                  <c:v>52188.931947983503</c:v>
                </c:pt>
                <c:pt idx="17">
                  <c:v>36736.13435285983</c:v>
                </c:pt>
                <c:pt idx="18">
                  <c:v>40895.99302345491</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91994.864864864794</c:v>
                </c:pt>
                <c:pt idx="1">
                  <c:v>121490.87559220915</c:v>
                </c:pt>
                <c:pt idx="2">
                  <c:v>104033.60191374572</c:v>
                </c:pt>
                <c:pt idx="3">
                  <c:v>137542.30223214155</c:v>
                </c:pt>
                <c:pt idx="4">
                  <c:v>141883.94101049152</c:v>
                </c:pt>
                <c:pt idx="5">
                  <c:v>104091.30175119807</c:v>
                </c:pt>
                <c:pt idx="6">
                  <c:v>123041.0246767488</c:v>
                </c:pt>
                <c:pt idx="7">
                  <c:v>102592.15014646895</c:v>
                </c:pt>
                <c:pt idx="8">
                  <c:v>102501.30890970911</c:v>
                </c:pt>
                <c:pt idx="9">
                  <c:v>104746.17262627899</c:v>
                </c:pt>
                <c:pt idx="10">
                  <c:v>138499.85869476755</c:v>
                </c:pt>
                <c:pt idx="11">
                  <c:v>118367.44424551148</c:v>
                </c:pt>
                <c:pt idx="12">
                  <c:v>129634.83944797693</c:v>
                </c:pt>
                <c:pt idx="13">
                  <c:v>131832.50049101043</c:v>
                </c:pt>
                <c:pt idx="14">
                  <c:v>118720.31859557188</c:v>
                </c:pt>
                <c:pt idx="15">
                  <c:v>130367.64002396801</c:v>
                </c:pt>
                <c:pt idx="16">
                  <c:v>113842.17608294527</c:v>
                </c:pt>
                <c:pt idx="17">
                  <c:v>122896.49308795577</c:v>
                </c:pt>
                <c:pt idx="18">
                  <c:v>133740.31587057008</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52058.203325276496</c:v>
                </c:pt>
                <c:pt idx="1">
                  <c:v>38621.337076680124</c:v>
                </c:pt>
                <c:pt idx="2">
                  <c:v>53972.028708210586</c:v>
                </c:pt>
                <c:pt idx="3">
                  <c:v>74713.739668429218</c:v>
                </c:pt>
                <c:pt idx="4">
                  <c:v>58417.902746538552</c:v>
                </c:pt>
                <c:pt idx="5">
                  <c:v>55798.764742195541</c:v>
                </c:pt>
                <c:pt idx="6">
                  <c:v>37415.174498441876</c:v>
                </c:pt>
                <c:pt idx="7">
                  <c:v>39874.648782117751</c:v>
                </c:pt>
                <c:pt idx="8">
                  <c:v>53584.317634192586</c:v>
                </c:pt>
                <c:pt idx="9">
                  <c:v>32875.235023666304</c:v>
                </c:pt>
                <c:pt idx="10">
                  <c:v>69177.265412755005</c:v>
                </c:pt>
                <c:pt idx="11">
                  <c:v>50158.330746251238</c:v>
                </c:pt>
                <c:pt idx="12">
                  <c:v>53481.582153912706</c:v>
                </c:pt>
                <c:pt idx="13">
                  <c:v>76118.121254902522</c:v>
                </c:pt>
                <c:pt idx="14">
                  <c:v>54301.434141983758</c:v>
                </c:pt>
                <c:pt idx="15">
                  <c:v>50942.379578474247</c:v>
                </c:pt>
                <c:pt idx="16">
                  <c:v>44423.007117125031</c:v>
                </c:pt>
                <c:pt idx="17">
                  <c:v>48823.030585795757</c:v>
                </c:pt>
                <c:pt idx="18">
                  <c:v>49951.937253894874</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180483.6541419467</c:v>
                </c:pt>
                <c:pt idx="1">
                  <c:v>243518.33655027198</c:v>
                </c:pt>
                <c:pt idx="2">
                  <c:v>176017.86125919115</c:v>
                </c:pt>
                <c:pt idx="3">
                  <c:v>392238.50890296407</c:v>
                </c:pt>
                <c:pt idx="4">
                  <c:v>262542.38188699505</c:v>
                </c:pt>
                <c:pt idx="5">
                  <c:v>191148.99268444479</c:v>
                </c:pt>
                <c:pt idx="6">
                  <c:v>186767.70333756346</c:v>
                </c:pt>
                <c:pt idx="7">
                  <c:v>139152.57715960903</c:v>
                </c:pt>
                <c:pt idx="8">
                  <c:v>193505.29285363611</c:v>
                </c:pt>
                <c:pt idx="9">
                  <c:v>163670.02277107729</c:v>
                </c:pt>
                <c:pt idx="10">
                  <c:v>148132.34547823106</c:v>
                </c:pt>
                <c:pt idx="11">
                  <c:v>211680.81241414737</c:v>
                </c:pt>
                <c:pt idx="12">
                  <c:v>198987.74122407852</c:v>
                </c:pt>
                <c:pt idx="13">
                  <c:v>190490.20273895698</c:v>
                </c:pt>
                <c:pt idx="14">
                  <c:v>219552.98213513408</c:v>
                </c:pt>
                <c:pt idx="15">
                  <c:v>192028.40889498865</c:v>
                </c:pt>
                <c:pt idx="16">
                  <c:v>233987.96608382391</c:v>
                </c:pt>
                <c:pt idx="17">
                  <c:v>245154.48678071538</c:v>
                </c:pt>
                <c:pt idx="18">
                  <c:v>237885.38204074642</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86108.840547864893</c:v>
                </c:pt>
                <c:pt idx="1">
                  <c:v>143712.14248113704</c:v>
                </c:pt>
                <c:pt idx="2">
                  <c:v>94851.703500107775</c:v>
                </c:pt>
                <c:pt idx="3">
                  <c:v>123360.84888544289</c:v>
                </c:pt>
                <c:pt idx="4">
                  <c:v>176865.26233853938</c:v>
                </c:pt>
                <c:pt idx="5">
                  <c:v>124464.64411598473</c:v>
                </c:pt>
                <c:pt idx="6">
                  <c:v>176879.75691043219</c:v>
                </c:pt>
                <c:pt idx="7">
                  <c:v>122210.09654654549</c:v>
                </c:pt>
                <c:pt idx="8">
                  <c:v>116856.61221311904</c:v>
                </c:pt>
                <c:pt idx="9">
                  <c:v>90455.39316260365</c:v>
                </c:pt>
                <c:pt idx="10">
                  <c:v>205169.67277493264</c:v>
                </c:pt>
                <c:pt idx="11">
                  <c:v>230327.74634440464</c:v>
                </c:pt>
                <c:pt idx="12">
                  <c:v>153945.58413189946</c:v>
                </c:pt>
                <c:pt idx="13">
                  <c:v>218395.00674156399</c:v>
                </c:pt>
                <c:pt idx="14">
                  <c:v>185966.21615418684</c:v>
                </c:pt>
                <c:pt idx="15">
                  <c:v>173156.48140106665</c:v>
                </c:pt>
                <c:pt idx="16">
                  <c:v>248408.58632809069</c:v>
                </c:pt>
                <c:pt idx="17">
                  <c:v>246351.22438223608</c:v>
                </c:pt>
                <c:pt idx="18">
                  <c:v>183672.72016777948</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16185.966454259102</c:v>
                </c:pt>
                <c:pt idx="1">
                  <c:v>16378.66292331988</c:v>
                </c:pt>
                <c:pt idx="2">
                  <c:v>13699.20144599364</c:v>
                </c:pt>
                <c:pt idx="3">
                  <c:v>15745.309917431448</c:v>
                </c:pt>
                <c:pt idx="4">
                  <c:v>14709.3853719414</c:v>
                </c:pt>
                <c:pt idx="5">
                  <c:v>15943.158970490449</c:v>
                </c:pt>
                <c:pt idx="6">
                  <c:v>17646.400896615687</c:v>
                </c:pt>
                <c:pt idx="7">
                  <c:v>15051.579602224152</c:v>
                </c:pt>
                <c:pt idx="8">
                  <c:v>16046.516238239725</c:v>
                </c:pt>
                <c:pt idx="9">
                  <c:v>13969.473846090961</c:v>
                </c:pt>
                <c:pt idx="10">
                  <c:v>24232.388766191525</c:v>
                </c:pt>
                <c:pt idx="11">
                  <c:v>17300.642786056444</c:v>
                </c:pt>
                <c:pt idx="12">
                  <c:v>20620.954420251244</c:v>
                </c:pt>
                <c:pt idx="13">
                  <c:v>14667.777322878834</c:v>
                </c:pt>
                <c:pt idx="14">
                  <c:v>13089.958515900282</c:v>
                </c:pt>
                <c:pt idx="15">
                  <c:v>19754.815487584485</c:v>
                </c:pt>
                <c:pt idx="16">
                  <c:v>18350.183463667516</c:v>
                </c:pt>
                <c:pt idx="17">
                  <c:v>19573.848107827889</c:v>
                </c:pt>
                <c:pt idx="18">
                  <c:v>16407.379472693035</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125711.05251593054</c:v>
                </c:pt>
                <c:pt idx="1">
                  <c:v>133829.61923144411</c:v>
                </c:pt>
                <c:pt idx="2">
                  <c:v>125087.19447112871</c:v>
                </c:pt>
                <c:pt idx="3">
                  <c:v>143416.72815093122</c:v>
                </c:pt>
                <c:pt idx="4">
                  <c:v>109686.17721124504</c:v>
                </c:pt>
                <c:pt idx="5">
                  <c:v>144420.23895498624</c:v>
                </c:pt>
                <c:pt idx="6">
                  <c:v>143749.11474677225</c:v>
                </c:pt>
                <c:pt idx="7">
                  <c:v>106944.27405396827</c:v>
                </c:pt>
                <c:pt idx="8">
                  <c:v>113439.24187769614</c:v>
                </c:pt>
                <c:pt idx="9">
                  <c:v>102877.93776981541</c:v>
                </c:pt>
                <c:pt idx="10">
                  <c:v>102077.37149902055</c:v>
                </c:pt>
                <c:pt idx="11">
                  <c:v>124853.96797245808</c:v>
                </c:pt>
                <c:pt idx="12">
                  <c:v>114062.01395665506</c:v>
                </c:pt>
                <c:pt idx="13">
                  <c:v>137633.79321047218</c:v>
                </c:pt>
                <c:pt idx="14">
                  <c:v>119815.85817704201</c:v>
                </c:pt>
                <c:pt idx="15">
                  <c:v>145678.81633362942</c:v>
                </c:pt>
                <c:pt idx="16">
                  <c:v>118144.92918021262</c:v>
                </c:pt>
                <c:pt idx="17">
                  <c:v>142158.09538621045</c:v>
                </c:pt>
                <c:pt idx="18">
                  <c:v>195544.5417736689</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106709.44114846559</c:v>
                </c:pt>
                <c:pt idx="1">
                  <c:v>105940.95455343042</c:v>
                </c:pt>
                <c:pt idx="2">
                  <c:v>86214.318925561325</c:v>
                </c:pt>
                <c:pt idx="3">
                  <c:v>156536.3350156665</c:v>
                </c:pt>
                <c:pt idx="4">
                  <c:v>110258.93496016199</c:v>
                </c:pt>
                <c:pt idx="5">
                  <c:v>85161.144528328339</c:v>
                </c:pt>
                <c:pt idx="6">
                  <c:v>107500.37004819371</c:v>
                </c:pt>
                <c:pt idx="7">
                  <c:v>85905.017157855706</c:v>
                </c:pt>
                <c:pt idx="8">
                  <c:v>101735.99583493712</c:v>
                </c:pt>
                <c:pt idx="9">
                  <c:v>97239.318651751993</c:v>
                </c:pt>
                <c:pt idx="10">
                  <c:v>116536.53032187826</c:v>
                </c:pt>
                <c:pt idx="11">
                  <c:v>144671.07995151242</c:v>
                </c:pt>
                <c:pt idx="12">
                  <c:v>113109.05472468068</c:v>
                </c:pt>
                <c:pt idx="13">
                  <c:v>111392.98085405071</c:v>
                </c:pt>
                <c:pt idx="14">
                  <c:v>104698.69320997789</c:v>
                </c:pt>
                <c:pt idx="15">
                  <c:v>111530.05334344255</c:v>
                </c:pt>
                <c:pt idx="16">
                  <c:v>118722.4343203585</c:v>
                </c:pt>
                <c:pt idx="17">
                  <c:v>126145.81458441338</c:v>
                </c:pt>
                <c:pt idx="18">
                  <c:v>137858.35832905324</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28585.072877755789</c:v>
                </c:pt>
                <c:pt idx="1">
                  <c:v>39818.740129847341</c:v>
                </c:pt>
                <c:pt idx="2">
                  <c:v>45479.933585194805</c:v>
                </c:pt>
                <c:pt idx="3">
                  <c:v>45720.38733561815</c:v>
                </c:pt>
                <c:pt idx="4">
                  <c:v>59483.529227057777</c:v>
                </c:pt>
                <c:pt idx="5">
                  <c:v>27737.829033374306</c:v>
                </c:pt>
                <c:pt idx="6">
                  <c:v>45632.519907389316</c:v>
                </c:pt>
                <c:pt idx="7">
                  <c:v>28985.896987803382</c:v>
                </c:pt>
                <c:pt idx="8">
                  <c:v>26674.501026295853</c:v>
                </c:pt>
                <c:pt idx="9">
                  <c:v>29105.759006587792</c:v>
                </c:pt>
                <c:pt idx="10">
                  <c:v>39173.201024748552</c:v>
                </c:pt>
                <c:pt idx="11">
                  <c:v>54299.895026213373</c:v>
                </c:pt>
                <c:pt idx="12">
                  <c:v>39839.866181701058</c:v>
                </c:pt>
                <c:pt idx="13">
                  <c:v>87381.810981739269</c:v>
                </c:pt>
                <c:pt idx="14">
                  <c:v>56198.643890111322</c:v>
                </c:pt>
                <c:pt idx="15">
                  <c:v>41416.980791368987</c:v>
                </c:pt>
                <c:pt idx="16">
                  <c:v>70993.636938757583</c:v>
                </c:pt>
                <c:pt idx="17">
                  <c:v>70811.989286331431</c:v>
                </c:pt>
                <c:pt idx="18">
                  <c:v>57418.033127889066</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112720.57423276934</c:v>
                </c:pt>
                <c:pt idx="1">
                  <c:v>102264.16915248289</c:v>
                </c:pt>
                <c:pt idx="2">
                  <c:v>119532.86033301713</c:v>
                </c:pt>
                <c:pt idx="3">
                  <c:v>133178.05526453763</c:v>
                </c:pt>
                <c:pt idx="4">
                  <c:v>109250.25055657135</c:v>
                </c:pt>
                <c:pt idx="5">
                  <c:v>104936.74612598179</c:v>
                </c:pt>
                <c:pt idx="6">
                  <c:v>107619.35057032245</c:v>
                </c:pt>
                <c:pt idx="7">
                  <c:v>80263.150505966798</c:v>
                </c:pt>
                <c:pt idx="8">
                  <c:v>76569.509222423265</c:v>
                </c:pt>
                <c:pt idx="9">
                  <c:v>89390.693970259221</c:v>
                </c:pt>
                <c:pt idx="10">
                  <c:v>127830.62397733537</c:v>
                </c:pt>
                <c:pt idx="11">
                  <c:v>140022.35090939226</c:v>
                </c:pt>
                <c:pt idx="12">
                  <c:v>107247.89086740121</c:v>
                </c:pt>
                <c:pt idx="13">
                  <c:v>118574.81450855004</c:v>
                </c:pt>
                <c:pt idx="14">
                  <c:v>90618.380382258343</c:v>
                </c:pt>
                <c:pt idx="15">
                  <c:v>108576.58561547589</c:v>
                </c:pt>
                <c:pt idx="16">
                  <c:v>120331.4183287936</c:v>
                </c:pt>
                <c:pt idx="17">
                  <c:v>130390.93597719024</c:v>
                </c:pt>
                <c:pt idx="18">
                  <c:v>123426.75303886321</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32283.014722039101</c:v>
                </c:pt>
                <c:pt idx="1">
                  <c:v>38822.249517459204</c:v>
                </c:pt>
                <c:pt idx="2">
                  <c:v>24029.989523217049</c:v>
                </c:pt>
                <c:pt idx="3">
                  <c:v>72332.922818576393</c:v>
                </c:pt>
                <c:pt idx="4">
                  <c:v>44043.626692401231</c:v>
                </c:pt>
                <c:pt idx="5">
                  <c:v>40745.342958707173</c:v>
                </c:pt>
                <c:pt idx="6">
                  <c:v>47148.743742733153</c:v>
                </c:pt>
                <c:pt idx="7">
                  <c:v>36360.768962914946</c:v>
                </c:pt>
                <c:pt idx="8">
                  <c:v>42103.672583234329</c:v>
                </c:pt>
                <c:pt idx="9">
                  <c:v>29670.492519739917</c:v>
                </c:pt>
                <c:pt idx="10">
                  <c:v>41840.793216325379</c:v>
                </c:pt>
                <c:pt idx="11">
                  <c:v>66966.71848150903</c:v>
                </c:pt>
                <c:pt idx="12">
                  <c:v>50210.634976573267</c:v>
                </c:pt>
                <c:pt idx="13">
                  <c:v>46581.337341519196</c:v>
                </c:pt>
                <c:pt idx="14">
                  <c:v>54774.806786077999</c:v>
                </c:pt>
                <c:pt idx="15">
                  <c:v>52826.787361151655</c:v>
                </c:pt>
                <c:pt idx="16">
                  <c:v>61397.64994288727</c:v>
                </c:pt>
                <c:pt idx="17">
                  <c:v>70492.818040435464</c:v>
                </c:pt>
                <c:pt idx="18">
                  <c:v>78244.371169320322</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102947.04460558115</c:v>
                </c:pt>
                <c:pt idx="1">
                  <c:v>142406.73802421478</c:v>
                </c:pt>
                <c:pt idx="2">
                  <c:v>86037.969296375319</c:v>
                </c:pt>
                <c:pt idx="3">
                  <c:v>143168.2524350764</c:v>
                </c:pt>
                <c:pt idx="4">
                  <c:v>122842.90149174591</c:v>
                </c:pt>
                <c:pt idx="5">
                  <c:v>114158.51556847582</c:v>
                </c:pt>
                <c:pt idx="6">
                  <c:v>144312.88106708796</c:v>
                </c:pt>
                <c:pt idx="7">
                  <c:v>105678.67223697757</c:v>
                </c:pt>
                <c:pt idx="8">
                  <c:v>127746.25534592794</c:v>
                </c:pt>
                <c:pt idx="9">
                  <c:v>86980.467632545246</c:v>
                </c:pt>
                <c:pt idx="10">
                  <c:v>118971.46578849686</c:v>
                </c:pt>
                <c:pt idx="11">
                  <c:v>162466.16825210408</c:v>
                </c:pt>
                <c:pt idx="12">
                  <c:v>121051.16700879965</c:v>
                </c:pt>
                <c:pt idx="13">
                  <c:v>117280.22175100799</c:v>
                </c:pt>
                <c:pt idx="14">
                  <c:v>134859.09549451701</c:v>
                </c:pt>
                <c:pt idx="15">
                  <c:v>137162.49871943897</c:v>
                </c:pt>
                <c:pt idx="16">
                  <c:v>145721.55355416925</c:v>
                </c:pt>
                <c:pt idx="17">
                  <c:v>127613.99706238121</c:v>
                </c:pt>
                <c:pt idx="18">
                  <c:v>142289.489470981</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58179.594228374699</c:v>
                </c:pt>
                <c:pt idx="1">
                  <c:v>76549.570100017547</c:v>
                </c:pt>
                <c:pt idx="2">
                  <c:v>44771.665604987807</c:v>
                </c:pt>
                <c:pt idx="3">
                  <c:v>47762.008774262344</c:v>
                </c:pt>
                <c:pt idx="4">
                  <c:v>75899.451914111545</c:v>
                </c:pt>
                <c:pt idx="5">
                  <c:v>82410.752883250447</c:v>
                </c:pt>
                <c:pt idx="6">
                  <c:v>101856.24785102623</c:v>
                </c:pt>
                <c:pt idx="7">
                  <c:v>79204.041193370285</c:v>
                </c:pt>
                <c:pt idx="8">
                  <c:v>74984.427986110546</c:v>
                </c:pt>
                <c:pt idx="9">
                  <c:v>69394.7103011297</c:v>
                </c:pt>
                <c:pt idx="10">
                  <c:v>120199.87935511704</c:v>
                </c:pt>
                <c:pt idx="11">
                  <c:v>93398.30438521241</c:v>
                </c:pt>
                <c:pt idx="12">
                  <c:v>83388.048199011129</c:v>
                </c:pt>
                <c:pt idx="13">
                  <c:v>112271.3735461492</c:v>
                </c:pt>
                <c:pt idx="14">
                  <c:v>87119.799504142051</c:v>
                </c:pt>
                <c:pt idx="15">
                  <c:v>110137.31407828743</c:v>
                </c:pt>
                <c:pt idx="16">
                  <c:v>105181.8746155874</c:v>
                </c:pt>
                <c:pt idx="17">
                  <c:v>134919.24209434941</c:v>
                </c:pt>
                <c:pt idx="18">
                  <c:v>132104.35293614108</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125711.05251593054</c:v>
                </c:pt>
                <c:pt idx="1">
                  <c:v>133829.61923144411</c:v>
                </c:pt>
                <c:pt idx="2">
                  <c:v>125087.19447112871</c:v>
                </c:pt>
                <c:pt idx="3">
                  <c:v>143416.72815093122</c:v>
                </c:pt>
                <c:pt idx="4">
                  <c:v>109686.17721124504</c:v>
                </c:pt>
                <c:pt idx="5">
                  <c:v>144420.23895498624</c:v>
                </c:pt>
                <c:pt idx="6">
                  <c:v>143749.11474677225</c:v>
                </c:pt>
                <c:pt idx="7">
                  <c:v>106944.27405396827</c:v>
                </c:pt>
                <c:pt idx="8">
                  <c:v>113439.24187769614</c:v>
                </c:pt>
                <c:pt idx="9">
                  <c:v>102877.93776981541</c:v>
                </c:pt>
                <c:pt idx="10">
                  <c:v>102077.37149902055</c:v>
                </c:pt>
                <c:pt idx="11">
                  <c:v>124853.96797245808</c:v>
                </c:pt>
                <c:pt idx="12">
                  <c:v>114062.01395665506</c:v>
                </c:pt>
                <c:pt idx="13">
                  <c:v>137633.79321047218</c:v>
                </c:pt>
                <c:pt idx="14">
                  <c:v>119815.85817704201</c:v>
                </c:pt>
                <c:pt idx="15">
                  <c:v>145678.81633362942</c:v>
                </c:pt>
                <c:pt idx="16">
                  <c:v>118144.92918021262</c:v>
                </c:pt>
                <c:pt idx="17">
                  <c:v>142158.09538621045</c:v>
                </c:pt>
                <c:pt idx="18">
                  <c:v>195544.5417736689</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37.557605602612611</c:v>
                </c:pt>
                <c:pt idx="1">
                  <c:v>33.468996215350067</c:v>
                </c:pt>
                <c:pt idx="2">
                  <c:v>39.107784496120452</c:v>
                </c:pt>
                <c:pt idx="3">
                  <c:v>32.664552063753973</c:v>
                </c:pt>
                <c:pt idx="4">
                  <c:v>26.653927199686951</c:v>
                </c:pt>
                <c:pt idx="5">
                  <c:v>39.033637791937181</c:v>
                </c:pt>
                <c:pt idx="6">
                  <c:v>32.189622551783764</c:v>
                </c:pt>
                <c:pt idx="7">
                  <c:v>32.359059398565911</c:v>
                </c:pt>
                <c:pt idx="8">
                  <c:v>32.590144319469402</c:v>
                </c:pt>
                <c:pt idx="9">
                  <c:v>33.781184885372255</c:v>
                </c:pt>
                <c:pt idx="10">
                  <c:v>22.784315704513421</c:v>
                </c:pt>
                <c:pt idx="11">
                  <c:v>24.142538563331069</c:v>
                </c:pt>
                <c:pt idx="12">
                  <c:v>28.392167400539936</c:v>
                </c:pt>
                <c:pt idx="13">
                  <c:v>28.549424249021619</c:v>
                </c:pt>
                <c:pt idx="14">
                  <c:v>28.287096063595325</c:v>
                </c:pt>
                <c:pt idx="15">
                  <c:v>32.364427802716172</c:v>
                </c:pt>
                <c:pt idx="16">
                  <c:v>23.458855958857779</c:v>
                </c:pt>
                <c:pt idx="17">
                  <c:v>26.60995566571895</c:v>
                </c:pt>
                <c:pt idx="18">
                  <c:v>36.654315482929938</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２９　電気機械器具製造業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406109.61253936804</v>
      </c>
      <c r="D5" s="82">
        <f>+PL!L6</f>
        <v>484288.20845762413</v>
      </c>
      <c r="E5" s="82">
        <f>+PL!M6</f>
        <v>416426.79832610243</v>
      </c>
      <c r="F5" s="82">
        <f>+PL!N6</f>
        <v>733864.73974775011</v>
      </c>
      <c r="G5" s="82">
        <f>+PL!O6</f>
        <v>548635.41173829371</v>
      </c>
      <c r="H5" s="82">
        <f>+PL!P6</f>
        <v>435549.2760954285</v>
      </c>
      <c r="I5" s="82">
        <f>+PL!Q6</f>
        <v>447411.78996418981</v>
      </c>
      <c r="J5" s="82">
        <f>+PL!R6</f>
        <v>344506.67549986951</v>
      </c>
      <c r="K5" s="82">
        <f>+PL!S6</f>
        <v>419786.34152781614</v>
      </c>
      <c r="L5" s="82">
        <f>+PL!T6</f>
        <v>378318.34964730439</v>
      </c>
      <c r="M5" s="82">
        <f>+PL!U6</f>
        <v>453482.84130994877</v>
      </c>
      <c r="N5" s="82">
        <f>+PL!V6</f>
        <v>532887.90511023544</v>
      </c>
      <c r="O5" s="82">
        <f>+PL!W6</f>
        <v>477457.02486995549</v>
      </c>
      <c r="P5" s="82">
        <f>+PL!X6</f>
        <v>493855.36318422219</v>
      </c>
      <c r="Q5" s="82">
        <f>+PL!Y6</f>
        <v>496901.22828476451</v>
      </c>
      <c r="R5" s="82">
        <f>+PL!Z6</f>
        <v>488368.73248863994</v>
      </c>
      <c r="S5" s="82">
        <f>+PL!AA6</f>
        <v>541381.79843598977</v>
      </c>
      <c r="T5" s="82">
        <f>+PL!AB6</f>
        <v>527460.97356143082</v>
      </c>
      <c r="U5" s="82">
        <f>+PL!AC6</f>
        <v>542406.32066426985</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232541.85746722319</v>
      </c>
      <c r="D6" s="85">
        <f>PL!L9+PL!L10+PL!L12</f>
        <v>282139.67362695211</v>
      </c>
      <c r="E6" s="85">
        <f>PL!M9+PL!M10+PL!M12</f>
        <v>229989.88996740174</v>
      </c>
      <c r="F6" s="85">
        <f>PL!N9+PL!N10+PL!N12</f>
        <v>466952.24857139331</v>
      </c>
      <c r="G6" s="85">
        <f>PL!O9+PL!O10+PL!O12</f>
        <v>320960.28463353362</v>
      </c>
      <c r="H6" s="85">
        <f>PL!P9+PL!P10+PL!P12</f>
        <v>246947.75742664034</v>
      </c>
      <c r="I6" s="85">
        <f>PL!Q9+PL!Q10+PL!Q12</f>
        <v>224182.87783600535</v>
      </c>
      <c r="J6" s="85">
        <f>PL!R9+PL!R10+PL!R12</f>
        <v>179027.22594172679</v>
      </c>
      <c r="K6" s="85">
        <f>PL!S9+PL!S10+PL!S12</f>
        <v>247089.6104878287</v>
      </c>
      <c r="L6" s="85">
        <f>PL!T9+PL!T10+PL!T12</f>
        <v>196545.25779474358</v>
      </c>
      <c r="M6" s="85">
        <f>PL!U9+PL!U10+PL!U12</f>
        <v>217309.61089098605</v>
      </c>
      <c r="N6" s="85">
        <f>PL!V9+PL!V10+PL!V12</f>
        <v>261839.14316039861</v>
      </c>
      <c r="O6" s="85">
        <f>PL!W9+PL!W10+PL!W12</f>
        <v>252469.32337799121</v>
      </c>
      <c r="P6" s="85">
        <f>PL!X9+PL!X10+PL!X12</f>
        <v>266608.32399385952</v>
      </c>
      <c r="Q6" s="85">
        <f>PL!Y9+PL!Y10+PL!Y12</f>
        <v>273854.41627711785</v>
      </c>
      <c r="R6" s="85">
        <f>PL!Z9+PL!Z10+PL!Z12</f>
        <v>242970.78847346289</v>
      </c>
      <c r="S6" s="85">
        <f>PL!AA9+PL!AA10+PL!AA12</f>
        <v>278410.97320094891</v>
      </c>
      <c r="T6" s="85">
        <f>PL!AB9+PL!AB10+PL!AB12</f>
        <v>293977.51736651117</v>
      </c>
      <c r="U6" s="85">
        <f>PL!AC9+PL!AC10+PL!AC12</f>
        <v>287837.31929464132</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91994.864864864794</v>
      </c>
      <c r="D7" s="85">
        <f>+PL!L11+PL!L17</f>
        <v>121176.34672749604</v>
      </c>
      <c r="E7" s="85">
        <f>+PL!M11+PL!M17</f>
        <v>103915.24540413803</v>
      </c>
      <c r="F7" s="85">
        <f>+PL!N11+PL!N17</f>
        <v>137379.49620675392</v>
      </c>
      <c r="G7" s="85">
        <f>+PL!O11+PL!O17</f>
        <v>141669.33432103723</v>
      </c>
      <c r="H7" s="85">
        <f>+PL!P11+PL!P17</f>
        <v>103978.66383642798</v>
      </c>
      <c r="I7" s="85">
        <f>+PL!Q11+PL!Q17</f>
        <v>122919.80894931302</v>
      </c>
      <c r="J7" s="85">
        <f>+PL!R11+PL!R17</f>
        <v>102474.85098101167</v>
      </c>
      <c r="K7" s="85">
        <f>+PL!S11+PL!S17</f>
        <v>102383.00114026046</v>
      </c>
      <c r="L7" s="85">
        <f>+PL!T11+PL!T17</f>
        <v>104672.72131014128</v>
      </c>
      <c r="M7" s="85">
        <f>+PL!U11+PL!U17</f>
        <v>138341.9336308896</v>
      </c>
      <c r="N7" s="85">
        <f>+PL!V11+PL!V17</f>
        <v>118153.8129327088</v>
      </c>
      <c r="O7" s="85">
        <f>+PL!W11+PL!W17</f>
        <v>129481.83136306432</v>
      </c>
      <c r="P7" s="85">
        <f>+PL!X11+PL!X17</f>
        <v>131750.74890194682</v>
      </c>
      <c r="Q7" s="85">
        <f>+PL!Y11+PL!Y17</f>
        <v>118550.88805333964</v>
      </c>
      <c r="R7" s="85">
        <f>+PL!Z11+PL!Z17</f>
        <v>130248.00598299243</v>
      </c>
      <c r="S7" s="85">
        <f>+PL!AA11+PL!AA17</f>
        <v>113717.15710394518</v>
      </c>
      <c r="T7" s="85">
        <f>+PL!AB11+PL!AB17</f>
        <v>122769.22567824434</v>
      </c>
      <c r="U7" s="85">
        <f>+PL!AC11+PL!AC17</f>
        <v>133555.70424584829</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36059.396469640407</v>
      </c>
      <c r="D8" s="85">
        <f>+PL!L13+PL!L14</f>
        <v>26810.668538340058</v>
      </c>
      <c r="E8" s="85">
        <f>+PL!M13+PL!M14</f>
        <v>31114.983410134195</v>
      </c>
      <c r="F8" s="85">
        <f>+PL!N13+PL!N14</f>
        <v>65090.847576997243</v>
      </c>
      <c r="G8" s="85">
        <f>+PL!O13+PL!O14</f>
        <v>35283.753301795165</v>
      </c>
      <c r="H8" s="85">
        <f>+PL!P13+PL!P14</f>
        <v>40297.605640783557</v>
      </c>
      <c r="I8" s="85">
        <f>+PL!Q13+PL!Q14</f>
        <v>62702.232053268257</v>
      </c>
      <c r="J8" s="85">
        <f>+PL!R13+PL!R14</f>
        <v>20285.704089227132</v>
      </c>
      <c r="K8" s="85">
        <f>+PL!S13+PL!S14</f>
        <v>20509.798213173995</v>
      </c>
      <c r="L8" s="85">
        <f>+PL!T13+PL!T14</f>
        <v>27180.982198108242</v>
      </c>
      <c r="M8" s="85">
        <f>+PL!U13+PL!U14</f>
        <v>43505.749876437389</v>
      </c>
      <c r="N8" s="85">
        <f>+PL!V13+PL!V14</f>
        <v>82324.885977923739</v>
      </c>
      <c r="O8" s="85">
        <f>+PL!W13+PL!W14</f>
        <v>36736.416330071836</v>
      </c>
      <c r="P8" s="85">
        <f>+PL!X13+PL!X14</f>
        <v>38309.423463783896</v>
      </c>
      <c r="Q8" s="85">
        <f>+PL!Y13+PL!Y14</f>
        <v>40704.506905986927</v>
      </c>
      <c r="R8" s="85">
        <f>+PL!Z13+PL!Z14</f>
        <v>56571.298961519729</v>
      </c>
      <c r="S8" s="85">
        <f>+PL!AA13+PL!AA14</f>
        <v>77303.120991125601</v>
      </c>
      <c r="T8" s="85">
        <f>+PL!AB13+PL!AB14</f>
        <v>46554.983324693225</v>
      </c>
      <c r="U8" s="85">
        <f>+PL!AC13+PL!AC14</f>
        <v>57803.880243109088</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31238.3007397642</v>
      </c>
      <c r="D9" s="85">
        <f>+PL!L16-PL!L17</f>
        <v>37989.20863309352</v>
      </c>
      <c r="E9" s="85">
        <f>+PL!M16-PL!M17</f>
        <v>35795.623604731889</v>
      </c>
      <c r="F9" s="85">
        <f>+PL!N16-PL!N17</f>
        <v>34452.481771663726</v>
      </c>
      <c r="G9" s="85">
        <f>+PL!O16-PL!O17</f>
        <v>36193.608541569054</v>
      </c>
      <c r="H9" s="85">
        <f>+PL!P16-PL!P17</f>
        <v>35451.071547702079</v>
      </c>
      <c r="I9" s="85">
        <f>+PL!Q16-PL!Q17</f>
        <v>37417.437839453734</v>
      </c>
      <c r="J9" s="85">
        <f>+PL!R16-PL!R17</f>
        <v>31452.538783187207</v>
      </c>
      <c r="K9" s="85">
        <f>+PL!S16-PL!S17</f>
        <v>34343.62185186147</v>
      </c>
      <c r="L9" s="85">
        <f>+PL!T16-PL!T17</f>
        <v>30829.76953715839</v>
      </c>
      <c r="M9" s="85">
        <f>+PL!U16-PL!U17</f>
        <v>37197.972951277086</v>
      </c>
      <c r="N9" s="85">
        <f>+PL!V16-PL!V17</f>
        <v>48414.169927672359</v>
      </c>
      <c r="O9" s="85">
        <f>+PL!W16-PL!W17</f>
        <v>38448.933141668647</v>
      </c>
      <c r="P9" s="85">
        <f>+PL!X16-PL!X17</f>
        <v>38402.994620742713</v>
      </c>
      <c r="Q9" s="85">
        <f>+PL!Y16-PL!Y17</f>
        <v>39887.544675902369</v>
      </c>
      <c r="R9" s="85">
        <f>+PL!Z16-PL!Z17</f>
        <v>39344.205251586827</v>
      </c>
      <c r="S9" s="85">
        <f>+PL!AA16-PL!AA17</f>
        <v>47338.318513311657</v>
      </c>
      <c r="T9" s="85">
        <f>+PL!AB16-PL!AB17</f>
        <v>44648.190772420938</v>
      </c>
      <c r="U9" s="85">
        <f>+PL!AC16-PL!AC17</f>
        <v>43861.609056668385</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14275.1929978751</v>
      </c>
      <c r="D10" s="85">
        <f>+PL!L42</f>
        <v>16172.223197052139</v>
      </c>
      <c r="E10" s="85">
        <f>+PL!M42</f>
        <v>15611.055939696322</v>
      </c>
      <c r="F10" s="85">
        <f>+PL!N42</f>
        <v>29989.665620941669</v>
      </c>
      <c r="G10" s="85">
        <f>+PL!O42</f>
        <v>14528.430940357735</v>
      </c>
      <c r="H10" s="85">
        <f>+PL!P42</f>
        <v>8874.1776438745437</v>
      </c>
      <c r="I10" s="85">
        <f>+PL!Q42</f>
        <v>189.43328614985074</v>
      </c>
      <c r="J10" s="85">
        <f>+PL!R42</f>
        <v>11266.355704716734</v>
      </c>
      <c r="K10" s="85">
        <f>+PL!S42</f>
        <v>15460.30983469151</v>
      </c>
      <c r="L10" s="85">
        <f>+PL!T42</f>
        <v>19089.618807152841</v>
      </c>
      <c r="M10" s="85">
        <f>+PL!U42</f>
        <v>17127.573960358695</v>
      </c>
      <c r="N10" s="85">
        <f>+PL!V42</f>
        <v>22155.893111532238</v>
      </c>
      <c r="O10" s="85">
        <f>+PL!W42</f>
        <v>20320.520657159497</v>
      </c>
      <c r="P10" s="85">
        <f>+PL!X42</f>
        <v>18783.872203889347</v>
      </c>
      <c r="Q10" s="85">
        <f>+PL!Y42</f>
        <v>23903.87237241786</v>
      </c>
      <c r="R10" s="85">
        <f>+PL!Z42</f>
        <v>19234.433819077665</v>
      </c>
      <c r="S10" s="85">
        <f>+PL!AA42</f>
        <v>24612.228538792726</v>
      </c>
      <c r="T10" s="85">
        <f>+PL!AB42</f>
        <v>19511.056505961638</v>
      </c>
      <c r="U10" s="85">
        <f>+PL!AC42</f>
        <v>19347.807824002739</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13352.649967040199</v>
      </c>
      <c r="D11" s="87">
        <f>+PL!L34</f>
        <v>16288.647131075628</v>
      </c>
      <c r="E11" s="87">
        <f>+PL!M34</f>
        <v>14215.91183382935</v>
      </c>
      <c r="F11" s="87">
        <f>+PL!N34</f>
        <v>30782.277270524366</v>
      </c>
      <c r="G11" s="87">
        <f>+PL!O34</f>
        <v>15900.586610850854</v>
      </c>
      <c r="H11" s="87">
        <f>+PL!P34</f>
        <v>10319.69872265439</v>
      </c>
      <c r="I11" s="87">
        <f>+PL!Q34</f>
        <v>3721.8057469202972</v>
      </c>
      <c r="J11" s="87">
        <f>+PL!R34</f>
        <v>13461.730876041527</v>
      </c>
      <c r="K11" s="87">
        <f>+PL!S34</f>
        <v>15174.711737890315</v>
      </c>
      <c r="L11" s="87">
        <f>+PL!T34</f>
        <v>20734.977222637892</v>
      </c>
      <c r="M11" s="87">
        <f>+PL!U34</f>
        <v>19681.508170292218</v>
      </c>
      <c r="N11" s="87">
        <f>+PL!V34</f>
        <v>28070.766032345389</v>
      </c>
      <c r="O11" s="87">
        <f>+PL!W34</f>
        <v>22767.58050310929</v>
      </c>
      <c r="P11" s="87">
        <f>+PL!X34</f>
        <v>19737.228932195911</v>
      </c>
      <c r="Q11" s="87">
        <f>+PL!Y34</f>
        <v>26426.612312332018</v>
      </c>
      <c r="R11" s="87">
        <f>+PL!Z34</f>
        <v>21488.346085337296</v>
      </c>
      <c r="S11" s="87">
        <f>+PL!AA34</f>
        <v>27455.862314383623</v>
      </c>
      <c r="T11" s="87">
        <f>+PL!AB34</f>
        <v>26313.929065146018</v>
      </c>
      <c r="U11" s="87">
        <f>+PL!AC34</f>
        <v>24716.111282314676</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5517.7470153079903</v>
      </c>
      <c r="D12" s="90">
        <f>+PL!L38</f>
        <v>9127.4785050008759</v>
      </c>
      <c r="E12" s="90">
        <f>+PL!M38</f>
        <v>3577.1446193826596</v>
      </c>
      <c r="F12" s="90">
        <f>+PL!N38</f>
        <v>17079.226625996056</v>
      </c>
      <c r="G12" s="90">
        <f>+PL!O38</f>
        <v>6659.4918801793892</v>
      </c>
      <c r="H12" s="90">
        <f>+PL!P38</f>
        <v>2463.6837859254802</v>
      </c>
      <c r="I12" s="90">
        <f>+PL!Q38</f>
        <v>-1797.7817804879176</v>
      </c>
      <c r="J12" s="90">
        <f>+PL!R38</f>
        <v>4677.0994597093013</v>
      </c>
      <c r="K12" s="90">
        <f>+PL!S38</f>
        <v>18330.605961998706</v>
      </c>
      <c r="L12" s="90">
        <f>+PL!T38</f>
        <v>12258.669644283404</v>
      </c>
      <c r="M12" s="90">
        <f>+PL!U38</f>
        <v>11457.792954600152</v>
      </c>
      <c r="N12" s="90">
        <f>+PL!V38</f>
        <v>17642.907715193411</v>
      </c>
      <c r="O12" s="90">
        <f>+PL!W38</f>
        <v>13084.615362251294</v>
      </c>
      <c r="P12" s="90">
        <f>+PL!X38</f>
        <v>14263.983767058991</v>
      </c>
      <c r="Q12" s="90">
        <f>+PL!Y38</f>
        <v>9870.8653483552771</v>
      </c>
      <c r="R12" s="90">
        <f>+PL!Z38</f>
        <v>14249.19386772373</v>
      </c>
      <c r="S12" s="90">
        <f>+PL!AA38</f>
        <v>16846.532554257094</v>
      </c>
      <c r="T12" s="90">
        <f>+PL!AB38</f>
        <v>17523.236305512357</v>
      </c>
      <c r="U12" s="90">
        <f>+PL!AC38</f>
        <v>18128.290960451977</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27.136819746575799</v>
      </c>
      <c r="D13" s="102">
        <f>+PL!L5</f>
        <v>28.864713107562729</v>
      </c>
      <c r="E13" s="102">
        <f>+PL!M5</f>
        <v>27.245225161506383</v>
      </c>
      <c r="F13" s="102">
        <f>+PL!N5</f>
        <v>44.514729278154569</v>
      </c>
      <c r="G13" s="102">
        <f>+PL!O5</f>
        <v>31.859551816157666</v>
      </c>
      <c r="H13" s="102">
        <f>+PL!P5</f>
        <v>25.113564474086207</v>
      </c>
      <c r="I13" s="102">
        <f>+PL!Q5</f>
        <v>29.938145678231695</v>
      </c>
      <c r="J13" s="102">
        <f>+PL!R5</f>
        <v>23.598707218075045</v>
      </c>
      <c r="K13" s="102">
        <f>+PL!S5</f>
        <v>24.10675612319605</v>
      </c>
      <c r="L13" s="102">
        <f>+PL!T5</f>
        <v>27.825857428271824</v>
      </c>
      <c r="M13" s="102">
        <f>+PL!U5</f>
        <v>27.890840815536151</v>
      </c>
      <c r="N13" s="102">
        <f>+PL!V5</f>
        <v>29.91593372801378</v>
      </c>
      <c r="O13" s="102">
        <f>+PL!W5</f>
        <v>29.012128747338206</v>
      </c>
      <c r="P13" s="102">
        <f>+PL!X5</f>
        <v>28.169827847924175</v>
      </c>
      <c r="Q13" s="102">
        <f>+PL!Y5</f>
        <v>27.089217565231777</v>
      </c>
      <c r="R13" s="102">
        <f>+PL!Z5</f>
        <v>28.901053070980453</v>
      </c>
      <c r="S13" s="102">
        <f>+PL!AA5</f>
        <v>28.699938493981197</v>
      </c>
      <c r="T13" s="102">
        <f>+PL!AB5</f>
        <v>27.771902540176256</v>
      </c>
      <c r="U13" s="102">
        <f>+PL!AC5</f>
        <v>30.704759458996747</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193409.72679997099</v>
      </c>
      <c r="D15" s="82">
        <f>+BS!L9</f>
        <v>257778.55764169153</v>
      </c>
      <c r="E15" s="82">
        <f>+BS!M9</f>
        <v>154839.62442458019</v>
      </c>
      <c r="F15" s="82">
        <f>+BS!N9</f>
        <v>263263.18402791483</v>
      </c>
      <c r="G15" s="82">
        <f>+BS!O9</f>
        <v>242785.98009825882</v>
      </c>
      <c r="H15" s="82">
        <f>+BS!P9</f>
        <v>237314.61141043369</v>
      </c>
      <c r="I15" s="82">
        <f>+BS!Q9</f>
        <v>293317.87266084732</v>
      </c>
      <c r="J15" s="82">
        <f>+BS!R9</f>
        <v>221243.48239326297</v>
      </c>
      <c r="K15" s="82">
        <f>+BS!S9</f>
        <v>244834.35591527296</v>
      </c>
      <c r="L15" s="82">
        <f>+BS!T9</f>
        <v>186045.67045341473</v>
      </c>
      <c r="M15" s="82">
        <f>+BS!U9</f>
        <v>281012.13835993927</v>
      </c>
      <c r="N15" s="82">
        <f>+BS!V9</f>
        <v>322831.19111882587</v>
      </c>
      <c r="O15" s="82">
        <f>+BS!W9</f>
        <v>254649.85018438409</v>
      </c>
      <c r="P15" s="82">
        <f>+BS!X9</f>
        <v>276132.9326386762</v>
      </c>
      <c r="Q15" s="82">
        <f>+BS!Y9</f>
        <v>276753.70178473729</v>
      </c>
      <c r="R15" s="82">
        <f>+BS!Z9</f>
        <v>300126.60015887808</v>
      </c>
      <c r="S15" s="82">
        <f>+BS!AA9</f>
        <v>312301.07811264391</v>
      </c>
      <c r="T15" s="82">
        <f>+BS!AB9</f>
        <v>333026.05719716608</v>
      </c>
      <c r="U15" s="82">
        <f>+BS!AC9</f>
        <v>352638.21357644239</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139570.131106716</v>
      </c>
      <c r="D16" s="87">
        <f>+BS!L15</f>
        <v>131431.04053342692</v>
      </c>
      <c r="E16" s="87">
        <f>+BS!M15</f>
        <v>163980.23618194507</v>
      </c>
      <c r="F16" s="87">
        <f>+BS!N15</f>
        <v>175155.81656647174</v>
      </c>
      <c r="G16" s="87">
        <f>+BS!O15</f>
        <v>167419.4828037424</v>
      </c>
      <c r="H16" s="87">
        <f>+BS!P15</f>
        <v>132054.10942914442</v>
      </c>
      <c r="I16" s="87">
        <f>+BS!Q15</f>
        <v>151272.83464229415</v>
      </c>
      <c r="J16" s="87">
        <f>+BS!R15</f>
        <v>108581.00350824046</v>
      </c>
      <c r="K16" s="87">
        <f>+BS!S15</f>
        <v>101939.93417601804</v>
      </c>
      <c r="L16" s="87">
        <f>+BS!T15</f>
        <v>114893.74221280642</v>
      </c>
      <c r="M16" s="87">
        <f>+BS!U15</f>
        <v>165950.60286300292</v>
      </c>
      <c r="N16" s="87">
        <f>+BS!V15</f>
        <v>193224.9935587467</v>
      </c>
      <c r="O16" s="87">
        <f>+BS!W15</f>
        <v>144375.36133145381</v>
      </c>
      <c r="P16" s="87">
        <f>+BS!X15</f>
        <v>203303.46635164876</v>
      </c>
      <c r="Q16" s="87">
        <f>+BS!Y15</f>
        <v>146609.20648573179</v>
      </c>
      <c r="R16" s="87">
        <f>+BS!Z15</f>
        <v>149032.44284491224</v>
      </c>
      <c r="S16" s="87">
        <f>+BS!AA15</f>
        <v>189701.32958439505</v>
      </c>
      <c r="T16" s="87">
        <f>+BS!AB15</f>
        <v>199671.22464143773</v>
      </c>
      <c r="U16" s="87">
        <f>+BS!AC15</f>
        <v>178433.71477486732</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232420.49366439602</v>
      </c>
      <c r="D17" s="87">
        <f>+BS!L30</f>
        <v>239770.66151956483</v>
      </c>
      <c r="E17" s="87">
        <f>+BS!M30</f>
        <v>211301.51339668961</v>
      </c>
      <c r="F17" s="87">
        <f>+BS!N30</f>
        <v>299953.06316659745</v>
      </c>
      <c r="G17" s="87">
        <f>+BS!O30</f>
        <v>219945.11217140753</v>
      </c>
      <c r="H17" s="87">
        <f>+BS!P30</f>
        <v>229581.38348331413</v>
      </c>
      <c r="I17" s="87">
        <f>+BS!Q30</f>
        <v>252043.5853315116</v>
      </c>
      <c r="J17" s="87">
        <f>+BS!R30</f>
        <v>193230.85373826348</v>
      </c>
      <c r="K17" s="87">
        <f>+BS!S30</f>
        <v>215175.23771263339</v>
      </c>
      <c r="L17" s="87">
        <f>+BS!T30</f>
        <v>200117.25642156738</v>
      </c>
      <c r="M17" s="87">
        <f>+BS!U30</f>
        <v>218613.90182089867</v>
      </c>
      <c r="N17" s="87">
        <f>+BS!V30</f>
        <v>269525.04792397027</v>
      </c>
      <c r="O17" s="87">
        <f>+BS!W30</f>
        <v>227171.06868133586</v>
      </c>
      <c r="P17" s="87">
        <f>+BS!X30</f>
        <v>249026.77406452302</v>
      </c>
      <c r="Q17" s="87">
        <f>+BS!Y30</f>
        <v>224514.55138701978</v>
      </c>
      <c r="R17" s="87">
        <f>+BS!Z30</f>
        <v>257208.86967707254</v>
      </c>
      <c r="S17" s="87">
        <f>+BS!AA30</f>
        <v>236867.36350057114</v>
      </c>
      <c r="T17" s="87">
        <f>+BS!AB30</f>
        <v>268303.90997062379</v>
      </c>
      <c r="U17" s="87">
        <f>+BS!AC30</f>
        <v>333402.90010272211</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125711.05251593054</v>
      </c>
      <c r="D18" s="94">
        <f>+BS!L33+BS!L34+BS!L38+BS!L39+BS!L40</f>
        <v>133829.61923144411</v>
      </c>
      <c r="E18" s="94">
        <f>+BS!M33+BS!M34+BS!M38+BS!M39+BS!M40</f>
        <v>125087.19447112871</v>
      </c>
      <c r="F18" s="94">
        <f>+BS!N33+BS!N34+BS!N38+BS!N39+BS!N40</f>
        <v>143416.72815093122</v>
      </c>
      <c r="G18" s="94">
        <f>+BS!O33+BS!O34+BS!O38+BS!O39+BS!O40</f>
        <v>109686.17721124504</v>
      </c>
      <c r="H18" s="94">
        <f>+BS!P33+BS!P34+BS!P38+BS!P39+BS!P40</f>
        <v>144420.23895498624</v>
      </c>
      <c r="I18" s="94">
        <f>+BS!Q33+BS!Q34+BS!Q38+BS!Q39+BS!Q40</f>
        <v>143749.11474677225</v>
      </c>
      <c r="J18" s="94">
        <f>+BS!R33+BS!R34+BS!R38+BS!R39+BS!R40</f>
        <v>106944.27405396827</v>
      </c>
      <c r="K18" s="94">
        <f>+BS!S33+BS!S34+BS!S38+BS!S39+BS!S40</f>
        <v>113439.24187769614</v>
      </c>
      <c r="L18" s="94">
        <f>+BS!T33+BS!T34+BS!T38+BS!T39+BS!T40</f>
        <v>102877.93776981541</v>
      </c>
      <c r="M18" s="94">
        <f>+BS!U33+BS!U34+BS!U38+BS!U39+BS!U40</f>
        <v>102077.37149902055</v>
      </c>
      <c r="N18" s="94">
        <f>+BS!V33+BS!V34+BS!V38+BS!V39+BS!V40</f>
        <v>124853.96797245808</v>
      </c>
      <c r="O18" s="94">
        <f>+BS!W33+BS!W34+BS!W38+BS!W39+BS!W40</f>
        <v>114062.01395665506</v>
      </c>
      <c r="P18" s="94">
        <f>+BS!X33+BS!X34+BS!X38+BS!X39+BS!X40</f>
        <v>137633.79321047218</v>
      </c>
      <c r="Q18" s="94">
        <f>+BS!Y33+BS!Y34+BS!Y38+BS!Y39+BS!Y40</f>
        <v>119815.85817704201</v>
      </c>
      <c r="R18" s="94">
        <f>+BS!Z33+BS!Z34+BS!Z38+BS!Z39+BS!Z40</f>
        <v>145678.81633362942</v>
      </c>
      <c r="S18" s="94">
        <f>+BS!AA33+BS!AA34+BS!AA38+BS!AA39+BS!AA40</f>
        <v>118144.92918021262</v>
      </c>
      <c r="T18" s="94">
        <f>+BS!AB33+BS!AB34+BS!AB38+BS!AB39+BS!AB40</f>
        <v>142158.09538621045</v>
      </c>
      <c r="U18" s="94">
        <f>+BS!AC33+BS!AC34+BS!AC38+BS!AC39+BS!AC40</f>
        <v>195544.5417736689</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102294.807002124</v>
      </c>
      <c r="D19" s="90">
        <f>+BS!L43</f>
        <v>160090.80540445691</v>
      </c>
      <c r="E19" s="90">
        <f>+BS!M43</f>
        <v>108550.90494610141</v>
      </c>
      <c r="F19" s="90">
        <f>+BS!N43</f>
        <v>139106.15880287433</v>
      </c>
      <c r="G19" s="90">
        <f>+BS!O43</f>
        <v>191574.64771048079</v>
      </c>
      <c r="H19" s="90">
        <f>+BS!P43</f>
        <v>140407.80308647518</v>
      </c>
      <c r="I19" s="90">
        <f>+BS!Q43</f>
        <v>194526.15780704789</v>
      </c>
      <c r="J19" s="90">
        <f>+BS!R43</f>
        <v>137261.67614876965</v>
      </c>
      <c r="K19" s="90">
        <f>+BS!S43</f>
        <v>132903.12845135876</v>
      </c>
      <c r="L19" s="90">
        <f>+BS!T43</f>
        <v>104424.86700869461</v>
      </c>
      <c r="M19" s="90">
        <f>+BS!U43</f>
        <v>229402.06154112416</v>
      </c>
      <c r="N19" s="90">
        <f>+BS!V43</f>
        <v>247628.38913046109</v>
      </c>
      <c r="O19" s="90">
        <f>+BS!W43</f>
        <v>174566.53855215071</v>
      </c>
      <c r="P19" s="90">
        <f>+BS!X43</f>
        <v>233062.78406444282</v>
      </c>
      <c r="Q19" s="90">
        <f>+BS!Y43</f>
        <v>199056.17467008712</v>
      </c>
      <c r="R19" s="90">
        <f>+BS!Z43</f>
        <v>192911.29688865112</v>
      </c>
      <c r="S19" s="90">
        <f>+BS!AA43</f>
        <v>266758.76979175821</v>
      </c>
      <c r="T19" s="90">
        <f>+BS!AB43</f>
        <v>265925.07249006396</v>
      </c>
      <c r="U19" s="90">
        <f>+BS!AC43</f>
        <v>200080.09964047253</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334715.30066651996</v>
      </c>
      <c r="D20" s="92">
        <f>+BS!L29</f>
        <v>399861.46692402178</v>
      </c>
      <c r="E20" s="92">
        <f>+BS!M29</f>
        <v>319852.41834279191</v>
      </c>
      <c r="F20" s="92">
        <f>+BS!N29</f>
        <v>439059.22196947178</v>
      </c>
      <c r="G20" s="92">
        <f>+BS!O29</f>
        <v>411519.75988188828</v>
      </c>
      <c r="H20" s="92">
        <f>+BS!P29</f>
        <v>369989.18656978931</v>
      </c>
      <c r="I20" s="92">
        <f>+BS!Q29</f>
        <v>446569.74313855846</v>
      </c>
      <c r="J20" s="92">
        <f>+BS!R29</f>
        <v>330492.52988703322</v>
      </c>
      <c r="K20" s="92">
        <f>+BS!S29</f>
        <v>348078.36616399197</v>
      </c>
      <c r="L20" s="92">
        <f>+BS!T29</f>
        <v>304542.12343026209</v>
      </c>
      <c r="M20" s="92">
        <f>+BS!U29</f>
        <v>448015.96336202318</v>
      </c>
      <c r="N20" s="92">
        <f>+BS!V29</f>
        <v>517153.43705443107</v>
      </c>
      <c r="O20" s="92">
        <f>+BS!W29</f>
        <v>401737.60723348631</v>
      </c>
      <c r="P20" s="92">
        <f>+BS!X29</f>
        <v>482089.5581289659</v>
      </c>
      <c r="Q20" s="92">
        <f>+BS!Y29</f>
        <v>423570.72605710692</v>
      </c>
      <c r="R20" s="92">
        <f>+BS!Z29</f>
        <v>450120.16656572366</v>
      </c>
      <c r="S20" s="92">
        <f>+BS!AA29</f>
        <v>503626.13329232932</v>
      </c>
      <c r="T20" s="92">
        <f>+BS!AB29</f>
        <v>534228.98246068764</v>
      </c>
      <c r="U20" s="92">
        <f>+BS!AC29</f>
        <v>533482.99974319467</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16288.647131075628</v>
      </c>
      <c r="E22" s="96">
        <f t="shared" ref="E22:K22" si="0">+E11</f>
        <v>14215.91183382935</v>
      </c>
      <c r="F22" s="96">
        <f t="shared" si="0"/>
        <v>30782.277270524366</v>
      </c>
      <c r="G22" s="96">
        <f t="shared" si="0"/>
        <v>15900.586610850854</v>
      </c>
      <c r="H22" s="96">
        <f t="shared" si="0"/>
        <v>10319.69872265439</v>
      </c>
      <c r="I22" s="96">
        <f t="shared" si="0"/>
        <v>3721.8057469202972</v>
      </c>
      <c r="J22" s="96">
        <f t="shared" si="0"/>
        <v>13461.730876041527</v>
      </c>
      <c r="K22" s="96">
        <f t="shared" si="0"/>
        <v>15174.711737890315</v>
      </c>
      <c r="L22" s="96">
        <f>+L11</f>
        <v>20734.977222637892</v>
      </c>
      <c r="M22" s="96">
        <f>+M11</f>
        <v>19681.508170292218</v>
      </c>
      <c r="N22" s="96">
        <f>+N11</f>
        <v>28070.766032345389</v>
      </c>
      <c r="O22" s="96">
        <f>+O11</f>
        <v>22767.58050310929</v>
      </c>
      <c r="P22" s="96">
        <f t="shared" ref="P22:Q22" si="1">+P11</f>
        <v>19737.228932195911</v>
      </c>
      <c r="Q22" s="96">
        <f t="shared" si="1"/>
        <v>26426.612312332018</v>
      </c>
      <c r="R22" s="96">
        <f t="shared" ref="R22:U22" si="2">+R11</f>
        <v>21488.346085337296</v>
      </c>
      <c r="S22" s="96">
        <f t="shared" ref="S22:T22" si="3">+S11</f>
        <v>27455.862314383623</v>
      </c>
      <c r="T22" s="96">
        <f t="shared" si="3"/>
        <v>26313.929065146018</v>
      </c>
      <c r="U22" s="96">
        <f t="shared" si="2"/>
        <v>24716.111282314676</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5427.7943498859477</v>
      </c>
      <c r="E23" s="97">
        <f>+PL!M37-PL!M38</f>
        <v>6867.6203937467999</v>
      </c>
      <c r="F23" s="97">
        <f>+PL!N37-PL!N38</f>
        <v>12399.5318930951</v>
      </c>
      <c r="G23" s="97">
        <f>+PL!O37-PL!O38</f>
        <v>7714.8069401192524</v>
      </c>
      <c r="H23" s="97">
        <f>+PL!P37-PL!P38</f>
        <v>3822.133391917574</v>
      </c>
      <c r="I23" s="97">
        <f>+PL!Q37-PL!Q38</f>
        <v>3228.5545557229561</v>
      </c>
      <c r="J23" s="97">
        <f>+PL!R37-PL!R38</f>
        <v>5464.6139037531466</v>
      </c>
      <c r="K23" s="97">
        <f>+PL!S37-PL!S38</f>
        <v>5297.2219249624177</v>
      </c>
      <c r="L23" s="97">
        <f>+PL!T37-PL!T38</f>
        <v>7729.707004312113</v>
      </c>
      <c r="M23" s="97">
        <f>+PL!U37-PL!U38</f>
        <v>7306.8216837202617</v>
      </c>
      <c r="N23" s="97">
        <f>+PL!V37-PL!V38</f>
        <v>8135.5362295469386</v>
      </c>
      <c r="O23" s="97">
        <f>+PL!W37-PL!W38</f>
        <v>6807.2938637485349</v>
      </c>
      <c r="P23" s="97">
        <f>+PL!X37-PL!X38</f>
        <v>6058.1639258231007</v>
      </c>
      <c r="Q23" s="97">
        <f>+PL!Y37-PL!Y38</f>
        <v>15217.343240723716</v>
      </c>
      <c r="R23" s="97">
        <f>+PL!Z37-PL!Z38</f>
        <v>7235.8623251919889</v>
      </c>
      <c r="S23" s="97">
        <f>+PL!AA37-PL!AA38</f>
        <v>9031.3452244969667</v>
      </c>
      <c r="T23" s="97">
        <f>+PL!AB37-PL!AB38</f>
        <v>8838.0141696906867</v>
      </c>
      <c r="U23" s="97">
        <f>+PL!AC37-PL!AC38</f>
        <v>7275.1788221194947</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8158.0101772240751</v>
      </c>
      <c r="E24" s="97">
        <f>+PL!M13+PL!M24</f>
        <v>10322.552042798663</v>
      </c>
      <c r="F24" s="97">
        <f>+PL!N13+PL!N24</f>
        <v>18867.781479009387</v>
      </c>
      <c r="G24" s="97">
        <f>+PL!O13+PL!O24</f>
        <v>9996.3574682540602</v>
      </c>
      <c r="H24" s="97">
        <f>+PL!P13+PL!P24</f>
        <v>6125.5150688065551</v>
      </c>
      <c r="I24" s="97">
        <f>+PL!Q13+PL!Q24</f>
        <v>8446.0523169930384</v>
      </c>
      <c r="J24" s="97">
        <f>+PL!R13+PL!R24</f>
        <v>6692.0939768938333</v>
      </c>
      <c r="K24" s="97">
        <f>+PL!S13+PL!S24</f>
        <v>6630.8649267442706</v>
      </c>
      <c r="L24" s="97">
        <f>+PL!T13+PL!T24</f>
        <v>7711.6580892206548</v>
      </c>
      <c r="M24" s="97">
        <f>+PL!U13+PL!U24</f>
        <v>7839.7727024434935</v>
      </c>
      <c r="N24" s="97">
        <f>+PL!V13+PL!V24</f>
        <v>9106.9420905264233</v>
      </c>
      <c r="O24" s="97">
        <f>+PL!W13+PL!W24</f>
        <v>9455.7798299722363</v>
      </c>
      <c r="P24" s="97">
        <f>+PL!X13+PL!X24</f>
        <v>11096.178265952145</v>
      </c>
      <c r="Q24" s="97">
        <f>+PL!Y13+PL!Y24</f>
        <v>7308.1426839808773</v>
      </c>
      <c r="R24" s="97">
        <f>+PL!Z13+PL!Z24</f>
        <v>11484.153597353707</v>
      </c>
      <c r="S24" s="97">
        <f>+PL!AA13+PL!AA24</f>
        <v>12254.002899569459</v>
      </c>
      <c r="T24" s="97">
        <f>+PL!AB13+PL!AB24</f>
        <v>12705.306462761362</v>
      </c>
      <c r="U24" s="97">
        <f>+PL!AC13+PL!AC24</f>
        <v>10508.463448039718</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-30316.405280521838</v>
      </c>
      <c r="E25" s="97">
        <f>-(BS!M11-BS!L11)</f>
        <v>39632.991475154631</v>
      </c>
      <c r="F25" s="97">
        <f>-(BS!N11-BS!M11)</f>
        <v>-55325.502903061293</v>
      </c>
      <c r="G25" s="97">
        <f>-(BS!O11-BS!N11)</f>
        <v>28738.146269131597</v>
      </c>
      <c r="H25" s="97">
        <f>-(BS!P11-BS!O11)</f>
        <v>4846.520465483889</v>
      </c>
      <c r="I25" s="97">
        <f>-(BS!Q11-BS!P11)</f>
        <v>-11644.106067957662</v>
      </c>
      <c r="J25" s="97">
        <f>-(BS!R11-BS!Q11)</f>
        <v>29217.212974557013</v>
      </c>
      <c r="K25" s="97">
        <f>-(BS!S11-BS!R11)</f>
        <v>-13025.164985170748</v>
      </c>
      <c r="L25" s="97">
        <f>-(BS!T11-BS!S11)</f>
        <v>23512.878679093817</v>
      </c>
      <c r="M25" s="97">
        <f>-(BS!U11-BS!T11)</f>
        <v>-22397.655910512534</v>
      </c>
      <c r="N25" s="97">
        <f>-(BS!V11-BS!U11)</f>
        <v>-35443.817231588866</v>
      </c>
      <c r="O25" s="97">
        <f>-(BS!W11-BS!V11)</f>
        <v>23629.475120206247</v>
      </c>
      <c r="P25" s="97">
        <f>-(BS!X11-BS!W11)</f>
        <v>19835.4375089643</v>
      </c>
      <c r="Q25" s="97">
        <f>-(BS!Y11-BS!X11)</f>
        <v>-28585.347536372195</v>
      </c>
      <c r="R25" s="97">
        <f>-(BS!Z11-BS!Y11)</f>
        <v>10540.757160072928</v>
      </c>
      <c r="S25" s="97">
        <f>-(BS!AA11-BS!Z11)</f>
        <v>-1504.2902613342594</v>
      </c>
      <c r="T25" s="97">
        <f>-(BS!AB11-BS!AA11)</f>
        <v>14994.858307147078</v>
      </c>
      <c r="U25" s="97">
        <f>-(BS!AC11-BS!AB11)</f>
        <v>-7569.2317127039132</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-6539.2347954201032</v>
      </c>
      <c r="E26" s="97">
        <f>-(BS!M13-BS!L13)</f>
        <v>14792.259994242155</v>
      </c>
      <c r="F26" s="97">
        <f>-(BS!N13-BS!M13)</f>
        <v>-48302.93329535934</v>
      </c>
      <c r="G26" s="97">
        <f>-(BS!O13-BS!N13)</f>
        <v>28289.296126175162</v>
      </c>
      <c r="H26" s="97">
        <f>-(BS!P13-BS!O13)</f>
        <v>3298.2837336940574</v>
      </c>
      <c r="I26" s="97">
        <f>-(BS!Q13-BS!P13)</f>
        <v>-6403.4007840259801</v>
      </c>
      <c r="J26" s="97">
        <f>-(BS!R13-BS!Q13)</f>
        <v>10787.974779818207</v>
      </c>
      <c r="K26" s="97">
        <f>-(BS!S13-BS!R13)</f>
        <v>-5742.9036203193828</v>
      </c>
      <c r="L26" s="97">
        <f>-(BS!T13-BS!S13)</f>
        <v>12433.180063494412</v>
      </c>
      <c r="M26" s="97">
        <f>-(BS!U13-BS!T13)</f>
        <v>-12170.300696585462</v>
      </c>
      <c r="N26" s="97">
        <f>-(BS!V13-BS!U13)</f>
        <v>-25125.92526518365</v>
      </c>
      <c r="O26" s="97">
        <f>-(BS!W13-BS!V13)</f>
        <v>16756.083504935763</v>
      </c>
      <c r="P26" s="97">
        <f>-(BS!X13-BS!W13)</f>
        <v>3629.2976350540703</v>
      </c>
      <c r="Q26" s="97">
        <f>-(BS!Y13-BS!X13)</f>
        <v>-8193.4694445588029</v>
      </c>
      <c r="R26" s="97">
        <f>-(BS!Z13-BS!Y13)</f>
        <v>1948.0194249263441</v>
      </c>
      <c r="S26" s="97">
        <f>-(BS!AA13-BS!Z13)</f>
        <v>-8570.8625817356151</v>
      </c>
      <c r="T26" s="97">
        <f>-(BS!AB13-BS!AA13)</f>
        <v>-9095.1680975481941</v>
      </c>
      <c r="U26" s="97">
        <f>-(BS!AC13-BS!AB13)</f>
        <v>-7751.5531288848579</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-9143.2881381117913</v>
      </c>
      <c r="E27" s="97">
        <f>-((BS!M12+BS!M14)-(BS!L12+BS!L14))</f>
        <v>16735.777252684828</v>
      </c>
      <c r="F27" s="97">
        <f>-((BS!N12+BS!N14)-(BS!M12+BS!M14))</f>
        <v>-1804.7802356397733</v>
      </c>
      <c r="G27" s="97">
        <f>-((BS!O12+BS!O14)-(BS!N12+BS!N14))</f>
        <v>-8412.7953258011312</v>
      </c>
      <c r="H27" s="97">
        <f>-((BS!P12+BS!P14)-(BS!O12+BS!O14))</f>
        <v>3837.8654577862071</v>
      </c>
      <c r="I27" s="97">
        <f>-((BS!Q12+BS!Q14)-(BS!P12+BS!P14))</f>
        <v>-18510.259430654474</v>
      </c>
      <c r="J27" s="97">
        <f>-((BS!R12+BS!R14)-(BS!Q12+BS!Q14))</f>
        <v>9416.9958555533885</v>
      </c>
      <c r="K27" s="97">
        <f>-((BS!S12+BS!S14)-(BS!R12+BS!R14))</f>
        <v>-9042.4181237796438</v>
      </c>
      <c r="L27" s="97">
        <f>-((BS!T12+BS!T14)-(BS!S12+BS!S14))</f>
        <v>17252.909034288878</v>
      </c>
      <c r="M27" s="97">
        <f>-((BS!U12+BS!U14)-(BS!T12+BS!T14))</f>
        <v>-9593.3422454390711</v>
      </c>
      <c r="N27" s="97">
        <f>-((BS!V12+BS!V14)-(BS!U12+BS!U14))</f>
        <v>-8050.8852320183287</v>
      </c>
      <c r="O27" s="97">
        <f>-((BS!W12+BS!W14)-(BS!V12+BS!V14))</f>
        <v>17785.526123098167</v>
      </c>
      <c r="P27" s="97">
        <f>-((BS!X12+BS!X14)-(BS!W12+BS!W14))</f>
        <v>-16064.492251172651</v>
      </c>
      <c r="Q27" s="97">
        <f>-((BS!Y12+BS!Y14)-(BS!X12+BS!X14))</f>
        <v>11006.473792863166</v>
      </c>
      <c r="R27" s="97">
        <f>-((BS!Z12+BS!Z14)-(BS!Y12+BS!Y14))</f>
        <v>-12844.160384994888</v>
      </c>
      <c r="S27" s="97">
        <f>-((BS!AA12+BS!AA14)-(BS!Z12+BS!Z14))</f>
        <v>-7054.7645733960089</v>
      </c>
      <c r="T27" s="97">
        <f>-((BS!AB12+BS!AB14)-(BS!AA12+BS!AA14))</f>
        <v>3112.6981846409617</v>
      </c>
      <c r="U27" s="97">
        <f>-((BS!AC12+BS!AC14)-(BS!AB12+BS!AB14))</f>
        <v>-7106.2606958958786</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4745.9229715765759</v>
      </c>
      <c r="E28" s="97">
        <f>BS!M32-BS!L32</f>
        <v>-9911.4684218420443</v>
      </c>
      <c r="F28" s="97">
        <f>BS!N32-BS!M32</f>
        <v>52874.334897192246</v>
      </c>
      <c r="G28" s="97">
        <f>BS!O32-BS!N32</f>
        <v>-36350.24879278311</v>
      </c>
      <c r="H28" s="97">
        <f>BS!P32-BS!O32</f>
        <v>-9408.3568994293819</v>
      </c>
      <c r="I28" s="97">
        <f>BS!Q32-BS!P32</f>
        <v>11132.06623825858</v>
      </c>
      <c r="J28" s="97">
        <f>BS!R32-BS!Q32</f>
        <v>-24106.210627046756</v>
      </c>
      <c r="K28" s="97">
        <f>BS!S32-BS!R32</f>
        <v>6931.3366047113086</v>
      </c>
      <c r="L28" s="97">
        <f>BS!T32-BS!S32</f>
        <v>-16943.95204671206</v>
      </c>
      <c r="M28" s="97">
        <f>BS!U32-BS!T32</f>
        <v>3732.5335469054771</v>
      </c>
      <c r="N28" s="97">
        <f>BS!V32-BS!U32</f>
        <v>40519.56040188999</v>
      </c>
      <c r="O28" s="97">
        <f>BS!W32-BS!V32</f>
        <v>-19118.727289809991</v>
      </c>
      <c r="P28" s="97">
        <f>BS!X32-BS!W32</f>
        <v>-5239.8276960349758</v>
      </c>
      <c r="Q28" s="97">
        <f>BS!Y32-BS!X32</f>
        <v>-450.33394321208471</v>
      </c>
      <c r="R28" s="97">
        <f>BS!Z32-BS!Y32</f>
        <v>5625.5945449287392</v>
      </c>
      <c r="S28" s="97">
        <f>BS!AA32-BS!Z32</f>
        <v>4318.2742619949422</v>
      </c>
      <c r="T28" s="97">
        <f>BS!AB32-BS!AA32</f>
        <v>-4644.7300181696992</v>
      </c>
      <c r="U28" s="97">
        <f>BS!AC32-BS!AB32</f>
        <v>18293.961074088009</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-5514.4095666117428</v>
      </c>
      <c r="E29" s="98">
        <f>(BS!M36+BS!M42)-(BS!L36+BS!L42)</f>
        <v>-9815.1672060270539</v>
      </c>
      <c r="F29" s="98">
        <f>(BS!N36+BS!N42)-(BS!M36+BS!M42)</f>
        <v>17447.681192912936</v>
      </c>
      <c r="G29" s="98">
        <f>(BS!O36+BS!O42)-(BS!N36+BS!N42)</f>
        <v>-9927.1512627214106</v>
      </c>
      <c r="H29" s="98">
        <f>(BS!P36+BS!P42)-(BS!O36+BS!O42)</f>
        <v>-15689.433532404269</v>
      </c>
      <c r="I29" s="98">
        <f>(BS!Q36+BS!Q42)-(BS!P36+BS!P42)</f>
        <v>11207.159281606793</v>
      </c>
      <c r="J29" s="98">
        <f>(BS!R36+BS!R42)-(BS!Q36+BS!Q42)</f>
        <v>2510.8577367087419</v>
      </c>
      <c r="K29" s="98">
        <f>(BS!S36+BS!S42)-(BS!R36+BS!R42)</f>
        <v>7451.8207214176509</v>
      </c>
      <c r="L29" s="98">
        <f>(BS!T36+BS!T42)-(BS!S36+BS!S42)</f>
        <v>10378.79447706374</v>
      </c>
      <c r="M29" s="98">
        <f>(BS!U36+BS!U42)-(BS!T36+BS!T42)</f>
        <v>18039.880215170691</v>
      </c>
      <c r="N29" s="98">
        <f>(BS!V36+BS!V42)-(BS!U36+BS!U42)</f>
        <v>-12613.115482179775</v>
      </c>
      <c r="O29" s="98">
        <f>(BS!W36+BS!W42)-(BS!V36+BS!V42)</f>
        <v>-14658.373812751604</v>
      </c>
      <c r="P29" s="98">
        <f>(BS!X36+BS!X42)-(BS!W36+BS!W42)</f>
        <v>5880.2104114978429</v>
      </c>
      <c r="Q29" s="98">
        <f>(BS!Y36+BS!Y42)-(BS!X36+BS!X42)</f>
        <v>-6823.3443719374118</v>
      </c>
      <c r="R29" s="98">
        <f>(BS!Z36+BS!Z42)-(BS!Y36+BS!Y42)</f>
        <v>2912.9799046393091</v>
      </c>
      <c r="S29" s="98">
        <f>(BS!AA36+BS!AA42)-(BS!Z36+BS!Z42)</f>
        <v>2874.1067149210139</v>
      </c>
      <c r="T29" s="98">
        <f>(BS!AB36+BS!AB42)-(BS!AA36+BS!AA42)</f>
        <v>12068.110282224588</v>
      </c>
      <c r="U29" s="98">
        <f>(BS!AC36+BS!AC42)-(BS!AB36+BS!AB42)</f>
        <v>-6581.4173294481589</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8139.0905732890824</v>
      </c>
      <c r="E30" s="96">
        <f>-(BS!M15-BS!L15)</f>
        <v>-32549.195648518158</v>
      </c>
      <c r="F30" s="96">
        <f>-(BS!N15-BS!M15)</f>
        <v>-11175.580384526664</v>
      </c>
      <c r="G30" s="96">
        <f>-(BS!O15-BS!N15)</f>
        <v>7736.3337627293367</v>
      </c>
      <c r="H30" s="96">
        <f>-(BS!P15-BS!O15)</f>
        <v>35365.373374597984</v>
      </c>
      <c r="I30" s="96">
        <f>-(BS!Q15-BS!P15)</f>
        <v>-19218.725213149737</v>
      </c>
      <c r="J30" s="96">
        <f>-(BS!R15-BS!Q15)</f>
        <v>42691.831134053689</v>
      </c>
      <c r="K30" s="96">
        <f>-(BS!S15-BS!R15)</f>
        <v>6641.0693322224251</v>
      </c>
      <c r="L30" s="96">
        <f>-(BS!T15-BS!S15)</f>
        <v>-12953.808036788381</v>
      </c>
      <c r="M30" s="96">
        <f>-(BS!U15-BS!T15)</f>
        <v>-51056.860650196497</v>
      </c>
      <c r="N30" s="96">
        <f>-(BS!V15-BS!U15)</f>
        <v>-27274.390695743787</v>
      </c>
      <c r="O30" s="96">
        <f>-(BS!W15-BS!V15)</f>
        <v>48849.632227292896</v>
      </c>
      <c r="P30" s="96">
        <f>-(BS!X15-BS!W15)</f>
        <v>-58928.105020194955</v>
      </c>
      <c r="Q30" s="96">
        <f>-(BS!Y15-BS!X15)</f>
        <v>56694.259865916974</v>
      </c>
      <c r="R30" s="96">
        <f>-(BS!Z15-BS!Y15)</f>
        <v>-2423.236359180446</v>
      </c>
      <c r="S30" s="96">
        <f>-(BS!AA15-BS!Z15)</f>
        <v>-40668.886739482812</v>
      </c>
      <c r="T30" s="96">
        <f>-(BS!AB15-BS!AA15)</f>
        <v>-9969.8950570426823</v>
      </c>
      <c r="U30" s="96">
        <f>-(BS!AC15-BS!AB15)</f>
        <v>21237.509866570414</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-8158.0101772240751</v>
      </c>
      <c r="E31" s="98">
        <f>-(PL!M13+PL!M24)</f>
        <v>-10322.552042798663</v>
      </c>
      <c r="F31" s="98">
        <f>-(PL!N13+PL!N24)</f>
        <v>-18867.781479009387</v>
      </c>
      <c r="G31" s="98">
        <f>-(PL!O13+PL!O24)</f>
        <v>-9996.3574682540602</v>
      </c>
      <c r="H31" s="98">
        <f>-(PL!P13+PL!P24)</f>
        <v>-6125.5150688065551</v>
      </c>
      <c r="I31" s="98">
        <f>-(PL!Q13+PL!Q24)</f>
        <v>-8446.0523169930384</v>
      </c>
      <c r="J31" s="98">
        <f>-(PL!R13+PL!R24)</f>
        <v>-6692.0939768938333</v>
      </c>
      <c r="K31" s="98">
        <f>-(PL!S13+PL!S24)</f>
        <v>-6630.8649267442706</v>
      </c>
      <c r="L31" s="98">
        <f>-(PL!T13+PL!T24)</f>
        <v>-7711.6580892206548</v>
      </c>
      <c r="M31" s="98">
        <f>-(PL!U13+PL!U24)</f>
        <v>-7839.7727024434935</v>
      </c>
      <c r="N31" s="98">
        <f>-(PL!V13+PL!V24)</f>
        <v>-9106.9420905264233</v>
      </c>
      <c r="O31" s="98">
        <f>-(PL!W13+PL!W24)</f>
        <v>-9455.7798299722363</v>
      </c>
      <c r="P31" s="98">
        <f>-(PL!X13+PL!X24)</f>
        <v>-11096.178265952145</v>
      </c>
      <c r="Q31" s="98">
        <f>-(PL!Y13+PL!Y24)</f>
        <v>-7308.1426839808773</v>
      </c>
      <c r="R31" s="98">
        <f>-(PL!Z13+PL!Z24)</f>
        <v>-11484.153597353707</v>
      </c>
      <c r="S31" s="98">
        <f>-(PL!AA13+PL!AA24)</f>
        <v>-12254.002899569459</v>
      </c>
      <c r="T31" s="98">
        <f>-(PL!AB13+PL!AB24)</f>
        <v>-12705.306462761362</v>
      </c>
      <c r="U31" s="98">
        <f>-(PL!AC13+PL!AC24)</f>
        <v>-10508.463448039718</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8118.5667155135743</v>
      </c>
      <c r="E32" s="96">
        <f>(BS!M33+BS!M34+BS!M38+BS!M39+BS!M40)-(BS!L33+BS!L34+BS!L38+BS!L39+BS!L40)</f>
        <v>-8742.4247603154072</v>
      </c>
      <c r="F32" s="96">
        <f>(BS!N33+BS!N34+BS!N38+BS!N39+BS!N40)-(BS!M33+BS!M34+BS!M38+BS!M39+BS!M40)</f>
        <v>18329.533679802509</v>
      </c>
      <c r="G32" s="96">
        <f>(BS!O33+BS!O34+BS!O38+BS!O39+BS!O40)-(BS!N33+BS!N34+BS!N38+BS!N39+BS!N40)</f>
        <v>-33730.550939686174</v>
      </c>
      <c r="H32" s="96">
        <f>(BS!P33+BS!P34+BS!P38+BS!P39+BS!P40)-(BS!O33+BS!O34+BS!O38+BS!O39+BS!O40)</f>
        <v>34734.0617437412</v>
      </c>
      <c r="I32" s="96">
        <f>(BS!Q33+BS!Q34+BS!Q38+BS!Q39+BS!Q40)-(BS!P33+BS!P34+BS!P38+BS!P39+BS!P40)</f>
        <v>-671.12420821399428</v>
      </c>
      <c r="J32" s="96">
        <f>(BS!R33+BS!R34+BS!R38+BS!R39+BS!R40)-(BS!Q33+BS!Q34+BS!Q38+BS!Q39+BS!Q40)</f>
        <v>-36804.840692803977</v>
      </c>
      <c r="K32" s="96">
        <f>(BS!S33+BS!S34+BS!S38+BS!S39+BS!S40)-(BS!R33+BS!R34+BS!R38+BS!R39+BS!R40)</f>
        <v>6494.9678237278713</v>
      </c>
      <c r="L32" s="96">
        <f>(BS!T33+BS!T34+BS!T38+BS!T39+BS!T40)-(BS!S33+BS!S34+BS!S38+BS!S39+BS!S40)</f>
        <v>-10561.304107880729</v>
      </c>
      <c r="M32" s="96">
        <f>(BS!U33+BS!U34+BS!U38+BS!U39+BS!U40)-(BS!T33+BS!T34+BS!T38+BS!T39+BS!T40)</f>
        <v>-800.56627079486498</v>
      </c>
      <c r="N32" s="96">
        <f>(BS!V33+BS!V34+BS!V38+BS!V39+BS!V40)-(BS!U33+BS!U34+BS!U38+BS!U39+BS!U40)</f>
        <v>22776.59647343753</v>
      </c>
      <c r="O32" s="96">
        <f>(BS!W33+BS!W34+BS!W38+BS!W39+BS!W40)-(BS!V33+BS!V34+BS!V38+BS!V39+BS!V40)</f>
        <v>-10791.954015803014</v>
      </c>
      <c r="P32" s="96">
        <f>(BS!X33+BS!X34+BS!X38+BS!X39+BS!X40)-(BS!W33+BS!W34+BS!W38+BS!W39+BS!W40)</f>
        <v>23571.77925381712</v>
      </c>
      <c r="Q32" s="96">
        <f>(BS!Y33+BS!Y34+BS!Y38+BS!Y39+BS!Y40)-(BS!X33+BS!X34+BS!X38+BS!X39+BS!X40)</f>
        <v>-17817.935033430171</v>
      </c>
      <c r="R32" s="96">
        <f>(BS!Z33+BS!Z34+BS!Z38+BS!Z39+BS!Z40)-(BS!Y33+BS!Y34+BS!Y38+BS!Y39+BS!Y40)</f>
        <v>25862.95815658741</v>
      </c>
      <c r="S32" s="96">
        <f>(BS!AA33+BS!AA34+BS!AA38+BS!AA39+BS!AA40)-(BS!Z33+BS!Z34+BS!Z38+BS!Z39+BS!Z40)</f>
        <v>-27533.887153416799</v>
      </c>
      <c r="T32" s="96">
        <f>(BS!AB33+BS!AB34+BS!AB38+BS!AB39+BS!AB40)-(BS!AA33+BS!AA34+BS!AA38+BS!AA39+BS!AA40)</f>
        <v>24013.166205997826</v>
      </c>
      <c r="U32" s="96">
        <f>(BS!AC33+BS!AC34+BS!AC38+BS!AC39+BS!AC40)-(BS!AB33+BS!AB34+BS!AB38+BS!AB39+BS!AB40)</f>
        <v>53386.446387458447</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31914.45288067506</v>
      </c>
      <c r="E33" s="98">
        <f>(BS!M45+BS!M46)-(BS!L45+BS!L46)</f>
        <v>-32526.564613282011</v>
      </c>
      <c r="F33" s="98">
        <f>(BS!N45+BS!N46)-(BS!M45+BS!M46)</f>
        <v>2208.3748581359941</v>
      </c>
      <c r="G33" s="98">
        <f>(BS!O45+BS!O46)-(BS!N45+BS!N46)</f>
        <v>-5839.413482545493</v>
      </c>
      <c r="H33" s="98">
        <f>(BS!P45+BS!P46)-(BS!O45+BS!O46)</f>
        <v>3139.8164023198078</v>
      </c>
      <c r="I33" s="98">
        <f>(BS!Q45+BS!Q46)-(BS!P45+BS!P46)</f>
        <v>-514.83027399738785</v>
      </c>
      <c r="J33" s="98">
        <f>(BS!R45+BS!R46)-(BS!Q45+BS!Q46)</f>
        <v>502.49964926834218</v>
      </c>
      <c r="K33" s="98">
        <f>(BS!S45+BS!S46)-(BS!R45+BS!R46)</f>
        <v>2548.1251240269812</v>
      </c>
      <c r="L33" s="98">
        <f>(BS!T45+BS!T46)-(BS!S45+BS!S46)</f>
        <v>268.0634282811734</v>
      </c>
      <c r="M33" s="98">
        <f>(BS!U45+BS!U46)-(BS!T45+BS!T46)</f>
        <v>9130.8637223707592</v>
      </c>
      <c r="N33" s="98">
        <f>(BS!V45+BS!V46)-(BS!U45+BS!U46)</f>
        <v>41727.133314650724</v>
      </c>
      <c r="O33" s="98">
        <f>(BS!W45+BS!W46)-(BS!V45+BS!V46)</f>
        <v>-40201.906295597742</v>
      </c>
      <c r="P33" s="98">
        <f>(BS!X45+BS!X46)-(BS!W45+BS!W46)</f>
        <v>10267.106105659928</v>
      </c>
      <c r="Q33" s="98">
        <f>(BS!Y45+BS!Y46)-(BS!X45+BS!X46)</f>
        <v>-18478.829737341512</v>
      </c>
      <c r="R33" s="98">
        <f>(BS!Z45+BS!Z46)-(BS!Y45+BS!Y46)</f>
        <v>15372.219207846363</v>
      </c>
      <c r="S33" s="98">
        <f>(BS!AA45+BS!AA46)-(BS!Z45+BS!Z46)</f>
        <v>-11688.377762636002</v>
      </c>
      <c r="T33" s="98">
        <f>(BS!AB45+BS!AB46)-(BS!AA45+BS!AA46)</f>
        <v>6067.880123108298</v>
      </c>
      <c r="U33" s="98">
        <f>(BS!AC45+BS!AC46)-(BS!AB45+BS!AB46)</f>
        <v>-1098.5284554696336</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-16892.963150903248</v>
      </c>
      <c r="E34" s="100">
        <f t="shared" ref="E34:K34" si="4">SUM(E22:E29)</f>
        <v>82840.477364587321</v>
      </c>
      <c r="F34" s="100">
        <f t="shared" si="4"/>
        <v>26938.390298673632</v>
      </c>
      <c r="G34" s="100">
        <f t="shared" si="4"/>
        <v>35948.998033225274</v>
      </c>
      <c r="H34" s="100">
        <f t="shared" si="4"/>
        <v>7152.226408509021</v>
      </c>
      <c r="I34" s="100">
        <f t="shared" si="4"/>
        <v>1177.8718568635486</v>
      </c>
      <c r="J34" s="100">
        <f t="shared" si="4"/>
        <v>53445.2694762791</v>
      </c>
      <c r="K34" s="100">
        <f t="shared" si="4"/>
        <v>13675.469186456186</v>
      </c>
      <c r="L34" s="100">
        <f>SUM(L22:L29)</f>
        <v>82810.152523399447</v>
      </c>
      <c r="M34" s="100">
        <f>SUM(M22:M29)</f>
        <v>12439.217465995076</v>
      </c>
      <c r="N34" s="100">
        <f>SUM(N22:N29)</f>
        <v>4599.0615433381245</v>
      </c>
      <c r="O34" s="100">
        <f>SUM(O22:O29)</f>
        <v>63424.637842508637</v>
      </c>
      <c r="P34" s="100">
        <f t="shared" ref="P34:Q34" si="5">SUM(P22:P29)</f>
        <v>44932.196732279743</v>
      </c>
      <c r="Q34" s="100">
        <f t="shared" si="5"/>
        <v>15906.076733819282</v>
      </c>
      <c r="R34" s="100">
        <f t="shared" ref="R34:U34" si="6">SUM(R22:R29)</f>
        <v>48391.552657455424</v>
      </c>
      <c r="S34" s="100">
        <f t="shared" ref="S34:T34" si="7">SUM(S22:S29)</f>
        <v>38803.673998900122</v>
      </c>
      <c r="T34" s="100">
        <f t="shared" si="7"/>
        <v>64293.018355892804</v>
      </c>
      <c r="U34" s="100">
        <f t="shared" si="6"/>
        <v>31785.251759629093</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-18.919603934992665</v>
      </c>
      <c r="E35" s="100">
        <f t="shared" ref="E35:K35" si="8">SUM(E30:E31)</f>
        <v>-42871.747691316821</v>
      </c>
      <c r="F35" s="100">
        <f t="shared" si="8"/>
        <v>-30043.361863536051</v>
      </c>
      <c r="G35" s="100">
        <f t="shared" si="8"/>
        <v>-2260.0237055247235</v>
      </c>
      <c r="H35" s="100">
        <f t="shared" si="8"/>
        <v>29239.858305791429</v>
      </c>
      <c r="I35" s="100">
        <f t="shared" si="8"/>
        <v>-27664.777530142776</v>
      </c>
      <c r="J35" s="100">
        <f t="shared" si="8"/>
        <v>35999.737157159856</v>
      </c>
      <c r="K35" s="100">
        <f t="shared" si="8"/>
        <v>10.204405478154513</v>
      </c>
      <c r="L35" s="100">
        <f>SUM(L30:L31)</f>
        <v>-20665.466126009036</v>
      </c>
      <c r="M35" s="100">
        <f>SUM(M30:M31)</f>
        <v>-58896.63335263999</v>
      </c>
      <c r="N35" s="100">
        <f>SUM(N30:N31)</f>
        <v>-36381.332786270214</v>
      </c>
      <c r="O35" s="100">
        <f>SUM(O30:O31)</f>
        <v>39393.852397320661</v>
      </c>
      <c r="P35" s="100">
        <f t="shared" ref="P35:Q35" si="9">SUM(P30:P31)</f>
        <v>-70024.283286147096</v>
      </c>
      <c r="Q35" s="100">
        <f t="shared" si="9"/>
        <v>49386.117181936097</v>
      </c>
      <c r="R35" s="100">
        <f t="shared" ref="R35:U35" si="10">SUM(R30:R31)</f>
        <v>-13907.389956534153</v>
      </c>
      <c r="S35" s="100">
        <f t="shared" ref="S35:T35" si="11">SUM(S30:S31)</f>
        <v>-52922.889639052271</v>
      </c>
      <c r="T35" s="100">
        <f t="shared" si="11"/>
        <v>-22675.201519804046</v>
      </c>
      <c r="U35" s="100">
        <f t="shared" si="10"/>
        <v>10729.046418530696</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-16911.88275483824</v>
      </c>
      <c r="E36" s="100">
        <f t="shared" si="12"/>
        <v>39968.7296732705</v>
      </c>
      <c r="F36" s="100">
        <f t="shared" si="12"/>
        <v>-3104.9715648624187</v>
      </c>
      <c r="G36" s="100">
        <f t="shared" si="12"/>
        <v>33688.974327700547</v>
      </c>
      <c r="H36" s="100">
        <f t="shared" si="12"/>
        <v>36392.08471430045</v>
      </c>
      <c r="I36" s="100">
        <f t="shared" si="12"/>
        <v>-26486.905673279227</v>
      </c>
      <c r="J36" s="100">
        <f t="shared" si="12"/>
        <v>89445.006633438956</v>
      </c>
      <c r="K36" s="100">
        <f t="shared" si="12"/>
        <v>13685.673591934341</v>
      </c>
      <c r="L36" s="100">
        <f>+L34+L35</f>
        <v>62144.686397390411</v>
      </c>
      <c r="M36" s="100">
        <f>+M34+M35</f>
        <v>-46457.415886644914</v>
      </c>
      <c r="N36" s="100">
        <f>+N34+N35</f>
        <v>-31782.271242932089</v>
      </c>
      <c r="O36" s="100">
        <f>+O34+O35</f>
        <v>102818.49023982929</v>
      </c>
      <c r="P36" s="100">
        <f t="shared" ref="P36:Q36" si="13">+P34+P35</f>
        <v>-25092.086553867353</v>
      </c>
      <c r="Q36" s="100">
        <f t="shared" si="13"/>
        <v>65292.193915755379</v>
      </c>
      <c r="R36" s="100">
        <f t="shared" ref="R36:U36" si="14">+R34+R35</f>
        <v>34484.162700921268</v>
      </c>
      <c r="S36" s="100">
        <f t="shared" ref="S36:T36" si="15">+S34+S35</f>
        <v>-14119.21564015215</v>
      </c>
      <c r="T36" s="100">
        <f t="shared" si="15"/>
        <v>41617.816836088758</v>
      </c>
      <c r="U36" s="100">
        <f t="shared" si="14"/>
        <v>42514.298178159792</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40033.019596188635</v>
      </c>
      <c r="E37" s="100">
        <f t="shared" ref="E37:K37" si="16">SUM(E32:E33)</f>
        <v>-41268.989373597418</v>
      </c>
      <c r="F37" s="100">
        <f t="shared" si="16"/>
        <v>20537.908537938503</v>
      </c>
      <c r="G37" s="100">
        <f t="shared" si="16"/>
        <v>-39569.964422231671</v>
      </c>
      <c r="H37" s="100">
        <f t="shared" si="16"/>
        <v>37873.878146061004</v>
      </c>
      <c r="I37" s="100">
        <f t="shared" si="16"/>
        <v>-1185.9544822113821</v>
      </c>
      <c r="J37" s="100">
        <f t="shared" si="16"/>
        <v>-36302.341043535635</v>
      </c>
      <c r="K37" s="100">
        <f t="shared" si="16"/>
        <v>9043.0929477548525</v>
      </c>
      <c r="L37" s="100">
        <f>SUM(L32:L33)</f>
        <v>-10293.240679599556</v>
      </c>
      <c r="M37" s="100">
        <f>SUM(M32:M33)</f>
        <v>8330.2974515758942</v>
      </c>
      <c r="N37" s="100">
        <f>SUM(N32:N33)</f>
        <v>64503.729788088254</v>
      </c>
      <c r="O37" s="100">
        <f>SUM(O32:O33)</f>
        <v>-50993.860311400756</v>
      </c>
      <c r="P37" s="100">
        <f t="shared" ref="P37:Q37" si="17">SUM(P32:P33)</f>
        <v>33838.885359477048</v>
      </c>
      <c r="Q37" s="100">
        <f t="shared" si="17"/>
        <v>-36296.764770771682</v>
      </c>
      <c r="R37" s="100">
        <f t="shared" ref="R37:U37" si="18">SUM(R32:R33)</f>
        <v>41235.177364433774</v>
      </c>
      <c r="S37" s="100">
        <f t="shared" ref="S37:T37" si="19">SUM(S32:S33)</f>
        <v>-39222.264916052802</v>
      </c>
      <c r="T37" s="100">
        <f t="shared" si="19"/>
        <v>30081.046329106124</v>
      </c>
      <c r="U37" s="100">
        <f t="shared" si="18"/>
        <v>52287.917931988814</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58179.594228374699</v>
      </c>
      <c r="E38" s="100">
        <f>+BS!L10</f>
        <v>76549.570100017547</v>
      </c>
      <c r="F38" s="100">
        <f>+BS!M10</f>
        <v>44771.665604987807</v>
      </c>
      <c r="G38" s="100">
        <f>+BS!N10</f>
        <v>47762.008774262344</v>
      </c>
      <c r="H38" s="100">
        <f>+BS!O10</f>
        <v>75899.451914111545</v>
      </c>
      <c r="I38" s="100">
        <f>+BS!P10</f>
        <v>82410.752883250447</v>
      </c>
      <c r="J38" s="100">
        <f>+BS!Q10</f>
        <v>101856.24785102623</v>
      </c>
      <c r="K38" s="100">
        <f>+BS!R10</f>
        <v>79204.041193370285</v>
      </c>
      <c r="L38" s="100">
        <f>+BS!S10</f>
        <v>74984.427986110546</v>
      </c>
      <c r="M38" s="100">
        <f>+BS!T10</f>
        <v>69394.7103011297</v>
      </c>
      <c r="N38" s="100">
        <f>+BS!U10</f>
        <v>120199.87935511704</v>
      </c>
      <c r="O38" s="100">
        <f>+BS!V10</f>
        <v>93398.30438521241</v>
      </c>
      <c r="P38" s="100">
        <f>+BS!W10</f>
        <v>83388.048199011129</v>
      </c>
      <c r="Q38" s="100">
        <f>+BS!X10</f>
        <v>112271.3735461492</v>
      </c>
      <c r="R38" s="100">
        <f>+BS!Y10</f>
        <v>87119.799504142051</v>
      </c>
      <c r="S38" s="100">
        <f>+BS!Z10</f>
        <v>110137.31407828743</v>
      </c>
      <c r="T38" s="100">
        <f>+BS!AA10</f>
        <v>105181.8746155874</v>
      </c>
      <c r="U38" s="100">
        <f>+BS!AB10</f>
        <v>134919.24209434941</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-4751.1609697075473</v>
      </c>
      <c r="E39" s="100">
        <f t="shared" ref="E39:K39" si="20">E41-(E34+E35+E37)</f>
        <v>-30477.644794702821</v>
      </c>
      <c r="F39" s="100">
        <f t="shared" si="20"/>
        <v>-14442.593803801548</v>
      </c>
      <c r="G39" s="100">
        <f t="shared" si="20"/>
        <v>34018.433234380325</v>
      </c>
      <c r="H39" s="100">
        <f t="shared" si="20"/>
        <v>-67754.661891222553</v>
      </c>
      <c r="I39" s="100">
        <f t="shared" si="20"/>
        <v>47118.355123266389</v>
      </c>
      <c r="J39" s="100">
        <f t="shared" si="20"/>
        <v>-75794.872247559266</v>
      </c>
      <c r="K39" s="100">
        <f t="shared" si="20"/>
        <v>-26948.379746948933</v>
      </c>
      <c r="L39" s="100">
        <f>L41-(L34+L35+L37)</f>
        <v>-57441.163402771701</v>
      </c>
      <c r="M39" s="100">
        <f>M41-(M34+M35+M37)</f>
        <v>88932.287489056354</v>
      </c>
      <c r="N39" s="100">
        <f>N41-(N34+N35+N37)</f>
        <v>-59523.033515060793</v>
      </c>
      <c r="O39" s="100">
        <f>O41-(O34+O35+O37)</f>
        <v>-61834.886114629815</v>
      </c>
      <c r="P39" s="100">
        <f t="shared" ref="P39:Q39" si="21">P41-(P34+P35+P37)</f>
        <v>20136.526541528379</v>
      </c>
      <c r="Q39" s="100">
        <f t="shared" si="21"/>
        <v>-54147.003186990849</v>
      </c>
      <c r="R39" s="100">
        <f t="shared" ref="R39:U39" si="22">R41-(R34+R35+R37)</f>
        <v>-52701.82549120966</v>
      </c>
      <c r="S39" s="100">
        <f t="shared" ref="S39:T39" si="23">S41-(S34+S35+S37)</f>
        <v>48386.041093504922</v>
      </c>
      <c r="T39" s="100">
        <f t="shared" si="23"/>
        <v>-41961.495686432871</v>
      </c>
      <c r="U39" s="100">
        <f t="shared" si="22"/>
        <v>-97617.105268356943</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76549.570100017547</v>
      </c>
      <c r="E40" s="100">
        <f>+BS!M10</f>
        <v>44771.665604987807</v>
      </c>
      <c r="F40" s="100">
        <f>+BS!N10</f>
        <v>47762.008774262344</v>
      </c>
      <c r="G40" s="100">
        <f>+BS!O10</f>
        <v>75899.451914111545</v>
      </c>
      <c r="H40" s="100">
        <f>+BS!P10</f>
        <v>82410.752883250447</v>
      </c>
      <c r="I40" s="100">
        <f>+BS!Q10</f>
        <v>101856.24785102623</v>
      </c>
      <c r="J40" s="100">
        <f>+BS!R10</f>
        <v>79204.041193370285</v>
      </c>
      <c r="K40" s="100">
        <f>+BS!S10</f>
        <v>74984.427986110546</v>
      </c>
      <c r="L40" s="100">
        <f>+BS!T10</f>
        <v>69394.7103011297</v>
      </c>
      <c r="M40" s="100">
        <f>+BS!U10</f>
        <v>120199.87935511704</v>
      </c>
      <c r="N40" s="100">
        <f>+BS!V10</f>
        <v>93398.30438521241</v>
      </c>
      <c r="O40" s="100">
        <f>+BS!W10</f>
        <v>83388.048199011129</v>
      </c>
      <c r="P40" s="100">
        <f>+BS!X10</f>
        <v>112271.3735461492</v>
      </c>
      <c r="Q40" s="100">
        <f>+BS!Y10</f>
        <v>87119.799504142051</v>
      </c>
      <c r="R40" s="100">
        <f>+BS!Z10</f>
        <v>110137.31407828743</v>
      </c>
      <c r="S40" s="100">
        <f>+BS!AA10</f>
        <v>105181.8746155874</v>
      </c>
      <c r="T40" s="100">
        <f>+BS!AB10</f>
        <v>134919.24209434941</v>
      </c>
      <c r="U40" s="100">
        <f>+BS!AC10</f>
        <v>132104.35293614108</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18369.975871642848</v>
      </c>
      <c r="E41" s="100">
        <f t="shared" si="24"/>
        <v>-31777.904495029739</v>
      </c>
      <c r="F41" s="100">
        <f t="shared" si="24"/>
        <v>2990.3431692745362</v>
      </c>
      <c r="G41" s="100">
        <f t="shared" si="24"/>
        <v>28137.443139849202</v>
      </c>
      <c r="H41" s="100">
        <f t="shared" si="24"/>
        <v>6511.3009691389016</v>
      </c>
      <c r="I41" s="100">
        <f t="shared" si="24"/>
        <v>19445.494967775783</v>
      </c>
      <c r="J41" s="100">
        <f t="shared" si="24"/>
        <v>-22652.206657655945</v>
      </c>
      <c r="K41" s="100">
        <f t="shared" si="24"/>
        <v>-4219.6132072597393</v>
      </c>
      <c r="L41" s="100">
        <f>+L40-L38</f>
        <v>-5589.7176849808457</v>
      </c>
      <c r="M41" s="100">
        <f>+M40-M38</f>
        <v>50805.169053987338</v>
      </c>
      <c r="N41" s="100">
        <f>+N40-N38</f>
        <v>-26801.574969904628</v>
      </c>
      <c r="O41" s="100">
        <f>+O40-O38</f>
        <v>-10010.256186201281</v>
      </c>
      <c r="P41" s="100">
        <f t="shared" ref="P41:Q41" si="25">+P40-P38</f>
        <v>28883.325347138074</v>
      </c>
      <c r="Q41" s="100">
        <f t="shared" si="25"/>
        <v>-25151.574042007152</v>
      </c>
      <c r="R41" s="100">
        <f t="shared" ref="R41:U41" si="26">+R40-R38</f>
        <v>23017.514574145374</v>
      </c>
      <c r="S41" s="100">
        <f t="shared" ref="S41:T41" si="27">+S40-S38</f>
        <v>-4955.4394627000293</v>
      </c>
      <c r="T41" s="100">
        <f t="shared" si="27"/>
        <v>29737.367478762011</v>
      </c>
      <c r="U41" s="100">
        <f t="shared" si="26"/>
        <v>-2814.8891582083306</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1.6484896281468093</v>
      </c>
      <c r="D43" s="101">
        <f>+D12/D20*100</f>
        <v>2.2826601860927003</v>
      </c>
      <c r="E43" s="101">
        <f t="shared" si="28"/>
        <v>1.1183734792178328</v>
      </c>
      <c r="F43" s="101">
        <f t="shared" si="28"/>
        <v>3.8899596617933221</v>
      </c>
      <c r="G43" s="101">
        <f t="shared" si="28"/>
        <v>1.6182678280359499</v>
      </c>
      <c r="H43" s="101">
        <f t="shared" si="28"/>
        <v>0.66587994334822731</v>
      </c>
      <c r="I43" s="101">
        <f t="shared" si="28"/>
        <v>-0.40257581444117557</v>
      </c>
      <c r="J43" s="101">
        <f t="shared" si="28"/>
        <v>1.4151906735404871</v>
      </c>
      <c r="K43" s="101">
        <f t="shared" si="28"/>
        <v>5.2662296034113512</v>
      </c>
      <c r="L43" s="101">
        <f>+L12/L20*100</f>
        <v>4.0252788370310784</v>
      </c>
      <c r="M43" s="101">
        <f>+M12/M20*100</f>
        <v>2.5574519418053825</v>
      </c>
      <c r="N43" s="101">
        <f>+N12/N20*100</f>
        <v>3.4115421944563953</v>
      </c>
      <c r="O43" s="101">
        <f>+O12/O20*100</f>
        <v>3.2570053504218324</v>
      </c>
      <c r="P43" s="101">
        <f t="shared" ref="P43:Q43" si="29">+P12/P20*100</f>
        <v>2.9587829743541487</v>
      </c>
      <c r="Q43" s="101">
        <f t="shared" si="29"/>
        <v>2.3303936606384976</v>
      </c>
      <c r="R43" s="101">
        <f t="shared" ref="R43:U43" si="30">+R12/R20*100</f>
        <v>3.1656421831620278</v>
      </c>
      <c r="S43" s="101">
        <f t="shared" ref="S43:T43" si="31">+S12/S20*100</f>
        <v>3.3450473358336508</v>
      </c>
      <c r="T43" s="101">
        <f t="shared" si="31"/>
        <v>3.2800983999032365</v>
      </c>
      <c r="U43" s="101">
        <f t="shared" si="30"/>
        <v>3.3981009646377638</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30.561736137673996</v>
      </c>
      <c r="D44" s="102">
        <f>+D19/D20*100</f>
        <v>40.036567323171454</v>
      </c>
      <c r="E44" s="102">
        <f t="shared" si="32"/>
        <v>33.937809665007862</v>
      </c>
      <c r="F44" s="102">
        <f t="shared" si="32"/>
        <v>31.682778049596806</v>
      </c>
      <c r="G44" s="102">
        <f t="shared" si="32"/>
        <v>46.552964495669727</v>
      </c>
      <c r="H44" s="102">
        <f t="shared" si="32"/>
        <v>37.949163971036953</v>
      </c>
      <c r="I44" s="102">
        <f t="shared" si="32"/>
        <v>43.560084577134397</v>
      </c>
      <c r="J44" s="102">
        <f t="shared" si="32"/>
        <v>41.532459506932739</v>
      </c>
      <c r="K44" s="102">
        <f t="shared" si="32"/>
        <v>38.181955953201474</v>
      </c>
      <c r="L44" s="102">
        <f>+L19/L20*100</f>
        <v>34.289137355610229</v>
      </c>
      <c r="M44" s="102">
        <f>+M19/M20*100</f>
        <v>51.203992781782603</v>
      </c>
      <c r="N44" s="102">
        <f>+N19/N20*100</f>
        <v>47.882963041082505</v>
      </c>
      <c r="O44" s="102">
        <f>+O19/O20*100</f>
        <v>43.452874565137293</v>
      </c>
      <c r="P44" s="102">
        <f t="shared" ref="P44:Q44" si="33">+P19/P20*100</f>
        <v>48.344292079044607</v>
      </c>
      <c r="Q44" s="102">
        <f t="shared" si="33"/>
        <v>46.994790344233991</v>
      </c>
      <c r="R44" s="102">
        <f t="shared" ref="R44:U44" si="34">+R19/R20*100</f>
        <v>42.857732494081326</v>
      </c>
      <c r="S44" s="102">
        <f t="shared" ref="S44:T44" si="35">+S19/S20*100</f>
        <v>52.967618667420965</v>
      </c>
      <c r="T44" s="102">
        <f t="shared" si="35"/>
        <v>49.777357878488488</v>
      </c>
      <c r="U44" s="102">
        <f t="shared" si="34"/>
        <v>37.504494002018077</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5.3939659079599442</v>
      </c>
      <c r="D45" s="102">
        <f>+D12/D19*100</f>
        <v>5.7014383068040759</v>
      </c>
      <c r="E45" s="102">
        <f t="shared" si="36"/>
        <v>3.2953613985611758</v>
      </c>
      <c r="F45" s="102">
        <f t="shared" si="36"/>
        <v>12.277836418586487</v>
      </c>
      <c r="G45" s="102">
        <f t="shared" si="36"/>
        <v>3.4761864159831921</v>
      </c>
      <c r="H45" s="102">
        <f t="shared" si="36"/>
        <v>1.75466301143401</v>
      </c>
      <c r="I45" s="102">
        <f t="shared" si="36"/>
        <v>-0.92418510741941051</v>
      </c>
      <c r="J45" s="102">
        <f t="shared" si="36"/>
        <v>3.4074328617698617</v>
      </c>
      <c r="K45" s="102">
        <f t="shared" si="36"/>
        <v>13.792456336878125</v>
      </c>
      <c r="L45" s="102">
        <f>+L12/L19*100</f>
        <v>11.739224569242424</v>
      </c>
      <c r="M45" s="102">
        <f>+M12/M19*100</f>
        <v>4.9946338222187903</v>
      </c>
      <c r="N45" s="102">
        <f>+N12/N19*100</f>
        <v>7.1247516398042636</v>
      </c>
      <c r="O45" s="102">
        <f>+O12/O19*100</f>
        <v>7.4954888094675391</v>
      </c>
      <c r="P45" s="102">
        <f t="shared" ref="P45:Q45" si="37">+P12/P19*100</f>
        <v>6.120232290332094</v>
      </c>
      <c r="Q45" s="102">
        <f t="shared" si="37"/>
        <v>4.9588340400467903</v>
      </c>
      <c r="R45" s="102">
        <f t="shared" ref="R45:U45" si="38">+R12/R19*100</f>
        <v>7.3863968038887844</v>
      </c>
      <c r="S45" s="102">
        <f t="shared" ref="S45:T45" si="39">+S12/S19*100</f>
        <v>6.3152684979796998</v>
      </c>
      <c r="T45" s="102">
        <f t="shared" si="39"/>
        <v>6.5895389785658871</v>
      </c>
      <c r="U45" s="102">
        <f t="shared" si="38"/>
        <v>9.0605167595513105</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37.557605602612611</v>
      </c>
      <c r="D46" s="101">
        <f>+D18/D20*100</f>
        <v>33.468996215350067</v>
      </c>
      <c r="E46" s="101">
        <f t="shared" si="40"/>
        <v>39.107784496120452</v>
      </c>
      <c r="F46" s="101">
        <f t="shared" si="40"/>
        <v>32.664552063753973</v>
      </c>
      <c r="G46" s="101">
        <f t="shared" si="40"/>
        <v>26.653927199686951</v>
      </c>
      <c r="H46" s="101">
        <f t="shared" si="40"/>
        <v>39.033637791937181</v>
      </c>
      <c r="I46" s="101">
        <f t="shared" si="40"/>
        <v>32.189622551783764</v>
      </c>
      <c r="J46" s="101">
        <f t="shared" si="40"/>
        <v>32.359059398565911</v>
      </c>
      <c r="K46" s="101">
        <f t="shared" si="40"/>
        <v>32.590144319469402</v>
      </c>
      <c r="L46" s="101">
        <f>+L18/L20*100</f>
        <v>33.781184885372255</v>
      </c>
      <c r="M46" s="101">
        <f>+M18/M20*100</f>
        <v>22.784315704513421</v>
      </c>
      <c r="N46" s="101">
        <f>+N18/N20*100</f>
        <v>24.142538563331069</v>
      </c>
      <c r="O46" s="101">
        <f>+O18/O20*100</f>
        <v>28.392167400539936</v>
      </c>
      <c r="P46" s="101">
        <f t="shared" ref="P46:Q46" si="41">+P18/P20*100</f>
        <v>28.549424249021619</v>
      </c>
      <c r="Q46" s="101">
        <f t="shared" si="41"/>
        <v>28.287096063595325</v>
      </c>
      <c r="R46" s="101">
        <f t="shared" ref="R46:U46" si="42">+R18/R20*100</f>
        <v>32.364427802716172</v>
      </c>
      <c r="S46" s="101">
        <f t="shared" ref="S46:T46" si="43">+S18/S20*100</f>
        <v>23.458855958857779</v>
      </c>
      <c r="T46" s="101">
        <f t="shared" si="43"/>
        <v>26.60995566571895</v>
      </c>
      <c r="U46" s="101">
        <f t="shared" si="42"/>
        <v>36.654315482929938</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14965.261822569024</v>
      </c>
      <c r="D47" s="100">
        <f>+D5/D13</f>
        <v>16777.863221884498</v>
      </c>
      <c r="E47" s="100">
        <f t="shared" si="44"/>
        <v>15284.395553994324</v>
      </c>
      <c r="F47" s="100">
        <f t="shared" si="44"/>
        <v>16485.885720255101</v>
      </c>
      <c r="G47" s="100">
        <f t="shared" si="44"/>
        <v>17220.43721468962</v>
      </c>
      <c r="H47" s="100">
        <f t="shared" si="44"/>
        <v>17343.188241751039</v>
      </c>
      <c r="I47" s="100">
        <f t="shared" si="44"/>
        <v>14944.539143234482</v>
      </c>
      <c r="J47" s="100">
        <f t="shared" si="44"/>
        <v>14598.540179184063</v>
      </c>
      <c r="K47" s="100">
        <f t="shared" si="44"/>
        <v>17413.638707029873</v>
      </c>
      <c r="L47" s="100">
        <f>+L5/L13</f>
        <v>13595.927838792228</v>
      </c>
      <c r="M47" s="100">
        <f>+M5/M13</f>
        <v>16259.202951577685</v>
      </c>
      <c r="N47" s="100">
        <f>+N5/N13</f>
        <v>17812.845487461094</v>
      </c>
      <c r="O47" s="100">
        <f>+O5/O13</f>
        <v>16457.152421597504</v>
      </c>
      <c r="P47" s="100">
        <f t="shared" ref="P47:Q47" si="45">+P5/P13</f>
        <v>17531.358936601177</v>
      </c>
      <c r="Q47" s="100">
        <f t="shared" si="45"/>
        <v>18343.13697279034</v>
      </c>
      <c r="R47" s="100">
        <f t="shared" ref="R47:U47" si="46">+R5/R13</f>
        <v>16897.956323225157</v>
      </c>
      <c r="S47" s="100">
        <f t="shared" ref="S47:T47" si="47">+S5/S13</f>
        <v>18863.51772320089</v>
      </c>
      <c r="T47" s="100">
        <f t="shared" si="47"/>
        <v>18992.612148137086</v>
      </c>
      <c r="U47" s="100">
        <f t="shared" si="46"/>
        <v>17665.219666957539</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173567.75507214485</v>
      </c>
      <c r="D48" s="100">
        <f>+PL!L47</f>
        <v>202148.53483067203</v>
      </c>
      <c r="E48" s="100">
        <f>+PL!M47</f>
        <v>186436.90835870069</v>
      </c>
      <c r="F48" s="100">
        <f>+PL!N47</f>
        <v>266912.49117635679</v>
      </c>
      <c r="G48" s="100">
        <f>+PL!O47</f>
        <v>227675.12710476006</v>
      </c>
      <c r="H48" s="100">
        <f>+PL!P47</f>
        <v>188601.51866878817</v>
      </c>
      <c r="I48" s="100">
        <f>+PL!Q47</f>
        <v>223228.91212818446</v>
      </c>
      <c r="J48" s="100">
        <f>+PL!R47</f>
        <v>165479.44955814275</v>
      </c>
      <c r="K48" s="100">
        <f>+PL!S47</f>
        <v>172696.73103998747</v>
      </c>
      <c r="L48" s="100">
        <f>+PL!T47</f>
        <v>181773.09185256076</v>
      </c>
      <c r="M48" s="100">
        <f>+PL!U47</f>
        <v>236173.23041896272</v>
      </c>
      <c r="N48" s="100">
        <f>+PL!V47</f>
        <v>271048.76194983686</v>
      </c>
      <c r="O48" s="100">
        <f>+PL!W47</f>
        <v>224987.70149196428</v>
      </c>
      <c r="P48" s="100">
        <f>+PL!X47</f>
        <v>227247.03919036273</v>
      </c>
      <c r="Q48" s="100">
        <f>+PL!Y47</f>
        <v>223046.81200764666</v>
      </c>
      <c r="R48" s="100">
        <f>+PL!Z47</f>
        <v>245397.94401517705</v>
      </c>
      <c r="S48" s="100">
        <f>+PL!AA47</f>
        <v>262970.8252350408</v>
      </c>
      <c r="T48" s="100">
        <f>+PL!AB47</f>
        <v>233483.45619491965</v>
      </c>
      <c r="U48" s="100">
        <f>+PL!AC47</f>
        <v>254569.00136962859</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53.00227846274003</v>
      </c>
      <c r="D49" s="103">
        <f t="shared" si="48"/>
        <v>59.944212224440982</v>
      </c>
      <c r="E49" s="103">
        <f t="shared" si="48"/>
        <v>55.737485843847658</v>
      </c>
      <c r="F49" s="103">
        <f t="shared" si="48"/>
        <v>51.469863999726904</v>
      </c>
      <c r="G49" s="103">
        <f t="shared" si="48"/>
        <v>62.224335228261886</v>
      </c>
      <c r="H49" s="103">
        <f t="shared" si="48"/>
        <v>55.13140327307211</v>
      </c>
      <c r="I49" s="103">
        <f t="shared" si="48"/>
        <v>55.064466236671414</v>
      </c>
      <c r="J49" s="103">
        <f t="shared" si="48"/>
        <v>61.926028431105081</v>
      </c>
      <c r="K49" s="103">
        <f t="shared" si="48"/>
        <v>59.284851846184594</v>
      </c>
      <c r="L49" s="103">
        <f>+L7/L48*100</f>
        <v>57.584277322544033</v>
      </c>
      <c r="M49" s="103">
        <f>+M7/M48*100</f>
        <v>58.576466683152894</v>
      </c>
      <c r="N49" s="103">
        <f>+N7/N48*100</f>
        <v>43.591349424638061</v>
      </c>
      <c r="O49" s="103">
        <f>+O7/O48*100</f>
        <v>57.55062632509668</v>
      </c>
      <c r="P49" s="103">
        <f t="shared" ref="P49:Q49" si="49">+P7/P48*100</f>
        <v>57.976882502561644</v>
      </c>
      <c r="Q49" s="103">
        <f t="shared" si="49"/>
        <v>53.150675854212793</v>
      </c>
      <c r="R49" s="103">
        <f t="shared" ref="R49:U49" si="50">+R7/R48*100</f>
        <v>53.07624173694667</v>
      </c>
      <c r="S49" s="103">
        <f t="shared" ref="S49:T49" si="51">+S7/S48*100</f>
        <v>43.243259780740267</v>
      </c>
      <c r="T49" s="103">
        <f t="shared" si="51"/>
        <v>52.581552320243439</v>
      </c>
      <c r="U49" s="103">
        <f t="shared" si="50"/>
        <v>52.463459230029486</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２９　電気機械器具製造業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406109.61253936804</v>
      </c>
      <c r="D5" s="82">
        <f>PL!L6</f>
        <v>484288.20845762413</v>
      </c>
      <c r="E5" s="82">
        <f>PL!M6</f>
        <v>416426.79832610243</v>
      </c>
      <c r="F5" s="82">
        <f>PL!N6</f>
        <v>733864.73974775011</v>
      </c>
      <c r="G5" s="82">
        <f>PL!O6</f>
        <v>548635.41173829371</v>
      </c>
      <c r="H5" s="82">
        <f>PL!P6</f>
        <v>435549.2760954285</v>
      </c>
      <c r="I5" s="82">
        <f>PL!Q6</f>
        <v>447411.78996418981</v>
      </c>
      <c r="J5" s="82">
        <f>PL!R6</f>
        <v>344506.67549986951</v>
      </c>
      <c r="K5" s="82">
        <f>PL!S6</f>
        <v>419786.34152781614</v>
      </c>
      <c r="L5" s="82">
        <f>PL!T6</f>
        <v>378318.34964730439</v>
      </c>
      <c r="M5" s="82">
        <f>PL!U6</f>
        <v>453482.84130994877</v>
      </c>
      <c r="N5" s="240">
        <f>PL!V6</f>
        <v>532887.90511023544</v>
      </c>
      <c r="O5" s="240">
        <f>PL!W6</f>
        <v>477457.02486995549</v>
      </c>
      <c r="P5" s="240">
        <f>PL!X6</f>
        <v>493855.36318422219</v>
      </c>
      <c r="Q5" s="240">
        <f>PL!Y6</f>
        <v>496901.22828476451</v>
      </c>
      <c r="R5" s="240">
        <f>PL!Z6</f>
        <v>488368.73248863994</v>
      </c>
      <c r="S5" s="240">
        <f>PL!AA6</f>
        <v>541381.79843598977</v>
      </c>
      <c r="T5" s="240">
        <f>PL!AB6</f>
        <v>527460.97356143082</v>
      </c>
      <c r="U5" s="114">
        <f>PL!AC6</f>
        <v>542406.32066426985</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180483.6541419467</v>
      </c>
      <c r="D6" s="85">
        <f>PL!L9+PL!L10</f>
        <v>243518.33655027198</v>
      </c>
      <c r="E6" s="85">
        <f>PL!M9+PL!M10</f>
        <v>176017.86125919115</v>
      </c>
      <c r="F6" s="85">
        <f>PL!N9+PL!N10</f>
        <v>392238.50890296407</v>
      </c>
      <c r="G6" s="85">
        <f>PL!O9+PL!O10</f>
        <v>262542.38188699505</v>
      </c>
      <c r="H6" s="85">
        <f>PL!P9+PL!P10</f>
        <v>191148.99268444479</v>
      </c>
      <c r="I6" s="85">
        <f>PL!Q9+PL!Q10</f>
        <v>186767.70333756346</v>
      </c>
      <c r="J6" s="85">
        <f>PL!R9+PL!R10</f>
        <v>139152.57715960903</v>
      </c>
      <c r="K6" s="85">
        <f>PL!S9+PL!S10</f>
        <v>193505.29285363611</v>
      </c>
      <c r="L6" s="85">
        <f>PL!T9+PL!T10</f>
        <v>163670.02277107729</v>
      </c>
      <c r="M6" s="85">
        <f>PL!U9+PL!U10</f>
        <v>148132.34547823106</v>
      </c>
      <c r="N6" s="241">
        <f>PL!V9+PL!V10</f>
        <v>211680.81241414737</v>
      </c>
      <c r="O6" s="241">
        <f>PL!W9+PL!W10</f>
        <v>198987.74122407852</v>
      </c>
      <c r="P6" s="241">
        <f>PL!X9+PL!X10</f>
        <v>190490.20273895698</v>
      </c>
      <c r="Q6" s="241">
        <f>PL!Y9+PL!Y10</f>
        <v>219552.98213513408</v>
      </c>
      <c r="R6" s="241">
        <f>PL!Z9+PL!Z10</f>
        <v>192028.40889498865</v>
      </c>
      <c r="S6" s="241">
        <f>PL!AA9+PL!AA10</f>
        <v>233987.96608382391</v>
      </c>
      <c r="T6" s="241">
        <f>PL!AB9+PL!AB10</f>
        <v>245154.48678071538</v>
      </c>
      <c r="U6" s="118">
        <f>PL!AC9+PL!AC10</f>
        <v>237885.38204074642</v>
      </c>
      <c r="V6" s="119">
        <f t="shared" si="0"/>
        <v>0.44442103454138432</v>
      </c>
      <c r="W6" s="120">
        <f t="shared" si="1"/>
        <v>0.50283763324702169</v>
      </c>
      <c r="X6" s="120">
        <f t="shared" si="2"/>
        <v>0.42268620071216489</v>
      </c>
      <c r="Y6" s="120">
        <f t="shared" si="3"/>
        <v>0.53448338318827993</v>
      </c>
      <c r="Z6" s="120">
        <f t="shared" si="4"/>
        <v>0.47853706900755288</v>
      </c>
      <c r="AA6" s="120">
        <f t="shared" si="5"/>
        <v>0.43886881043182863</v>
      </c>
      <c r="AB6" s="120">
        <f t="shared" si="6"/>
        <v>0.41744028102726594</v>
      </c>
      <c r="AC6" s="120">
        <f t="shared" si="7"/>
        <v>0.40391837678530484</v>
      </c>
      <c r="AD6" s="120">
        <f t="shared" si="8"/>
        <v>0.46096138371098944</v>
      </c>
      <c r="AE6" s="120">
        <f t="shared" si="9"/>
        <v>0.43262512358616034</v>
      </c>
      <c r="AF6" s="120">
        <f t="shared" si="10"/>
        <v>0.32665479701575922</v>
      </c>
      <c r="AG6" s="120">
        <f t="shared" si="11"/>
        <v>0.39723328374352612</v>
      </c>
      <c r="AH6" s="120">
        <f t="shared" si="12"/>
        <v>0.41676576290458101</v>
      </c>
      <c r="AI6" s="120">
        <f t="shared" si="13"/>
        <v>0.38572063186827976</v>
      </c>
      <c r="AJ6" s="120">
        <f t="shared" si="14"/>
        <v>0.44184431359326909</v>
      </c>
      <c r="AK6" s="120">
        <f t="shared" si="15"/>
        <v>0.39320373340947962</v>
      </c>
      <c r="AL6" s="120">
        <f t="shared" si="16"/>
        <v>0.43220508476605063</v>
      </c>
      <c r="AM6" s="120">
        <f t="shared" si="17"/>
        <v>0.46478222857972906</v>
      </c>
      <c r="AN6" s="120">
        <f t="shared" si="18"/>
        <v>0.43857413340872364</v>
      </c>
    </row>
    <row r="7" spans="1:40" x14ac:dyDescent="0.2">
      <c r="A7" s="117" t="s">
        <v>368</v>
      </c>
      <c r="B7" s="84" t="s">
        <v>254</v>
      </c>
      <c r="C7" s="85">
        <f>PL!K12</f>
        <v>52058.203325276496</v>
      </c>
      <c r="D7" s="85">
        <f>PL!L12</f>
        <v>38621.337076680124</v>
      </c>
      <c r="E7" s="85">
        <f>PL!M12</f>
        <v>53972.028708210586</v>
      </c>
      <c r="F7" s="85">
        <f>PL!N12</f>
        <v>74713.739668429218</v>
      </c>
      <c r="G7" s="85">
        <f>PL!O12</f>
        <v>58417.902746538552</v>
      </c>
      <c r="H7" s="85">
        <f>PL!P12</f>
        <v>55798.764742195541</v>
      </c>
      <c r="I7" s="85">
        <f>PL!Q12</f>
        <v>37415.174498441876</v>
      </c>
      <c r="J7" s="85">
        <f>PL!R12</f>
        <v>39874.648782117751</v>
      </c>
      <c r="K7" s="85">
        <f>PL!S12</f>
        <v>53584.317634192586</v>
      </c>
      <c r="L7" s="85">
        <f>PL!T12</f>
        <v>32875.235023666304</v>
      </c>
      <c r="M7" s="85">
        <f>PL!U12</f>
        <v>69177.265412755005</v>
      </c>
      <c r="N7" s="241">
        <f>PL!V12</f>
        <v>50158.330746251238</v>
      </c>
      <c r="O7" s="241">
        <f>PL!W12</f>
        <v>53481.582153912706</v>
      </c>
      <c r="P7" s="241">
        <f>PL!X12</f>
        <v>76118.121254902522</v>
      </c>
      <c r="Q7" s="241">
        <f>PL!Y12</f>
        <v>54301.434141983758</v>
      </c>
      <c r="R7" s="241">
        <f>PL!Z12</f>
        <v>50942.379578474247</v>
      </c>
      <c r="S7" s="241">
        <f>PL!AA12</f>
        <v>44423.007117125031</v>
      </c>
      <c r="T7" s="241">
        <f>PL!AB12</f>
        <v>48823.030585795757</v>
      </c>
      <c r="U7" s="118">
        <f>PL!AC12</f>
        <v>49951.937253894874</v>
      </c>
      <c r="V7" s="119">
        <f t="shared" si="0"/>
        <v>0.12818756739039266</v>
      </c>
      <c r="W7" s="120">
        <f t="shared" si="1"/>
        <v>7.9748662887503569E-2</v>
      </c>
      <c r="X7" s="120">
        <f t="shared" si="2"/>
        <v>0.12960748185553916</v>
      </c>
      <c r="Y7" s="120">
        <f t="shared" si="3"/>
        <v>0.10180859717297554</v>
      </c>
      <c r="Z7" s="120">
        <f t="shared" si="4"/>
        <v>0.1064785493182942</v>
      </c>
      <c r="AA7" s="120">
        <f t="shared" si="5"/>
        <v>0.1281112558432311</v>
      </c>
      <c r="AB7" s="120">
        <f t="shared" si="6"/>
        <v>8.3625812590760143E-2</v>
      </c>
      <c r="AC7" s="120">
        <f t="shared" si="7"/>
        <v>0.11574419776992929</v>
      </c>
      <c r="AD7" s="120">
        <f t="shared" si="8"/>
        <v>0.12764664385975966</v>
      </c>
      <c r="AE7" s="120">
        <f t="shared" si="9"/>
        <v>8.6898335897042697E-2</v>
      </c>
      <c r="AF7" s="120">
        <f t="shared" si="10"/>
        <v>0.15254659958671596</v>
      </c>
      <c r="AG7" s="120">
        <f t="shared" si="11"/>
        <v>9.4125481673064573E-2</v>
      </c>
      <c r="AH7" s="120">
        <f t="shared" si="12"/>
        <v>0.11201339464736</v>
      </c>
      <c r="AI7" s="120">
        <f t="shared" si="13"/>
        <v>0.15413039308537038</v>
      </c>
      <c r="AJ7" s="120">
        <f t="shared" si="14"/>
        <v>0.10928013667711173</v>
      </c>
      <c r="AK7" s="120">
        <f t="shared" si="15"/>
        <v>0.10431130453188714</v>
      </c>
      <c r="AL7" s="120">
        <f t="shared" si="16"/>
        <v>8.2054858965446689E-2</v>
      </c>
      <c r="AM7" s="120">
        <f t="shared" si="17"/>
        <v>9.2562356331580956E-2</v>
      </c>
      <c r="AN7" s="120">
        <f t="shared" ref="AN7:AN13" si="19">+U7/U$5</f>
        <v>9.2093206422668772E-2</v>
      </c>
    </row>
    <row r="8" spans="1:40" x14ac:dyDescent="0.2">
      <c r="A8" s="117" t="s">
        <v>346</v>
      </c>
      <c r="B8" s="84" t="s">
        <v>254</v>
      </c>
      <c r="C8" s="85">
        <f>PL!K11+PL!K17+PL!K25</f>
        <v>91994.864864864794</v>
      </c>
      <c r="D8" s="85">
        <f>PL!L11+PL!L17+PL!L25</f>
        <v>121490.87559220915</v>
      </c>
      <c r="E8" s="85">
        <f>PL!M11+PL!M17+PL!M25</f>
        <v>104033.60191374572</v>
      </c>
      <c r="F8" s="85">
        <f>PL!N11+PL!N17+PL!N25</f>
        <v>137542.30223214155</v>
      </c>
      <c r="G8" s="85">
        <f>PL!O11+PL!O17+PL!O25</f>
        <v>141883.94101049152</v>
      </c>
      <c r="H8" s="85">
        <f>PL!P11+PL!P17+PL!P25</f>
        <v>104091.30175119807</v>
      </c>
      <c r="I8" s="85">
        <f>PL!Q11+PL!Q17+PL!Q25</f>
        <v>123041.0246767488</v>
      </c>
      <c r="J8" s="85">
        <f>PL!R11+PL!R17+PL!R25</f>
        <v>102592.15014646895</v>
      </c>
      <c r="K8" s="85">
        <f>PL!S11+PL!S17+PL!S25</f>
        <v>102501.30890970911</v>
      </c>
      <c r="L8" s="85">
        <f>PL!T11+PL!T17+PL!T25</f>
        <v>104746.17262627899</v>
      </c>
      <c r="M8" s="85">
        <f>PL!U11+PL!U17+PL!U25</f>
        <v>138499.85869476755</v>
      </c>
      <c r="N8" s="241">
        <f>PL!V11+PL!V17+PL!V25</f>
        <v>118367.44424551148</v>
      </c>
      <c r="O8" s="241">
        <f>PL!W11+PL!W17+PL!W25</f>
        <v>129634.83944797693</v>
      </c>
      <c r="P8" s="241">
        <f>PL!X11+PL!X17+PL!X25</f>
        <v>131832.50049101043</v>
      </c>
      <c r="Q8" s="241">
        <f>PL!Y11+PL!Y17+PL!Y25</f>
        <v>118720.31859557188</v>
      </c>
      <c r="R8" s="241">
        <f>PL!Z11+PL!Z17+PL!Z25</f>
        <v>130367.64002396801</v>
      </c>
      <c r="S8" s="241">
        <f>PL!AA11+PL!AA17+PL!AA25</f>
        <v>113842.17608294527</v>
      </c>
      <c r="T8" s="241">
        <f>PL!AB11+PL!AB17+PL!AB25</f>
        <v>122896.49308795577</v>
      </c>
      <c r="U8" s="118">
        <f>PL!AC11+PL!AC17+PL!AC25</f>
        <v>133740.31587057008</v>
      </c>
      <c r="V8" s="119">
        <f t="shared" si="0"/>
        <v>0.22652717892991725</v>
      </c>
      <c r="W8" s="120">
        <f t="shared" si="1"/>
        <v>0.25086482278628464</v>
      </c>
      <c r="X8" s="120">
        <f t="shared" si="2"/>
        <v>0.24982446454437199</v>
      </c>
      <c r="Y8" s="120">
        <f t="shared" si="3"/>
        <v>0.18742187051992537</v>
      </c>
      <c r="Z8" s="120">
        <f t="shared" si="4"/>
        <v>0.25861243728498517</v>
      </c>
      <c r="AA8" s="120">
        <f t="shared" si="5"/>
        <v>0.23898857710049723</v>
      </c>
      <c r="AB8" s="120">
        <f t="shared" si="6"/>
        <v>0.27500621896127686</v>
      </c>
      <c r="AC8" s="120">
        <f t="shared" si="7"/>
        <v>0.29779437509479495</v>
      </c>
      <c r="AD8" s="120">
        <f t="shared" si="8"/>
        <v>0.24417494989630839</v>
      </c>
      <c r="AE8" s="120">
        <f t="shared" si="9"/>
        <v>0.27687309569818885</v>
      </c>
      <c r="AF8" s="120">
        <f t="shared" si="10"/>
        <v>0.3054136696654085</v>
      </c>
      <c r="AG8" s="120">
        <f t="shared" si="11"/>
        <v>0.22212447141397493</v>
      </c>
      <c r="AH8" s="120">
        <f t="shared" si="12"/>
        <v>0.27151101082507989</v>
      </c>
      <c r="AI8" s="120">
        <f t="shared" si="13"/>
        <v>0.26694556811329623</v>
      </c>
      <c r="AJ8" s="120">
        <f t="shared" si="14"/>
        <v>0.23892136271302505</v>
      </c>
      <c r="AK8" s="120">
        <f t="shared" si="15"/>
        <v>0.26694509978072872</v>
      </c>
      <c r="AL8" s="120">
        <f t="shared" si="16"/>
        <v>0.21028076010650251</v>
      </c>
      <c r="AM8" s="120">
        <f t="shared" si="17"/>
        <v>0.23299637176596272</v>
      </c>
      <c r="AN8" s="120">
        <f t="shared" si="19"/>
        <v>0.24656850551959286</v>
      </c>
    </row>
    <row r="9" spans="1:40" x14ac:dyDescent="0.2">
      <c r="A9" s="117" t="s">
        <v>369</v>
      </c>
      <c r="B9" s="84" t="s">
        <v>254</v>
      </c>
      <c r="C9" s="85">
        <f>PL!K13+PL!K18+PL!K19+PL!K24+PL!K26+PL!K14*0.5</f>
        <v>29759.151102321852</v>
      </c>
      <c r="D9" s="85">
        <f>PL!L13+PL!L18+PL!L19+PL!L24+PL!L26+PL!L14*0.5</f>
        <v>26857.694332339008</v>
      </c>
      <c r="E9" s="85">
        <f>PL!M13+PL!M18+PL!M19+PL!M24+PL!M26+PL!M14*0.5</f>
        <v>30071.266552039546</v>
      </c>
      <c r="F9" s="85">
        <f>PL!N13+PL!N18+PL!N19+PL!N24+PL!N26+PL!N14*0.5</f>
        <v>48198.037070597158</v>
      </c>
      <c r="G9" s="85">
        <f>PL!O13+PL!O18+PL!O19+PL!O24+PL!O26+PL!O14*0.5</f>
        <v>30635.94568315757</v>
      </c>
      <c r="H9" s="85">
        <f>PL!P13+PL!P18+PL!P19+PL!P24+PL!P26+PL!P14*0.5</f>
        <v>30736.095808551621</v>
      </c>
      <c r="I9" s="85">
        <f>PL!Q13+PL!Q18+PL!Q19+PL!Q24+PL!Q26+PL!Q14*0.5</f>
        <v>43031.29143933118</v>
      </c>
      <c r="J9" s="85">
        <f>PL!R13+PL!R18+PL!R19+PL!R24+PL!R26+PL!R14*0.5</f>
        <v>20260.501862866357</v>
      </c>
      <c r="K9" s="85">
        <f>PL!S13+PL!S18+PL!S19+PL!S24+PL!S26+PL!S14*0.5</f>
        <v>20498.027558218197</v>
      </c>
      <c r="L9" s="85">
        <f>PL!T13+PL!T18+PL!T19+PL!T24+PL!T26+PL!T14*0.5</f>
        <v>23776.540752816378</v>
      </c>
      <c r="M9" s="85">
        <f>PL!U13+PL!U18+PL!U19+PL!U24+PL!U26+PL!U14*0.5</f>
        <v>32395.381937860555</v>
      </c>
      <c r="N9" s="241">
        <f>PL!V13+PL!V18+PL!V19+PL!V24+PL!V26+PL!V14*0.5</f>
        <v>54518.079889836852</v>
      </c>
      <c r="O9" s="241">
        <f>PL!W13+PL!W18+PL!W19+PL!W24+PL!W26+PL!W14*0.5</f>
        <v>30432.758689592105</v>
      </c>
      <c r="P9" s="241">
        <f>PL!X13+PL!X18+PL!X19+PL!X24+PL!X26+PL!X14*0.5</f>
        <v>31413.371673326434</v>
      </c>
      <c r="Q9" s="241">
        <f>PL!Y13+PL!Y18+PL!Y19+PL!Y24+PL!Y26+PL!Y14*0.5</f>
        <v>31067.660816599742</v>
      </c>
      <c r="R9" s="241">
        <f>PL!Z13+PL!Z18+PL!Z19+PL!Z24+PL!Z26+PL!Z14*0.5</f>
        <v>40601.451054785335</v>
      </c>
      <c r="S9" s="241">
        <f>PL!AA13+PL!AA18+PL!AA19+PL!AA24+PL!AA26+PL!AA14*0.5</f>
        <v>52188.931947983503</v>
      </c>
      <c r="T9" s="241">
        <f>PL!AB13+PL!AB18+PL!AB19+PL!AB24+PL!AB26+PL!AB14*0.5</f>
        <v>36736.13435285983</v>
      </c>
      <c r="U9" s="118">
        <f>PL!AC13+PL!AC18+PL!AC19+PL!AC24+PL!AC26+PL!AC14*0.5</f>
        <v>40895.99302345491</v>
      </c>
      <c r="V9" s="119">
        <f t="shared" si="0"/>
        <v>7.3278617849600922E-2</v>
      </c>
      <c r="W9" s="120">
        <f t="shared" si="1"/>
        <v>5.5458080257366191E-2</v>
      </c>
      <c r="X9" s="120">
        <f t="shared" si="2"/>
        <v>7.2212611371112664E-2</v>
      </c>
      <c r="Y9" s="120">
        <f t="shared" si="3"/>
        <v>6.5677003485906923E-2</v>
      </c>
      <c r="Z9" s="120">
        <f t="shared" si="4"/>
        <v>5.584026300105345E-2</v>
      </c>
      <c r="AA9" s="120">
        <f t="shared" si="5"/>
        <v>7.0568584303690507E-2</v>
      </c>
      <c r="AB9" s="120">
        <f t="shared" si="6"/>
        <v>9.6178268889104024E-2</v>
      </c>
      <c r="AC9" s="120">
        <f t="shared" si="7"/>
        <v>5.8810186576120582E-2</v>
      </c>
      <c r="AD9" s="120">
        <f t="shared" si="8"/>
        <v>4.8829667691462859E-2</v>
      </c>
      <c r="AE9" s="120">
        <f t="shared" si="9"/>
        <v>6.2847971225774749E-2</v>
      </c>
      <c r="AF9" s="120">
        <f t="shared" si="10"/>
        <v>7.1436841676924212E-2</v>
      </c>
      <c r="AG9" s="120">
        <f t="shared" si="11"/>
        <v>0.10230684421062064</v>
      </c>
      <c r="AH9" s="120">
        <f t="shared" si="12"/>
        <v>6.3739262602495059E-2</v>
      </c>
      <c r="AI9" s="120">
        <f t="shared" si="13"/>
        <v>6.360844493169622E-2</v>
      </c>
      <c r="AJ9" s="120">
        <f t="shared" si="14"/>
        <v>6.2522809460224288E-2</v>
      </c>
      <c r="AK9" s="120">
        <f t="shared" si="15"/>
        <v>8.3136876613471106E-2</v>
      </c>
      <c r="AL9" s="120">
        <f t="shared" si="16"/>
        <v>9.6399494956707632E-2</v>
      </c>
      <c r="AM9" s="120">
        <f t="shared" si="17"/>
        <v>6.9647113614522901E-2</v>
      </c>
      <c r="AN9" s="120">
        <f t="shared" si="19"/>
        <v>7.5397338610233622E-2</v>
      </c>
    </row>
    <row r="10" spans="1:40" x14ac:dyDescent="0.2">
      <c r="A10" s="117" t="s">
        <v>370</v>
      </c>
      <c r="B10" s="84" t="s">
        <v>254</v>
      </c>
      <c r="C10" s="85">
        <f>PL!K14*0.5+PL!K20+PL!K21+PL!K22+PL!K23+PL!K27</f>
        <v>37538.546107082766</v>
      </c>
      <c r="D10" s="85">
        <f>PL!L14*0.5+PL!L20+PL!L21+PL!L22+PL!L23+PL!L27</f>
        <v>37627.653974381472</v>
      </c>
      <c r="E10" s="85">
        <f>PL!M14*0.5+PL!M20+PL!M21+PL!M22+PL!M23+PL!M27</f>
        <v>36720.983953218834</v>
      </c>
      <c r="F10" s="85">
        <f>PL!N14*0.5+PL!N20+PL!N21+PL!N22+PL!N23+PL!N27</f>
        <v>51182.486252676092</v>
      </c>
      <c r="G10" s="85">
        <f>PL!O14*0.5+PL!O20+PL!O21+PL!O22+PL!O23+PL!O27</f>
        <v>40626.809470752334</v>
      </c>
      <c r="H10" s="85">
        <f>PL!P14*0.5+PL!P20+PL!P21+PL!P22+PL!P23+PL!P27</f>
        <v>44899.943465163931</v>
      </c>
      <c r="I10" s="85">
        <f>PL!Q14*0.5+PL!Q20+PL!Q21+PL!Q22+PL!Q23+PL!Q27</f>
        <v>56967.162725955044</v>
      </c>
      <c r="J10" s="85">
        <f>PL!R14*0.5+PL!R20+PL!R21+PL!R22+PL!R23+PL!R27</f>
        <v>31360.441844090696</v>
      </c>
      <c r="K10" s="85">
        <f>PL!S14*0.5+PL!S20+PL!S21+PL!S22+PL!S23+PL!S27</f>
        <v>34237.084737368641</v>
      </c>
      <c r="L10" s="85">
        <f>PL!T14*0.5+PL!T20+PL!T21+PL!T22+PL!T23+PL!T27</f>
        <v>34160.759666312471</v>
      </c>
      <c r="M10" s="85">
        <f>PL!U14*0.5+PL!U20+PL!U21+PL!U22+PL!U23+PL!U27</f>
        <v>48150.415825976015</v>
      </c>
      <c r="N10" s="241">
        <f>PL!V14*0.5+PL!V20+PL!V21+PL!V22+PL!V23+PL!V27</f>
        <v>76007.344702956616</v>
      </c>
      <c r="O10" s="241">
        <f>PL!W14*0.5+PL!W20+PL!W21+PL!W22+PL!W23+PL!W27</f>
        <v>44599.582697235812</v>
      </c>
      <c r="P10" s="241">
        <f>PL!X14*0.5+PL!X20+PL!X21+PL!X22+PL!X23+PL!X27</f>
        <v>45217.294822136559</v>
      </c>
      <c r="Q10" s="241">
        <f>PL!Y14*0.5+PL!Y20+PL!Y21+PL!Y22+PL!Y23+PL!Y27</f>
        <v>49354.960223057322</v>
      </c>
      <c r="R10" s="241">
        <f>PL!Z14*0.5+PL!Z20+PL!Z21+PL!Z22+PL!Z23+PL!Z27</f>
        <v>55194.419117345649</v>
      </c>
      <c r="S10" s="241">
        <f>PL!AA14*0.5+PL!AA20+PL!AA21+PL!AA22+PL!AA23+PL!AA27</f>
        <v>72327.488577453682</v>
      </c>
      <c r="T10" s="241">
        <f>PL!AB14*0.5+PL!AB20+PL!AB21+PL!AB22+PL!AB23+PL!AB27</f>
        <v>54339.772334542911</v>
      </c>
      <c r="U10" s="118">
        <f>PL!AC14*0.5+PL!AC20+PL!AC21+PL!AC22+PL!AC23+PL!AC27</f>
        <v>60584.884651600776</v>
      </c>
      <c r="V10" s="119">
        <f t="shared" si="0"/>
        <v>9.2434517548987585E-2</v>
      </c>
      <c r="W10" s="120">
        <f t="shared" si="1"/>
        <v>7.7696820441321854E-2</v>
      </c>
      <c r="X10" s="120">
        <f t="shared" si="2"/>
        <v>8.8181125952568384E-2</v>
      </c>
      <c r="Y10" s="120">
        <f t="shared" si="3"/>
        <v>6.9743759960819135E-2</v>
      </c>
      <c r="Z10" s="120">
        <f t="shared" si="4"/>
        <v>7.4050651127368083E-2</v>
      </c>
      <c r="AA10" s="120">
        <f t="shared" si="5"/>
        <v>0.10308809112869789</v>
      </c>
      <c r="AB10" s="120">
        <f t="shared" si="6"/>
        <v>0.12732602046654742</v>
      </c>
      <c r="AC10" s="120">
        <f t="shared" si="7"/>
        <v>9.1029997600445847E-2</v>
      </c>
      <c r="AD10" s="120">
        <f t="shared" si="8"/>
        <v>8.1558358027472896E-2</v>
      </c>
      <c r="AE10" s="120">
        <f t="shared" si="9"/>
        <v>9.0296332964445392E-2</v>
      </c>
      <c r="AF10" s="120">
        <f t="shared" si="10"/>
        <v>0.10617913499634692</v>
      </c>
      <c r="AG10" s="120">
        <f t="shared" si="11"/>
        <v>0.14263289516250779</v>
      </c>
      <c r="AH10" s="120">
        <f t="shared" si="12"/>
        <v>9.3410674414903319E-2</v>
      </c>
      <c r="AI10" s="120">
        <f t="shared" si="13"/>
        <v>9.155979299402528E-2</v>
      </c>
      <c r="AJ10" s="120">
        <f t="shared" si="14"/>
        <v>9.9325494512106427E-2</v>
      </c>
      <c r="AK10" s="120">
        <f t="shared" si="15"/>
        <v>0.11301792159396597</v>
      </c>
      <c r="AL10" s="120">
        <f t="shared" si="16"/>
        <v>0.13359793178566812</v>
      </c>
      <c r="AM10" s="120">
        <f t="shared" si="17"/>
        <v>0.10302140832835327</v>
      </c>
      <c r="AN10" s="120">
        <f t="shared" si="19"/>
        <v>0.11169649457145736</v>
      </c>
    </row>
    <row r="11" spans="1:40" x14ac:dyDescent="0.2">
      <c r="A11" s="121" t="s">
        <v>69</v>
      </c>
      <c r="B11" s="122" t="s">
        <v>254</v>
      </c>
      <c r="C11" s="123">
        <f>PL!K42</f>
        <v>14275.1929978751</v>
      </c>
      <c r="D11" s="123">
        <f>PL!L42</f>
        <v>16172.223197052139</v>
      </c>
      <c r="E11" s="123">
        <f>PL!M42</f>
        <v>15611.055939696322</v>
      </c>
      <c r="F11" s="123">
        <f>PL!N42</f>
        <v>29989.665620941669</v>
      </c>
      <c r="G11" s="123">
        <f>PL!O42</f>
        <v>14528.430940357735</v>
      </c>
      <c r="H11" s="123">
        <f>PL!P42</f>
        <v>8874.1776438745437</v>
      </c>
      <c r="I11" s="123">
        <f>PL!Q28</f>
        <v>189.43328614985074</v>
      </c>
      <c r="J11" s="123">
        <f>PL!R28</f>
        <v>11266.355704716734</v>
      </c>
      <c r="K11" s="123">
        <f>PL!S28</f>
        <v>15460.30983469151</v>
      </c>
      <c r="L11" s="123">
        <f>PL!T28</f>
        <v>19089.618807152841</v>
      </c>
      <c r="M11" s="123">
        <f>PL!U28</f>
        <v>17127.573960358695</v>
      </c>
      <c r="N11" s="242">
        <f>PL!V28</f>
        <v>22155.893111532238</v>
      </c>
      <c r="O11" s="242">
        <f>PL!W28</f>
        <v>20320.520657159497</v>
      </c>
      <c r="P11" s="242">
        <f>PL!X28</f>
        <v>18783.872203889347</v>
      </c>
      <c r="Q11" s="242">
        <f>PL!Y28</f>
        <v>23903.87237241786</v>
      </c>
      <c r="R11" s="242">
        <f>PL!Z28</f>
        <v>19234.433819077665</v>
      </c>
      <c r="S11" s="242">
        <f>PL!AA28</f>
        <v>24612.228538792726</v>
      </c>
      <c r="T11" s="242">
        <f>PL!AB28</f>
        <v>19511.056505961638</v>
      </c>
      <c r="U11" s="124">
        <f>PL!AC28</f>
        <v>19347.807824002739</v>
      </c>
      <c r="V11" s="125">
        <f t="shared" si="0"/>
        <v>3.5151083739716378E-2</v>
      </c>
      <c r="W11" s="126">
        <f t="shared" si="1"/>
        <v>3.3393799218357861E-2</v>
      </c>
      <c r="X11" s="126">
        <f t="shared" si="2"/>
        <v>3.7488115564242232E-2</v>
      </c>
      <c r="Y11" s="126">
        <f t="shared" si="3"/>
        <v>4.0865385672092594E-2</v>
      </c>
      <c r="Z11" s="126">
        <f t="shared" si="4"/>
        <v>2.6481030260744429E-2</v>
      </c>
      <c r="AA11" s="126">
        <f t="shared" si="5"/>
        <v>2.0374681192054645E-2</v>
      </c>
      <c r="AB11" s="126">
        <f t="shared" si="6"/>
        <v>4.2339806504654851E-4</v>
      </c>
      <c r="AC11" s="126">
        <f t="shared" si="7"/>
        <v>3.2702866173404531E-2</v>
      </c>
      <c r="AD11" s="126">
        <f t="shared" si="8"/>
        <v>3.6828996814006795E-2</v>
      </c>
      <c r="AE11" s="126">
        <f t="shared" si="9"/>
        <v>5.0459140628387598E-2</v>
      </c>
      <c r="AF11" s="126">
        <f t="shared" si="10"/>
        <v>3.7768957058845483E-2</v>
      </c>
      <c r="AG11" s="126">
        <f t="shared" si="11"/>
        <v>4.1577023796306609E-2</v>
      </c>
      <c r="AH11" s="126">
        <f t="shared" si="12"/>
        <v>4.2559894605580843E-2</v>
      </c>
      <c r="AI11" s="126">
        <f t="shared" si="13"/>
        <v>3.803516900733226E-2</v>
      </c>
      <c r="AJ11" s="126">
        <f t="shared" si="14"/>
        <v>4.8105883044263699E-2</v>
      </c>
      <c r="AK11" s="126">
        <f t="shared" si="15"/>
        <v>3.9385064070466637E-2</v>
      </c>
      <c r="AL11" s="126">
        <f t="shared" si="16"/>
        <v>4.5461869257325524E-2</v>
      </c>
      <c r="AM11" s="126">
        <f t="shared" si="17"/>
        <v>3.699052154365555E-2</v>
      </c>
      <c r="AN11" s="126">
        <f t="shared" si="19"/>
        <v>3.567032146732365E-2</v>
      </c>
    </row>
    <row r="12" spans="1:40" x14ac:dyDescent="0.2">
      <c r="A12" s="112" t="s">
        <v>311</v>
      </c>
      <c r="B12" s="79" t="s">
        <v>254</v>
      </c>
      <c r="C12" s="92">
        <f>+PL!K34</f>
        <v>13352.649967040199</v>
      </c>
      <c r="D12" s="92">
        <f>+PL!L34</f>
        <v>16288.647131075628</v>
      </c>
      <c r="E12" s="92">
        <f>+PL!M34</f>
        <v>14215.91183382935</v>
      </c>
      <c r="F12" s="92">
        <f>+PL!N34</f>
        <v>30782.277270524366</v>
      </c>
      <c r="G12" s="92">
        <f>+PL!O34</f>
        <v>15900.586610850854</v>
      </c>
      <c r="H12" s="92">
        <f>+PL!P34</f>
        <v>10319.69872265439</v>
      </c>
      <c r="I12" s="92">
        <f>+PL!Q34</f>
        <v>3721.8057469202972</v>
      </c>
      <c r="J12" s="92">
        <f>+PL!R34</f>
        <v>13461.730876041527</v>
      </c>
      <c r="K12" s="92">
        <f>+PL!S34</f>
        <v>15174.711737890315</v>
      </c>
      <c r="L12" s="92">
        <f>+PL!T34</f>
        <v>20734.977222637892</v>
      </c>
      <c r="M12" s="92">
        <f>+PL!U34</f>
        <v>19681.508170292218</v>
      </c>
      <c r="N12" s="243">
        <f>+PL!V34</f>
        <v>28070.766032345389</v>
      </c>
      <c r="O12" s="243">
        <f>+PL!W34</f>
        <v>22767.58050310929</v>
      </c>
      <c r="P12" s="243">
        <f>+PL!X34</f>
        <v>19737.228932195911</v>
      </c>
      <c r="Q12" s="243">
        <f>+PL!Y34</f>
        <v>26426.612312332018</v>
      </c>
      <c r="R12" s="243">
        <f>+PL!Z34</f>
        <v>21488.346085337296</v>
      </c>
      <c r="S12" s="243">
        <f>+PL!AA34</f>
        <v>27455.862314383623</v>
      </c>
      <c r="T12" s="243">
        <f>+PL!AB34</f>
        <v>26313.929065146018</v>
      </c>
      <c r="U12" s="127">
        <f>+PL!AC34</f>
        <v>24716.111282314676</v>
      </c>
      <c r="V12" s="128">
        <f t="shared" si="0"/>
        <v>3.2879423571255166E-2</v>
      </c>
      <c r="W12" s="129">
        <f t="shared" si="1"/>
        <v>3.3634201383825155E-2</v>
      </c>
      <c r="X12" s="129">
        <f t="shared" si="2"/>
        <v>3.4137841010647249E-2</v>
      </c>
      <c r="Y12" s="129">
        <f t="shared" si="3"/>
        <v>4.1945437085729308E-2</v>
      </c>
      <c r="Z12" s="129">
        <f t="shared" si="4"/>
        <v>2.8982063991224181E-2</v>
      </c>
      <c r="AA12" s="129">
        <f t="shared" si="5"/>
        <v>2.3693527435443038E-2</v>
      </c>
      <c r="AB12" s="129">
        <f t="shared" si="6"/>
        <v>8.3185240764848539E-3</v>
      </c>
      <c r="AC12" s="129">
        <f t="shared" si="7"/>
        <v>3.9075384697579325E-2</v>
      </c>
      <c r="AD12" s="129">
        <f t="shared" si="8"/>
        <v>3.6148655248433803E-2</v>
      </c>
      <c r="AE12" s="129">
        <f t="shared" si="9"/>
        <v>5.4808277848453636E-2</v>
      </c>
      <c r="AF12" s="129">
        <f t="shared" si="10"/>
        <v>4.3400778105384147E-2</v>
      </c>
      <c r="AG12" s="129">
        <f t="shared" si="11"/>
        <v>5.2676680711187376E-2</v>
      </c>
      <c r="AH12" s="129">
        <f t="shared" si="12"/>
        <v>4.7685088536105369E-2</v>
      </c>
      <c r="AI12" s="129">
        <f t="shared" si="13"/>
        <v>3.9965606134023821E-2</v>
      </c>
      <c r="AJ12" s="129">
        <f t="shared" si="14"/>
        <v>5.3182827507899488E-2</v>
      </c>
      <c r="AK12" s="129">
        <f t="shared" si="15"/>
        <v>4.4000249516050131E-2</v>
      </c>
      <c r="AL12" s="129">
        <f t="shared" si="16"/>
        <v>5.0714417059645321E-2</v>
      </c>
      <c r="AM12" s="129">
        <f t="shared" si="17"/>
        <v>4.9887916612055022E-2</v>
      </c>
      <c r="AN12" s="129">
        <f t="shared" si="19"/>
        <v>4.5567520769384744E-2</v>
      </c>
    </row>
    <row r="13" spans="1:40" x14ac:dyDescent="0.2">
      <c r="A13" s="112" t="s">
        <v>312</v>
      </c>
      <c r="B13" s="79" t="s">
        <v>254</v>
      </c>
      <c r="C13" s="92">
        <f>PL!K38</f>
        <v>5517.7470153079903</v>
      </c>
      <c r="D13" s="92">
        <f>PL!L38</f>
        <v>9127.4785050008759</v>
      </c>
      <c r="E13" s="92">
        <f>PL!M38</f>
        <v>3577.1446193826596</v>
      </c>
      <c r="F13" s="92">
        <f>PL!N38</f>
        <v>17079.226625996056</v>
      </c>
      <c r="G13" s="92">
        <f>PL!O38</f>
        <v>6659.4918801793892</v>
      </c>
      <c r="H13" s="92">
        <f>PL!P38</f>
        <v>2463.6837859254802</v>
      </c>
      <c r="I13" s="92">
        <f>PL!Q38</f>
        <v>-1797.7817804879176</v>
      </c>
      <c r="J13" s="92">
        <f>PL!R38</f>
        <v>4677.0994597093013</v>
      </c>
      <c r="K13" s="92">
        <f>PL!S38</f>
        <v>18330.605961998706</v>
      </c>
      <c r="L13" s="92">
        <f>PL!T38</f>
        <v>12258.669644283404</v>
      </c>
      <c r="M13" s="92">
        <f>PL!U38</f>
        <v>11457.792954600152</v>
      </c>
      <c r="N13" s="243">
        <f>PL!V38</f>
        <v>17642.907715193411</v>
      </c>
      <c r="O13" s="243">
        <f>PL!W38</f>
        <v>13084.615362251294</v>
      </c>
      <c r="P13" s="243">
        <f>PL!X38</f>
        <v>14263.983767058991</v>
      </c>
      <c r="Q13" s="243">
        <f>PL!Y38</f>
        <v>9870.8653483552771</v>
      </c>
      <c r="R13" s="243">
        <f>PL!Z38</f>
        <v>14249.19386772373</v>
      </c>
      <c r="S13" s="243">
        <f>PL!AA38</f>
        <v>16846.532554257094</v>
      </c>
      <c r="T13" s="243">
        <f>PL!AB38</f>
        <v>17523.236305512357</v>
      </c>
      <c r="U13" s="127">
        <f>PL!AC38</f>
        <v>18128.290960451977</v>
      </c>
      <c r="V13" s="128">
        <f t="shared" si="0"/>
        <v>1.3586841692335226E-2</v>
      </c>
      <c r="W13" s="129">
        <f t="shared" si="1"/>
        <v>1.8847203680779981E-2</v>
      </c>
      <c r="X13" s="129">
        <f t="shared" si="2"/>
        <v>8.5900922653431386E-3</v>
      </c>
      <c r="Y13" s="129">
        <f t="shared" si="3"/>
        <v>2.3272989831704772E-2</v>
      </c>
      <c r="Z13" s="129">
        <f t="shared" si="4"/>
        <v>1.213828297936418E-2</v>
      </c>
      <c r="AA13" s="129">
        <f t="shared" si="5"/>
        <v>5.6564984059018133E-3</v>
      </c>
      <c r="AB13" s="129">
        <f t="shared" si="6"/>
        <v>-4.0181815070894963E-3</v>
      </c>
      <c r="AC13" s="129">
        <f t="shared" si="7"/>
        <v>1.357622302361184E-2</v>
      </c>
      <c r="AD13" s="129">
        <f t="shared" si="8"/>
        <v>4.3666513529916913E-2</v>
      </c>
      <c r="AE13" s="129">
        <f t="shared" si="9"/>
        <v>3.240305329020339E-2</v>
      </c>
      <c r="AF13" s="129">
        <f t="shared" si="10"/>
        <v>2.5266210561578715E-2</v>
      </c>
      <c r="AG13" s="129">
        <f t="shared" si="11"/>
        <v>3.3108103122632751E-2</v>
      </c>
      <c r="AH13" s="129">
        <f t="shared" si="12"/>
        <v>2.7404802276843949E-2</v>
      </c>
      <c r="AI13" s="129">
        <f t="shared" si="13"/>
        <v>2.8882917611928651E-2</v>
      </c>
      <c r="AJ13" s="129">
        <f t="shared" si="14"/>
        <v>1.9864843929704425E-2</v>
      </c>
      <c r="AK13" s="129">
        <f t="shared" si="15"/>
        <v>2.9177121547303776E-2</v>
      </c>
      <c r="AL13" s="129">
        <f t="shared" si="16"/>
        <v>3.1117655973890195E-2</v>
      </c>
      <c r="AM13" s="129">
        <f t="shared" si="17"/>
        <v>3.3221863197185925E-2</v>
      </c>
      <c r="AN13" s="129">
        <f t="shared" si="19"/>
        <v>3.3421975869032582E-2</v>
      </c>
    </row>
    <row r="14" spans="1:40" x14ac:dyDescent="0.2">
      <c r="A14" s="112" t="s">
        <v>317</v>
      </c>
      <c r="B14" s="79" t="s">
        <v>318</v>
      </c>
      <c r="C14" s="102">
        <f>PL!K5</f>
        <v>27.136819746575799</v>
      </c>
      <c r="D14" s="102">
        <f>PL!L5</f>
        <v>28.864713107562729</v>
      </c>
      <c r="E14" s="102">
        <f>PL!M5</f>
        <v>27.245225161506383</v>
      </c>
      <c r="F14" s="102">
        <f>PL!N5</f>
        <v>44.514729278154569</v>
      </c>
      <c r="G14" s="102">
        <f>PL!O5</f>
        <v>31.859551816157666</v>
      </c>
      <c r="H14" s="102">
        <f>PL!P5</f>
        <v>25.113564474086207</v>
      </c>
      <c r="I14" s="102">
        <f>PL!Q5</f>
        <v>29.938145678231695</v>
      </c>
      <c r="J14" s="102">
        <f>PL!R5</f>
        <v>23.598707218075045</v>
      </c>
      <c r="K14" s="102">
        <f>PL!S5</f>
        <v>24.10675612319605</v>
      </c>
      <c r="L14" s="102">
        <f>PL!T5</f>
        <v>27.825857428271824</v>
      </c>
      <c r="M14" s="102">
        <f>PL!U5</f>
        <v>27.890840815536151</v>
      </c>
      <c r="N14" s="247">
        <f>PL!V5</f>
        <v>29.91593372801378</v>
      </c>
      <c r="O14" s="247">
        <f>PL!W5</f>
        <v>29.012128747338206</v>
      </c>
      <c r="P14" s="247">
        <f>PL!X5</f>
        <v>28.169827847924175</v>
      </c>
      <c r="Q14" s="247">
        <f>PL!Y5</f>
        <v>27.089217565231777</v>
      </c>
      <c r="R14" s="247">
        <f>PL!Z5</f>
        <v>28.901053070980453</v>
      </c>
      <c r="S14" s="247">
        <f>PL!AA5</f>
        <v>28.699938493981197</v>
      </c>
      <c r="T14" s="247">
        <f>PL!AB5</f>
        <v>27.771902540176256</v>
      </c>
      <c r="U14" s="144">
        <f>PL!AC5</f>
        <v>30.704759458996747</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58179.594228374699</v>
      </c>
      <c r="D16" s="82">
        <f>BS!L10</f>
        <v>76549.570100017547</v>
      </c>
      <c r="E16" s="82">
        <f>BS!M10</f>
        <v>44771.665604987807</v>
      </c>
      <c r="F16" s="82">
        <f>BS!N10</f>
        <v>47762.008774262344</v>
      </c>
      <c r="G16" s="82">
        <f>BS!O10</f>
        <v>75899.451914111545</v>
      </c>
      <c r="H16" s="82">
        <f>BS!P10</f>
        <v>82410.752883250447</v>
      </c>
      <c r="I16" s="82">
        <f>BS!Q10</f>
        <v>101856.24785102623</v>
      </c>
      <c r="J16" s="82">
        <f>BS!R10</f>
        <v>79204.041193370285</v>
      </c>
      <c r="K16" s="82">
        <f>BS!S10</f>
        <v>74984.427986110546</v>
      </c>
      <c r="L16" s="82">
        <f>BS!T10</f>
        <v>69394.7103011297</v>
      </c>
      <c r="M16" s="82">
        <f>BS!U10</f>
        <v>120199.87935511704</v>
      </c>
      <c r="N16" s="240">
        <f>BS!V10</f>
        <v>93398.30438521241</v>
      </c>
      <c r="O16" s="240">
        <f>BS!W10</f>
        <v>83388.048199011129</v>
      </c>
      <c r="P16" s="240">
        <f>BS!X10</f>
        <v>112271.3735461492</v>
      </c>
      <c r="Q16" s="240">
        <f>BS!Y10</f>
        <v>87119.799504142051</v>
      </c>
      <c r="R16" s="240">
        <f>BS!Z10</f>
        <v>110137.31407828743</v>
      </c>
      <c r="S16" s="240">
        <f>BS!AA10</f>
        <v>105181.8746155874</v>
      </c>
      <c r="T16" s="240">
        <f>BS!AB10</f>
        <v>134919.24209434941</v>
      </c>
      <c r="U16" s="114">
        <f>BS!AC10</f>
        <v>132104.35293614108</v>
      </c>
      <c r="V16" s="115">
        <f t="shared" ref="V16:V25" si="20">+C16/C$25</f>
        <v>0.17381814967084394</v>
      </c>
      <c r="W16" s="116">
        <f t="shared" ref="W16:W25" si="21">+D16/D$25</f>
        <v>0.19144022725891424</v>
      </c>
      <c r="X16" s="116">
        <f t="shared" ref="X16:X25" si="22">+E16/E$25</f>
        <v>0.1399760109270306</v>
      </c>
      <c r="Y16" s="116">
        <f t="shared" ref="Y16:Y25" si="23">+F16/F$25</f>
        <v>0.10878261151199162</v>
      </c>
      <c r="Z16" s="116">
        <f t="shared" ref="Z16:Z25" si="24">+G16/G$25</f>
        <v>0.18443695616437886</v>
      </c>
      <c r="AA16" s="116">
        <f t="shared" ref="AA16:AA25" si="25">+H16/H$25</f>
        <v>0.22273827418387454</v>
      </c>
      <c r="AB16" s="116">
        <f t="shared" ref="AB16:AB25" si="26">+I16/I$25</f>
        <v>0.22808586881673934</v>
      </c>
      <c r="AC16" s="116">
        <f t="shared" ref="AC16:AC25" si="27">+J16/J$25</f>
        <v>0.23965455806351596</v>
      </c>
      <c r="AD16" s="116">
        <f t="shared" ref="AD16:AD25" si="28">+K16/K$25</f>
        <v>0.21542398285902878</v>
      </c>
      <c r="AE16" s="116">
        <f t="shared" ref="AE16:AE25" si="29">+L16/L$25</f>
        <v>0.22786572024746712</v>
      </c>
      <c r="AF16" s="116">
        <f t="shared" ref="AF16:AF25" si="30">+M16/M$25</f>
        <v>0.26829374215397878</v>
      </c>
      <c r="AG16" s="116">
        <f t="shared" ref="AG16:AG25" si="31">+N16/N$25</f>
        <v>0.18060076119223803</v>
      </c>
      <c r="AH16" s="116">
        <f t="shared" ref="AH16:AH25" si="32">+O16/O$25</f>
        <v>0.20756843944297887</v>
      </c>
      <c r="AI16" s="116">
        <f t="shared" ref="AI16:AI25" si="33">+P16/P$25</f>
        <v>0.23288488964972562</v>
      </c>
      <c r="AJ16" s="116">
        <f t="shared" ref="AJ16:AJ25" si="34">+Q16/Q$25</f>
        <v>0.20567946306184609</v>
      </c>
      <c r="AK16" s="116">
        <f t="shared" ref="AK16:AK25" si="35">+R16/R$25</f>
        <v>0.24468424713916007</v>
      </c>
      <c r="AL16" s="116">
        <f t="shared" ref="AL16:AL25" si="36">+S16/S$25</f>
        <v>0.20884911973885731</v>
      </c>
      <c r="AM16" s="116">
        <f t="shared" ref="AM16:AM25" si="37">+T16/T$25</f>
        <v>0.252549461979588</v>
      </c>
      <c r="AN16" s="116">
        <f t="shared" ref="AN16" si="38">+U16/U$25</f>
        <v>0.24762617178004323</v>
      </c>
    </row>
    <row r="17" spans="1:40" x14ac:dyDescent="0.2">
      <c r="A17" s="131" t="s">
        <v>373</v>
      </c>
      <c r="B17" s="84" t="s">
        <v>254</v>
      </c>
      <c r="C17" s="85">
        <f>BS!K11+BS!K12+BS!K14</f>
        <v>102947.04460558115</v>
      </c>
      <c r="D17" s="85">
        <f>BS!L11+BS!L12+BS!L14</f>
        <v>142406.73802421478</v>
      </c>
      <c r="E17" s="85">
        <f>BS!M11+BS!M12+BS!M14</f>
        <v>86037.969296375319</v>
      </c>
      <c r="F17" s="85">
        <f>BS!N11+BS!N12+BS!N14</f>
        <v>143168.2524350764</v>
      </c>
      <c r="G17" s="85">
        <f>BS!O11+BS!O12+BS!O14</f>
        <v>122842.90149174591</v>
      </c>
      <c r="H17" s="85">
        <f>BS!P11+BS!P12+BS!P14</f>
        <v>114158.51556847582</v>
      </c>
      <c r="I17" s="85">
        <f>BS!Q11+BS!Q12+BS!Q14</f>
        <v>144312.88106708796</v>
      </c>
      <c r="J17" s="85">
        <f>BS!R11+BS!R12+BS!R14</f>
        <v>105678.67223697757</v>
      </c>
      <c r="K17" s="85">
        <f>BS!S11+BS!S12+BS!S14</f>
        <v>127746.25534592794</v>
      </c>
      <c r="L17" s="85">
        <f>BS!T11+BS!T12+BS!T14</f>
        <v>86980.467632545246</v>
      </c>
      <c r="M17" s="85">
        <f>BS!U11+BS!U12+BS!U14</f>
        <v>118971.46578849686</v>
      </c>
      <c r="N17" s="241">
        <f>BS!V11+BS!V12+BS!V14</f>
        <v>162466.16825210408</v>
      </c>
      <c r="O17" s="241">
        <f>BS!W11+BS!W12+BS!W14</f>
        <v>121051.16700879965</v>
      </c>
      <c r="P17" s="241">
        <f>BS!X11+BS!X12+BS!X14</f>
        <v>117280.22175100799</v>
      </c>
      <c r="Q17" s="241">
        <f>BS!Y11+BS!Y12+BS!Y14</f>
        <v>134859.09549451701</v>
      </c>
      <c r="R17" s="241">
        <f>BS!Z11+BS!Z12+BS!Z14</f>
        <v>137162.49871943897</v>
      </c>
      <c r="S17" s="241">
        <f>BS!AA11+BS!AA12+BS!AA14</f>
        <v>145721.55355416925</v>
      </c>
      <c r="T17" s="241">
        <f>BS!AB11+BS!AB12+BS!AB14</f>
        <v>127613.99706238121</v>
      </c>
      <c r="U17" s="118">
        <f>BS!AC11+BS!AC12+BS!AC14</f>
        <v>142289.489470981</v>
      </c>
      <c r="V17" s="119">
        <f t="shared" si="20"/>
        <v>0.30756599534165985</v>
      </c>
      <c r="W17" s="120">
        <f t="shared" si="21"/>
        <v>0.35614018804986197</v>
      </c>
      <c r="X17" s="120">
        <f t="shared" si="22"/>
        <v>0.26899271152036996</v>
      </c>
      <c r="Y17" s="120">
        <f t="shared" si="23"/>
        <v>0.3260795930737358</v>
      </c>
      <c r="Z17" s="120">
        <f t="shared" si="24"/>
        <v>0.2985103352679917</v>
      </c>
      <c r="AA17" s="120">
        <f t="shared" si="25"/>
        <v>0.30854554595730771</v>
      </c>
      <c r="AB17" s="120">
        <f t="shared" si="26"/>
        <v>0.32315866286156247</v>
      </c>
      <c r="AC17" s="120">
        <f t="shared" si="27"/>
        <v>0.31976115246265918</v>
      </c>
      <c r="AD17" s="120">
        <f t="shared" si="28"/>
        <v>0.36700429490565406</v>
      </c>
      <c r="AE17" s="120">
        <f t="shared" si="29"/>
        <v>0.2856106296653676</v>
      </c>
      <c r="AF17" s="120">
        <f t="shared" si="30"/>
        <v>0.26555184528628267</v>
      </c>
      <c r="AG17" s="120">
        <f t="shared" si="31"/>
        <v>0.31415467173044098</v>
      </c>
      <c r="AH17" s="120">
        <f t="shared" si="32"/>
        <v>0.30131898241342836</v>
      </c>
      <c r="AI17" s="120">
        <f t="shared" si="33"/>
        <v>0.24327476041211796</v>
      </c>
      <c r="AJ17" s="120">
        <f t="shared" si="34"/>
        <v>0.31838625098075107</v>
      </c>
      <c r="AK17" s="120">
        <f t="shared" si="35"/>
        <v>0.30472418013604236</v>
      </c>
      <c r="AL17" s="120">
        <f t="shared" si="36"/>
        <v>0.28934470219317493</v>
      </c>
      <c r="AM17" s="120">
        <f t="shared" si="37"/>
        <v>0.23887509149088884</v>
      </c>
      <c r="AN17" s="120">
        <f t="shared" ref="AN17:AN25" si="39">+U17/U$25</f>
        <v>0.26671794516315533</v>
      </c>
    </row>
    <row r="18" spans="1:40" x14ac:dyDescent="0.2">
      <c r="A18" s="131" t="s">
        <v>374</v>
      </c>
      <c r="B18" s="84" t="s">
        <v>254</v>
      </c>
      <c r="C18" s="85">
        <f>BS!K13</f>
        <v>32283.014722039101</v>
      </c>
      <c r="D18" s="85">
        <f>BS!L13</f>
        <v>38822.249517459204</v>
      </c>
      <c r="E18" s="85">
        <f>BS!M13</f>
        <v>24029.989523217049</v>
      </c>
      <c r="F18" s="85">
        <f>BS!N13</f>
        <v>72332.922818576393</v>
      </c>
      <c r="G18" s="85">
        <f>BS!O13</f>
        <v>44043.626692401231</v>
      </c>
      <c r="H18" s="85">
        <f>BS!P13</f>
        <v>40745.342958707173</v>
      </c>
      <c r="I18" s="85">
        <f>BS!Q13</f>
        <v>47148.743742733153</v>
      </c>
      <c r="J18" s="85">
        <f>BS!R13</f>
        <v>36360.768962914946</v>
      </c>
      <c r="K18" s="85">
        <f>BS!S13</f>
        <v>42103.672583234329</v>
      </c>
      <c r="L18" s="85">
        <f>BS!T13</f>
        <v>29670.492519739917</v>
      </c>
      <c r="M18" s="85">
        <f>BS!U13</f>
        <v>41840.793216325379</v>
      </c>
      <c r="N18" s="241">
        <f>BS!V13</f>
        <v>66966.71848150903</v>
      </c>
      <c r="O18" s="241">
        <f>BS!W13</f>
        <v>50210.634976573267</v>
      </c>
      <c r="P18" s="241">
        <f>BS!X13</f>
        <v>46581.337341519196</v>
      </c>
      <c r="Q18" s="241">
        <f>BS!Y13</f>
        <v>54774.806786077999</v>
      </c>
      <c r="R18" s="241">
        <f>BS!Z13</f>
        <v>52826.787361151655</v>
      </c>
      <c r="S18" s="241">
        <f>BS!AA13</f>
        <v>61397.64994288727</v>
      </c>
      <c r="T18" s="241">
        <f>BS!AB13</f>
        <v>70492.818040435464</v>
      </c>
      <c r="U18" s="118">
        <f>BS!AC13</f>
        <v>78244.371169320322</v>
      </c>
      <c r="V18" s="119">
        <f t="shared" si="20"/>
        <v>9.6449175337230769E-2</v>
      </c>
      <c r="W18" s="120">
        <f t="shared" si="21"/>
        <v>9.7089248974410111E-2</v>
      </c>
      <c r="X18" s="120">
        <f t="shared" si="22"/>
        <v>7.5128365912380424E-2</v>
      </c>
      <c r="Y18" s="120">
        <f t="shared" si="23"/>
        <v>0.16474525348565797</v>
      </c>
      <c r="Z18" s="120">
        <f t="shared" si="24"/>
        <v>0.10702676028252531</v>
      </c>
      <c r="AA18" s="120">
        <f t="shared" si="25"/>
        <v>0.11012576701622487</v>
      </c>
      <c r="AB18" s="120">
        <f t="shared" si="26"/>
        <v>0.10557979905079279</v>
      </c>
      <c r="AC18" s="120">
        <f t="shared" si="27"/>
        <v>0.11001994197975835</v>
      </c>
      <c r="AD18" s="120">
        <f t="shared" si="28"/>
        <v>0.12096032582328833</v>
      </c>
      <c r="AE18" s="120">
        <f t="shared" si="29"/>
        <v>9.7426563476806657E-2</v>
      </c>
      <c r="AF18" s="120">
        <f t="shared" si="30"/>
        <v>9.3391299949094814E-2</v>
      </c>
      <c r="AG18" s="120">
        <f t="shared" si="31"/>
        <v>0.12949100534443647</v>
      </c>
      <c r="AH18" s="120">
        <f t="shared" si="32"/>
        <v>0.12498365617882344</v>
      </c>
      <c r="AI18" s="120">
        <f t="shared" si="33"/>
        <v>9.6623825503098781E-2</v>
      </c>
      <c r="AJ18" s="120">
        <f t="shared" si="34"/>
        <v>0.12931679036452845</v>
      </c>
      <c r="AK18" s="120">
        <f t="shared" si="35"/>
        <v>0.11736152095606724</v>
      </c>
      <c r="AL18" s="120">
        <f t="shared" si="36"/>
        <v>0.12191116759870176</v>
      </c>
      <c r="AM18" s="120">
        <f t="shared" si="37"/>
        <v>0.13195244053540811</v>
      </c>
      <c r="AN18" s="120">
        <f t="shared" si="39"/>
        <v>0.14666703757567756</v>
      </c>
    </row>
    <row r="19" spans="1:40" x14ac:dyDescent="0.2">
      <c r="A19" s="131" t="s">
        <v>375</v>
      </c>
      <c r="B19" s="84" t="s">
        <v>254</v>
      </c>
      <c r="C19" s="85">
        <f>BS!K16+BS!K25</f>
        <v>112720.57423276934</v>
      </c>
      <c r="D19" s="85">
        <f>BS!L16+BS!L25</f>
        <v>102264.16915248289</v>
      </c>
      <c r="E19" s="85">
        <f>BS!M16+BS!M25</f>
        <v>119532.86033301713</v>
      </c>
      <c r="F19" s="85">
        <f>BS!N16+BS!N25</f>
        <v>133178.05526453763</v>
      </c>
      <c r="G19" s="85">
        <f>BS!O16+BS!O25</f>
        <v>109250.25055657135</v>
      </c>
      <c r="H19" s="85">
        <f>BS!P16+BS!P25</f>
        <v>104936.74612598179</v>
      </c>
      <c r="I19" s="85">
        <f>BS!Q16+BS!Q25</f>
        <v>107619.35057032245</v>
      </c>
      <c r="J19" s="85">
        <f>BS!R16+BS!R25</f>
        <v>80263.150505966798</v>
      </c>
      <c r="K19" s="85">
        <f>BS!S16+BS!S25</f>
        <v>76569.509222423265</v>
      </c>
      <c r="L19" s="85">
        <f>BS!T16+BS!T25</f>
        <v>89390.693970259221</v>
      </c>
      <c r="M19" s="85">
        <f>BS!U16+BS!U25</f>
        <v>127830.62397733537</v>
      </c>
      <c r="N19" s="241">
        <f>BS!V16+BS!V25</f>
        <v>140022.35090939226</v>
      </c>
      <c r="O19" s="241">
        <f>BS!W16+BS!W25</f>
        <v>107247.89086740121</v>
      </c>
      <c r="P19" s="241">
        <f>BS!X16+BS!X25</f>
        <v>118574.81450855004</v>
      </c>
      <c r="Q19" s="241">
        <f>BS!Y16+BS!Y25</f>
        <v>90618.380382258343</v>
      </c>
      <c r="R19" s="241">
        <f>BS!Z16+BS!Z25</f>
        <v>108576.58561547589</v>
      </c>
      <c r="S19" s="241">
        <f>BS!AA16+BS!AA25</f>
        <v>120331.4183287936</v>
      </c>
      <c r="T19" s="241">
        <f>BS!AB16+BS!AB25</f>
        <v>130390.93597719024</v>
      </c>
      <c r="U19" s="118">
        <f>BS!AC16+BS!AC25</f>
        <v>123426.75303886321</v>
      </c>
      <c r="V19" s="119">
        <f t="shared" si="20"/>
        <v>0.33676552583138086</v>
      </c>
      <c r="W19" s="120">
        <f t="shared" si="21"/>
        <v>0.25574899711933047</v>
      </c>
      <c r="X19" s="120">
        <f t="shared" si="22"/>
        <v>0.37371254202902882</v>
      </c>
      <c r="Y19" s="120">
        <f t="shared" si="23"/>
        <v>0.30332594921283224</v>
      </c>
      <c r="Z19" s="120">
        <f t="shared" si="24"/>
        <v>0.26547996282834058</v>
      </c>
      <c r="AA19" s="120">
        <f t="shared" si="25"/>
        <v>0.28362111633278253</v>
      </c>
      <c r="AB19" s="120">
        <f t="shared" si="26"/>
        <v>0.24099113794400326</v>
      </c>
      <c r="AC19" s="120">
        <f t="shared" si="27"/>
        <v>0.24285919725145322</v>
      </c>
      <c r="AD19" s="120">
        <f t="shared" si="28"/>
        <v>0.21997778852578467</v>
      </c>
      <c r="AE19" s="120">
        <f t="shared" si="29"/>
        <v>0.29352489226577888</v>
      </c>
      <c r="AF19" s="120">
        <f t="shared" si="30"/>
        <v>0.28532604735345274</v>
      </c>
      <c r="AG19" s="120">
        <f t="shared" si="31"/>
        <v>0.27075591280398803</v>
      </c>
      <c r="AH19" s="120">
        <f t="shared" si="32"/>
        <v>0.26696004789282696</v>
      </c>
      <c r="AI19" s="120">
        <f t="shared" si="33"/>
        <v>0.24596013854510737</v>
      </c>
      <c r="AJ19" s="120">
        <f t="shared" si="34"/>
        <v>0.21393919552892079</v>
      </c>
      <c r="AK19" s="120">
        <f t="shared" si="35"/>
        <v>0.24121688757889109</v>
      </c>
      <c r="AL19" s="120">
        <f t="shared" si="36"/>
        <v>0.23893005222377398</v>
      </c>
      <c r="AM19" s="120">
        <f t="shared" si="37"/>
        <v>0.24407312268346529</v>
      </c>
      <c r="AN19" s="120">
        <f t="shared" si="39"/>
        <v>0.23136023659287691</v>
      </c>
    </row>
    <row r="20" spans="1:40" x14ac:dyDescent="0.2">
      <c r="A20" s="136" t="s">
        <v>376</v>
      </c>
      <c r="B20" s="89" t="s">
        <v>254</v>
      </c>
      <c r="C20" s="90">
        <f>BS!K27+BS!K28</f>
        <v>28585.072877755789</v>
      </c>
      <c r="D20" s="90">
        <f>BS!L27+BS!L28</f>
        <v>39818.740129847341</v>
      </c>
      <c r="E20" s="90">
        <f>BS!M27+BS!M28</f>
        <v>45479.933585194805</v>
      </c>
      <c r="F20" s="90">
        <f>BS!N27+BS!N28</f>
        <v>45720.38733561815</v>
      </c>
      <c r="G20" s="90">
        <f>BS!O27+BS!O28</f>
        <v>59483.529227057777</v>
      </c>
      <c r="H20" s="90">
        <f>BS!P27+BS!P28</f>
        <v>27737.829033374306</v>
      </c>
      <c r="I20" s="90">
        <f>BS!Q27+BS!Q28</f>
        <v>45632.519907389316</v>
      </c>
      <c r="J20" s="90">
        <f>BS!R27+BS!R28</f>
        <v>28985.896987803382</v>
      </c>
      <c r="K20" s="90">
        <f>BS!S27+BS!S28</f>
        <v>26674.501026295853</v>
      </c>
      <c r="L20" s="90">
        <f>BS!T27+BS!T28</f>
        <v>29105.759006587792</v>
      </c>
      <c r="M20" s="90">
        <f>BS!U27+BS!U28</f>
        <v>39173.201024748552</v>
      </c>
      <c r="N20" s="244">
        <f>BS!V27+BS!V28</f>
        <v>54299.895026213373</v>
      </c>
      <c r="O20" s="244">
        <f>BS!W27+BS!W28</f>
        <v>39839.866181701058</v>
      </c>
      <c r="P20" s="244">
        <f>BS!X27+BS!X28</f>
        <v>87381.810981739269</v>
      </c>
      <c r="Q20" s="244">
        <f>BS!Y27+BS!Y28</f>
        <v>56198.643890111322</v>
      </c>
      <c r="R20" s="244">
        <f>BS!Z27+BS!Z28</f>
        <v>41416.980791368987</v>
      </c>
      <c r="S20" s="244">
        <f>BS!AA27+BS!AA28</f>
        <v>70993.636938757583</v>
      </c>
      <c r="T20" s="244">
        <f>BS!AB27+BS!AB28</f>
        <v>70811.989286331431</v>
      </c>
      <c r="U20" s="137">
        <f>BS!AC27+BS!AC28</f>
        <v>57418.033127889066</v>
      </c>
      <c r="V20" s="138">
        <f t="shared" si="20"/>
        <v>8.5401153818884926E-2</v>
      </c>
      <c r="W20" s="139">
        <f t="shared" si="21"/>
        <v>9.9581338597483193E-2</v>
      </c>
      <c r="X20" s="139">
        <f t="shared" si="22"/>
        <v>0.1421903696111908</v>
      </c>
      <c r="Y20" s="139">
        <f t="shared" si="23"/>
        <v>0.10413262049372723</v>
      </c>
      <c r="Z20" s="139">
        <f t="shared" si="24"/>
        <v>0.14454598545676239</v>
      </c>
      <c r="AA20" s="139">
        <f t="shared" si="25"/>
        <v>7.4969296509810976E-2</v>
      </c>
      <c r="AB20" s="139">
        <f t="shared" si="26"/>
        <v>0.10218453132690358</v>
      </c>
      <c r="AC20" s="139">
        <f t="shared" si="27"/>
        <v>8.7705150242612592E-2</v>
      </c>
      <c r="AD20" s="139">
        <f t="shared" si="28"/>
        <v>7.6633607886244084E-2</v>
      </c>
      <c r="AE20" s="139">
        <f t="shared" si="29"/>
        <v>9.5572194344579059E-2</v>
      </c>
      <c r="AF20" s="139">
        <f t="shared" si="30"/>
        <v>8.7437065257191082E-2</v>
      </c>
      <c r="AG20" s="139">
        <f t="shared" si="31"/>
        <v>0.10499764892889658</v>
      </c>
      <c r="AH20" s="139">
        <f t="shared" si="32"/>
        <v>9.9168874071942401E-2</v>
      </c>
      <c r="AI20" s="139">
        <f t="shared" si="33"/>
        <v>0.18125638588994988</v>
      </c>
      <c r="AJ20" s="139">
        <f t="shared" si="34"/>
        <v>0.13267830006395312</v>
      </c>
      <c r="AK20" s="139">
        <f t="shared" si="35"/>
        <v>9.2013164189837612E-2</v>
      </c>
      <c r="AL20" s="139">
        <f t="shared" si="36"/>
        <v>0.14096495841995832</v>
      </c>
      <c r="AM20" s="139">
        <f t="shared" si="37"/>
        <v>0.13254988331064999</v>
      </c>
      <c r="AN20" s="139">
        <f t="shared" si="39"/>
        <v>0.10762860888824699</v>
      </c>
    </row>
    <row r="21" spans="1:40" x14ac:dyDescent="0.2">
      <c r="A21" s="131" t="s">
        <v>377</v>
      </c>
      <c r="B21" s="154" t="s">
        <v>254</v>
      </c>
      <c r="C21" s="85">
        <f>BS!K32+BS!K36+BS!K42</f>
        <v>106709.44114846559</v>
      </c>
      <c r="D21" s="85">
        <f>BS!L32+BS!L36+BS!L42</f>
        <v>105940.95455343042</v>
      </c>
      <c r="E21" s="85">
        <f>BS!M32+BS!M36+BS!M42</f>
        <v>86214.318925561325</v>
      </c>
      <c r="F21" s="85">
        <f>BS!N32+BS!N36+BS!N42</f>
        <v>156536.3350156665</v>
      </c>
      <c r="G21" s="85">
        <f>BS!O32+BS!O36+BS!O42</f>
        <v>110258.93496016199</v>
      </c>
      <c r="H21" s="85">
        <f>BS!P32+BS!P36+BS!P42</f>
        <v>85161.144528328339</v>
      </c>
      <c r="I21" s="85">
        <f>BS!Q32+BS!Q36+BS!Q42</f>
        <v>107500.37004819371</v>
      </c>
      <c r="J21" s="85">
        <f>BS!R32+BS!R36+BS!R42</f>
        <v>85905.017157855706</v>
      </c>
      <c r="K21" s="85">
        <f>BS!S32+BS!S36+BS!S42+BS!S35+BS!S41</f>
        <v>101735.99583493712</v>
      </c>
      <c r="L21" s="85">
        <f>BS!T32+BS!T36+BS!T42+BS!T35+BS!T41</f>
        <v>97239.318651751993</v>
      </c>
      <c r="M21" s="85">
        <f>BS!U32+BS!U36+BS!U42+BS!U35+BS!U41</f>
        <v>116536.53032187826</v>
      </c>
      <c r="N21" s="241">
        <f>BS!V32+BS!V36+BS!V42+BS!V35+BS!V41</f>
        <v>144671.07995151242</v>
      </c>
      <c r="O21" s="241">
        <f>BS!W32+BS!W36+BS!W42+BS!W35+BS!W41</f>
        <v>113109.05472468068</v>
      </c>
      <c r="P21" s="241">
        <f>BS!X32+BS!X36+BS!X42+BS!X35+BS!X41</f>
        <v>111392.98085405071</v>
      </c>
      <c r="Q21" s="241">
        <f>BS!Y32+BS!Y36+BS!Y42+BS!Y35+BS!Y41</f>
        <v>104698.69320997789</v>
      </c>
      <c r="R21" s="241">
        <f>BS!Z32+BS!Z36+BS!Z42+BS!Z35+BS!Z41</f>
        <v>111530.05334344255</v>
      </c>
      <c r="S21" s="241">
        <f>BS!AA32+BS!AA36+BS!AA42+BS!AA35+BS!AA41</f>
        <v>118722.4343203585</v>
      </c>
      <c r="T21" s="241">
        <f>BS!AB32+BS!AB36+BS!AB42+BS!AB35+BS!AB41</f>
        <v>126145.81458441338</v>
      </c>
      <c r="U21" s="118">
        <f>BS!AC32+BS!AC36+BS!AC42+BS!AC35+BS!AC41</f>
        <v>137858.35832905324</v>
      </c>
      <c r="V21" s="119">
        <f t="shared" si="20"/>
        <v>0.31880658259713446</v>
      </c>
      <c r="W21" s="120">
        <f t="shared" si="21"/>
        <v>0.26494414520206921</v>
      </c>
      <c r="X21" s="120">
        <f t="shared" si="22"/>
        <v>0.26954405838871542</v>
      </c>
      <c r="Y21" s="120">
        <f t="shared" si="23"/>
        <v>0.35652669886649285</v>
      </c>
      <c r="Z21" s="120">
        <f t="shared" si="24"/>
        <v>0.26793108304643204</v>
      </c>
      <c r="AA21" s="120">
        <f t="shared" si="25"/>
        <v>0.23017198237025988</v>
      </c>
      <c r="AB21" s="120">
        <f t="shared" si="26"/>
        <v>0.24072470582683267</v>
      </c>
      <c r="AC21" s="120">
        <f t="shared" si="27"/>
        <v>0.25993028401343654</v>
      </c>
      <c r="AD21" s="120">
        <f t="shared" si="28"/>
        <v>0.29227899727329132</v>
      </c>
      <c r="AE21" s="120">
        <f t="shared" si="29"/>
        <v>0.31929677759017494</v>
      </c>
      <c r="AF21" s="120">
        <f t="shared" si="30"/>
        <v>0.26011691513703922</v>
      </c>
      <c r="AG21" s="120">
        <f t="shared" si="31"/>
        <v>0.27974498395586533</v>
      </c>
      <c r="AH21" s="120">
        <f t="shared" si="32"/>
        <v>0.28154958034322813</v>
      </c>
      <c r="AI21" s="120">
        <f t="shared" si="33"/>
        <v>0.23106283671933728</v>
      </c>
      <c r="AJ21" s="120">
        <f t="shared" si="34"/>
        <v>0.24718113592170707</v>
      </c>
      <c r="AK21" s="120">
        <f t="shared" si="35"/>
        <v>0.24777839703202376</v>
      </c>
      <c r="AL21" s="120">
        <f t="shared" si="36"/>
        <v>0.2357352537372126</v>
      </c>
      <c r="AM21" s="120">
        <f t="shared" si="37"/>
        <v>0.23612686455792595</v>
      </c>
      <c r="AN21" s="120">
        <f t="shared" si="39"/>
        <v>0.25841190515051987</v>
      </c>
    </row>
    <row r="22" spans="1:40" x14ac:dyDescent="0.2">
      <c r="A22" s="132" t="s">
        <v>378</v>
      </c>
      <c r="B22" s="84" t="s">
        <v>254</v>
      </c>
      <c r="C22" s="87">
        <f>BS!K33+BS!K34+BS!K38+BS!K39+BS!K40</f>
        <v>125711.05251593054</v>
      </c>
      <c r="D22" s="87">
        <f>BS!L33+BS!L34+BS!L38+BS!L39+BS!L40</f>
        <v>133829.61923144411</v>
      </c>
      <c r="E22" s="87">
        <f>BS!M33+BS!M34+BS!M38+BS!M39+BS!M40</f>
        <v>125087.19447112871</v>
      </c>
      <c r="F22" s="87">
        <f>BS!N33+BS!N34+BS!N38+BS!N39+BS!N40</f>
        <v>143416.72815093122</v>
      </c>
      <c r="G22" s="87">
        <f>BS!O33+BS!O34+BS!O38+BS!O39+BS!O40</f>
        <v>109686.17721124504</v>
      </c>
      <c r="H22" s="87">
        <f>BS!P33+BS!P34+BS!P38+BS!P39+BS!P40</f>
        <v>144420.23895498624</v>
      </c>
      <c r="I22" s="87">
        <f>BS!Q33+BS!Q34+BS!Q38+BS!Q39+BS!Q40</f>
        <v>143749.11474677225</v>
      </c>
      <c r="J22" s="87">
        <f>BS!R33+BS!R34+BS!R38+BS!R39+BS!R40</f>
        <v>106944.27405396827</v>
      </c>
      <c r="K22" s="87">
        <f>BS!S33+BS!S34+BS!S38+BS!S39+BS!S40</f>
        <v>113439.24187769614</v>
      </c>
      <c r="L22" s="87">
        <f>BS!T33+BS!T34+BS!T38+BS!T39+BS!T40</f>
        <v>102877.93776981541</v>
      </c>
      <c r="M22" s="87">
        <f>BS!U33+BS!U34+BS!U38+BS!U39+BS!U40</f>
        <v>102077.37149902055</v>
      </c>
      <c r="N22" s="245">
        <f>BS!V33+BS!V34+BS!V38+BS!V39+BS!V40</f>
        <v>124853.96797245808</v>
      </c>
      <c r="O22" s="245">
        <f>BS!W33+BS!W34+BS!W38+BS!W39+BS!W40</f>
        <v>114062.01395665506</v>
      </c>
      <c r="P22" s="245">
        <f>BS!X33+BS!X34+BS!X38+BS!X39+BS!X40</f>
        <v>137633.79321047218</v>
      </c>
      <c r="Q22" s="245">
        <f>BS!Y33+BS!Y34+BS!Y38+BS!Y39+BS!Y40</f>
        <v>119815.85817704201</v>
      </c>
      <c r="R22" s="245">
        <f>BS!Z33+BS!Z34+BS!Z38+BS!Z39+BS!Z40</f>
        <v>145678.81633362942</v>
      </c>
      <c r="S22" s="245">
        <f>BS!AA33+BS!AA34+BS!AA38+BS!AA39+BS!AA40</f>
        <v>118144.92918021262</v>
      </c>
      <c r="T22" s="245">
        <f>BS!AB33+BS!AB34+BS!AB38+BS!AB39+BS!AB40</f>
        <v>142158.09538621045</v>
      </c>
      <c r="U22" s="133">
        <f>BS!AC33+BS!AC34+BS!AC38+BS!AC39+BS!AC40</f>
        <v>195544.5417736689</v>
      </c>
      <c r="V22" s="134">
        <f t="shared" si="20"/>
        <v>0.37557605602612609</v>
      </c>
      <c r="W22" s="135">
        <f t="shared" si="21"/>
        <v>0.33468996215350066</v>
      </c>
      <c r="X22" s="135">
        <f t="shared" si="22"/>
        <v>0.39107784496120451</v>
      </c>
      <c r="Y22" s="135">
        <f t="shared" si="23"/>
        <v>0.32664552063753971</v>
      </c>
      <c r="Z22" s="135">
        <f t="shared" si="24"/>
        <v>0.2665392719968695</v>
      </c>
      <c r="AA22" s="135">
        <f t="shared" si="25"/>
        <v>0.39033637791937181</v>
      </c>
      <c r="AB22" s="135">
        <f t="shared" si="26"/>
        <v>0.32189622551783764</v>
      </c>
      <c r="AC22" s="135">
        <f t="shared" si="27"/>
        <v>0.32359059398565909</v>
      </c>
      <c r="AD22" s="135">
        <f t="shared" si="28"/>
        <v>0.32590144319469405</v>
      </c>
      <c r="AE22" s="135">
        <f t="shared" si="29"/>
        <v>0.33781184885372256</v>
      </c>
      <c r="AF22" s="135">
        <f t="shared" si="30"/>
        <v>0.22784315704513422</v>
      </c>
      <c r="AG22" s="135">
        <f t="shared" si="31"/>
        <v>0.24142538563331067</v>
      </c>
      <c r="AH22" s="135">
        <f t="shared" si="32"/>
        <v>0.28392167400539936</v>
      </c>
      <c r="AI22" s="135">
        <f t="shared" si="33"/>
        <v>0.28549424249021621</v>
      </c>
      <c r="AJ22" s="135">
        <f t="shared" si="34"/>
        <v>0.28287096063595324</v>
      </c>
      <c r="AK22" s="135">
        <f t="shared" si="35"/>
        <v>0.32364427802716172</v>
      </c>
      <c r="AL22" s="135">
        <f t="shared" si="36"/>
        <v>0.2345885595885778</v>
      </c>
      <c r="AM22" s="135">
        <f t="shared" si="37"/>
        <v>0.26609955665718948</v>
      </c>
      <c r="AN22" s="135">
        <f t="shared" si="39"/>
        <v>0.36654315482929939</v>
      </c>
    </row>
    <row r="23" spans="1:40" x14ac:dyDescent="0.2">
      <c r="A23" s="132" t="s">
        <v>379</v>
      </c>
      <c r="B23" s="84" t="s">
        <v>254</v>
      </c>
      <c r="C23" s="87">
        <f>BS!K45</f>
        <v>16185.966454259102</v>
      </c>
      <c r="D23" s="87">
        <f>BS!L45</f>
        <v>16378.66292331988</v>
      </c>
      <c r="E23" s="87">
        <f>BS!M45</f>
        <v>13699.20144599364</v>
      </c>
      <c r="F23" s="87">
        <f>BS!N45</f>
        <v>15745.309917431448</v>
      </c>
      <c r="G23" s="87">
        <f>BS!O45</f>
        <v>14709.3853719414</v>
      </c>
      <c r="H23" s="87">
        <f>BS!P45</f>
        <v>15943.158970490449</v>
      </c>
      <c r="I23" s="87">
        <f>BS!Q45</f>
        <v>17646.400896615687</v>
      </c>
      <c r="J23" s="87">
        <f>BS!R45</f>
        <v>15051.579602224152</v>
      </c>
      <c r="K23" s="87">
        <f>BS!S45</f>
        <v>16046.516238239725</v>
      </c>
      <c r="L23" s="87">
        <f>BS!T45</f>
        <v>13969.473846090961</v>
      </c>
      <c r="M23" s="87">
        <f>BS!U45</f>
        <v>24232.388766191525</v>
      </c>
      <c r="N23" s="245">
        <f>BS!V45</f>
        <v>17300.642786056444</v>
      </c>
      <c r="O23" s="245">
        <f>BS!W45</f>
        <v>20620.954420251244</v>
      </c>
      <c r="P23" s="245">
        <f>BS!X45</f>
        <v>14667.777322878834</v>
      </c>
      <c r="Q23" s="245">
        <f>BS!Y45</f>
        <v>13089.958515900282</v>
      </c>
      <c r="R23" s="245">
        <f>BS!Z45</f>
        <v>19754.815487584485</v>
      </c>
      <c r="S23" s="245">
        <f>BS!AA45</f>
        <v>18350.183463667516</v>
      </c>
      <c r="T23" s="245">
        <f>BS!AB45</f>
        <v>19573.848107827889</v>
      </c>
      <c r="U23" s="133">
        <f>BS!AC45</f>
        <v>16407.379472693035</v>
      </c>
      <c r="V23" s="134">
        <f t="shared" si="20"/>
        <v>4.8357414262293716E-2</v>
      </c>
      <c r="W23" s="135">
        <f t="shared" si="21"/>
        <v>4.0960843387372485E-2</v>
      </c>
      <c r="X23" s="135">
        <f t="shared" si="22"/>
        <v>4.282975728922564E-2</v>
      </c>
      <c r="Y23" s="135">
        <f t="shared" si="23"/>
        <v>3.5861471823330097E-2</v>
      </c>
      <c r="Z23" s="135">
        <f t="shared" si="24"/>
        <v>3.574405607196892E-2</v>
      </c>
      <c r="AA23" s="135">
        <f t="shared" si="25"/>
        <v>4.3090878191066176E-2</v>
      </c>
      <c r="AB23" s="135">
        <f t="shared" si="26"/>
        <v>3.9515442252298964E-2</v>
      </c>
      <c r="AC23" s="135">
        <f t="shared" si="27"/>
        <v>4.5542873865769322E-2</v>
      </c>
      <c r="AD23" s="135">
        <f t="shared" si="28"/>
        <v>4.6100297513691629E-2</v>
      </c>
      <c r="AE23" s="135">
        <f t="shared" si="29"/>
        <v>4.5870415851651039E-2</v>
      </c>
      <c r="AF23" s="135">
        <f t="shared" si="30"/>
        <v>5.4088226196998997E-2</v>
      </c>
      <c r="AG23" s="135">
        <f t="shared" si="31"/>
        <v>3.3453597223671798E-2</v>
      </c>
      <c r="AH23" s="135">
        <f t="shared" si="32"/>
        <v>5.132941016464642E-2</v>
      </c>
      <c r="AI23" s="135">
        <f t="shared" si="33"/>
        <v>3.0425420081293262E-2</v>
      </c>
      <c r="AJ23" s="135">
        <f t="shared" si="34"/>
        <v>3.0903831900166441E-2</v>
      </c>
      <c r="AK23" s="135">
        <f t="shared" si="35"/>
        <v>4.3887870295409241E-2</v>
      </c>
      <c r="AL23" s="135">
        <f t="shared" si="36"/>
        <v>3.6436122453987446E-2</v>
      </c>
      <c r="AM23" s="135">
        <f t="shared" si="37"/>
        <v>3.6639435055862535E-2</v>
      </c>
      <c r="AN23" s="135">
        <f t="shared" si="39"/>
        <v>3.0755205846467716E-2</v>
      </c>
    </row>
    <row r="24" spans="1:40" x14ac:dyDescent="0.2">
      <c r="A24" s="136" t="s">
        <v>380</v>
      </c>
      <c r="B24" s="89" t="s">
        <v>254</v>
      </c>
      <c r="C24" s="90">
        <f>BS!K43-BS!K45</f>
        <v>86108.840547864893</v>
      </c>
      <c r="D24" s="90">
        <f>BS!L43-BS!L45</f>
        <v>143712.14248113704</v>
      </c>
      <c r="E24" s="90">
        <f>BS!M43-BS!M45</f>
        <v>94851.703500107775</v>
      </c>
      <c r="F24" s="90">
        <f>BS!N43-BS!N45</f>
        <v>123360.84888544289</v>
      </c>
      <c r="G24" s="90">
        <f>BS!O43-BS!O45</f>
        <v>176865.26233853938</v>
      </c>
      <c r="H24" s="90">
        <f>BS!P43-BS!P45</f>
        <v>124464.64411598473</v>
      </c>
      <c r="I24" s="90">
        <f>BS!Q43-BS!Q45</f>
        <v>176879.75691043219</v>
      </c>
      <c r="J24" s="90">
        <f>BS!R43-BS!R45</f>
        <v>122210.09654654549</v>
      </c>
      <c r="K24" s="90">
        <f>BS!S43-BS!S45</f>
        <v>116856.61221311904</v>
      </c>
      <c r="L24" s="90">
        <f>BS!T43-BS!T45</f>
        <v>90455.39316260365</v>
      </c>
      <c r="M24" s="90">
        <f>BS!U43-BS!U45</f>
        <v>205169.67277493264</v>
      </c>
      <c r="N24" s="244">
        <f>BS!V43-BS!V45</f>
        <v>230327.74634440464</v>
      </c>
      <c r="O24" s="244">
        <f>BS!W43-BS!W45</f>
        <v>153945.58413189946</v>
      </c>
      <c r="P24" s="244">
        <f>BS!X43-BS!X45</f>
        <v>218395.00674156399</v>
      </c>
      <c r="Q24" s="244">
        <f>BS!Y43-BS!Y45</f>
        <v>185966.21615418684</v>
      </c>
      <c r="R24" s="244">
        <f>BS!Z43-BS!Z45</f>
        <v>173156.48140106665</v>
      </c>
      <c r="S24" s="244">
        <f>BS!AA43-BS!AA45</f>
        <v>248408.58632809069</v>
      </c>
      <c r="T24" s="244">
        <f>BS!AB43-BS!AB45</f>
        <v>246351.22438223608</v>
      </c>
      <c r="U24" s="137">
        <f>BS!AC43-BS!AC45</f>
        <v>183672.72016777948</v>
      </c>
      <c r="V24" s="138">
        <f t="shared" si="20"/>
        <v>0.25725994711444622</v>
      </c>
      <c r="W24" s="139">
        <f t="shared" si="21"/>
        <v>0.35940482984434202</v>
      </c>
      <c r="X24" s="139">
        <f t="shared" si="22"/>
        <v>0.29654833936085301</v>
      </c>
      <c r="Y24" s="139">
        <f t="shared" si="23"/>
        <v>0.280966308672638</v>
      </c>
      <c r="Z24" s="139">
        <f t="shared" si="24"/>
        <v>0.4297855888847284</v>
      </c>
      <c r="AA24" s="139">
        <f t="shared" si="25"/>
        <v>0.33640076151930337</v>
      </c>
      <c r="AB24" s="139">
        <f t="shared" si="26"/>
        <v>0.39608540351904498</v>
      </c>
      <c r="AC24" s="139">
        <f t="shared" si="27"/>
        <v>0.36978172120355807</v>
      </c>
      <c r="AD24" s="139">
        <f t="shared" si="28"/>
        <v>0.33571926201832308</v>
      </c>
      <c r="AE24" s="139">
        <f t="shared" si="29"/>
        <v>0.29702095770445125</v>
      </c>
      <c r="AF24" s="139">
        <f t="shared" si="30"/>
        <v>0.4579517016208271</v>
      </c>
      <c r="AG24" s="139">
        <f t="shared" si="31"/>
        <v>0.44537603318715324</v>
      </c>
      <c r="AH24" s="139">
        <f t="shared" si="32"/>
        <v>0.38319933548672647</v>
      </c>
      <c r="AI24" s="139">
        <f t="shared" si="33"/>
        <v>0.45301750070915286</v>
      </c>
      <c r="AJ24" s="139">
        <f t="shared" si="34"/>
        <v>0.43904407154217356</v>
      </c>
      <c r="AK24" s="139">
        <f t="shared" si="35"/>
        <v>0.38468945464540399</v>
      </c>
      <c r="AL24" s="139">
        <f t="shared" si="36"/>
        <v>0.49324006422022221</v>
      </c>
      <c r="AM24" s="139">
        <f t="shared" si="37"/>
        <v>0.46113414372902234</v>
      </c>
      <c r="AN24" s="139">
        <f t="shared" si="39"/>
        <v>0.344289734173713</v>
      </c>
    </row>
    <row r="25" spans="1:40" x14ac:dyDescent="0.2">
      <c r="A25" s="112" t="s">
        <v>313</v>
      </c>
      <c r="B25" s="79" t="s">
        <v>254</v>
      </c>
      <c r="C25" s="92">
        <f>BS!K29</f>
        <v>334715.30066651996</v>
      </c>
      <c r="D25" s="92">
        <f>BS!L29</f>
        <v>399861.46692402178</v>
      </c>
      <c r="E25" s="92">
        <f>BS!M29</f>
        <v>319852.41834279191</v>
      </c>
      <c r="F25" s="92">
        <f>BS!N29</f>
        <v>439059.22196947178</v>
      </c>
      <c r="G25" s="92">
        <f>BS!O29</f>
        <v>411519.75988188828</v>
      </c>
      <c r="H25" s="92">
        <f>BS!P29</f>
        <v>369989.18656978931</v>
      </c>
      <c r="I25" s="92">
        <f>BS!Q29</f>
        <v>446569.74313855846</v>
      </c>
      <c r="J25" s="92">
        <f>BS!R29</f>
        <v>330492.52988703322</v>
      </c>
      <c r="K25" s="92">
        <f>BS!S29</f>
        <v>348078.36616399197</v>
      </c>
      <c r="L25" s="92">
        <f>BS!T29</f>
        <v>304542.12343026209</v>
      </c>
      <c r="M25" s="92">
        <f>BS!U29</f>
        <v>448015.96336202318</v>
      </c>
      <c r="N25" s="243">
        <f>BS!V29</f>
        <v>517153.43705443107</v>
      </c>
      <c r="O25" s="243">
        <f>BS!W29</f>
        <v>401737.60723348631</v>
      </c>
      <c r="P25" s="243">
        <f>BS!X29</f>
        <v>482089.5581289659</v>
      </c>
      <c r="Q25" s="243">
        <f>BS!Y29</f>
        <v>423570.72605710692</v>
      </c>
      <c r="R25" s="243">
        <f>BS!Z29</f>
        <v>450120.16656572366</v>
      </c>
      <c r="S25" s="243">
        <f>BS!AA29</f>
        <v>503626.13329232932</v>
      </c>
      <c r="T25" s="243">
        <f>BS!AB29</f>
        <v>534228.98246068764</v>
      </c>
      <c r="U25" s="127">
        <f>BS!AC29</f>
        <v>533482.99974319467</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1.6484896281468093</v>
      </c>
      <c r="D27" s="101">
        <f>+D13/D25*100</f>
        <v>2.2826601860927003</v>
      </c>
      <c r="E27" s="101">
        <f t="shared" si="40"/>
        <v>1.1183734792178328</v>
      </c>
      <c r="F27" s="101">
        <f t="shared" si="40"/>
        <v>3.8899596617933221</v>
      </c>
      <c r="G27" s="101">
        <f t="shared" si="40"/>
        <v>1.6182678280359499</v>
      </c>
      <c r="H27" s="101">
        <f t="shared" si="40"/>
        <v>0.66587994334822731</v>
      </c>
      <c r="I27" s="101">
        <f t="shared" si="40"/>
        <v>-0.40257581444117557</v>
      </c>
      <c r="J27" s="101">
        <f t="shared" si="40"/>
        <v>1.4151906735404871</v>
      </c>
      <c r="K27" s="101">
        <f t="shared" si="40"/>
        <v>5.2662296034113512</v>
      </c>
      <c r="L27" s="101">
        <f>+L13/L25*100</f>
        <v>4.0252788370310784</v>
      </c>
      <c r="M27" s="101">
        <f>+M13/M25*100</f>
        <v>2.5574519418053825</v>
      </c>
      <c r="N27" s="246">
        <f>+N13/N25*100</f>
        <v>3.4115421944563953</v>
      </c>
      <c r="O27" s="246">
        <f>+O13/O25*100</f>
        <v>3.2570053504218324</v>
      </c>
      <c r="P27" s="246">
        <f>+P13/P25*100</f>
        <v>2.9587829743541487</v>
      </c>
      <c r="Q27" s="246">
        <f t="shared" ref="Q27:R27" si="41">+Q13/Q25*100</f>
        <v>2.3303936606384976</v>
      </c>
      <c r="R27" s="246">
        <f t="shared" si="41"/>
        <v>3.1656421831620278</v>
      </c>
      <c r="S27" s="246">
        <f t="shared" ref="S27:T27" si="42">+S13/S25*100</f>
        <v>3.3450473358336508</v>
      </c>
      <c r="T27" s="246">
        <f t="shared" si="42"/>
        <v>3.2800983999032365</v>
      </c>
      <c r="U27" s="142">
        <f t="shared" si="40"/>
        <v>3.3981009646377638</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30.561736137673996</v>
      </c>
      <c r="D28" s="102">
        <f>(D23+D24)/D25*100</f>
        <v>40.036567323171454</v>
      </c>
      <c r="E28" s="102">
        <f t="shared" si="43"/>
        <v>33.937809665007869</v>
      </c>
      <c r="F28" s="102">
        <f t="shared" si="43"/>
        <v>31.682778049596806</v>
      </c>
      <c r="G28" s="102">
        <f t="shared" si="43"/>
        <v>46.552964495669727</v>
      </c>
      <c r="H28" s="102">
        <f t="shared" si="43"/>
        <v>37.949163971036953</v>
      </c>
      <c r="I28" s="102">
        <f t="shared" si="43"/>
        <v>43.560084577134397</v>
      </c>
      <c r="J28" s="102">
        <f t="shared" si="43"/>
        <v>41.532459506932739</v>
      </c>
      <c r="K28" s="102">
        <f t="shared" si="43"/>
        <v>38.181955953201474</v>
      </c>
      <c r="L28" s="102">
        <f>(L23+L24)/L25*100</f>
        <v>34.289137355610229</v>
      </c>
      <c r="M28" s="102">
        <f>(M23+M24)/M25*100</f>
        <v>51.203992781782603</v>
      </c>
      <c r="N28" s="247">
        <f>(N23+N24)/N25*100</f>
        <v>47.882963041082505</v>
      </c>
      <c r="O28" s="247">
        <f>(O23+O24)/O25*100</f>
        <v>43.452874565137293</v>
      </c>
      <c r="P28" s="247">
        <f>(P23+P24)/P25*100</f>
        <v>48.344292079044607</v>
      </c>
      <c r="Q28" s="247">
        <f t="shared" ref="Q28:R28" si="44">(Q23+Q24)/Q25*100</f>
        <v>46.994790344233991</v>
      </c>
      <c r="R28" s="247">
        <f t="shared" si="44"/>
        <v>42.857732494081326</v>
      </c>
      <c r="S28" s="247">
        <f t="shared" ref="S28:T28" si="45">(S23+S24)/S25*100</f>
        <v>52.967618667420965</v>
      </c>
      <c r="T28" s="247">
        <f t="shared" si="45"/>
        <v>49.777357878488488</v>
      </c>
      <c r="U28" s="144">
        <f t="shared" si="43"/>
        <v>37.50449400201807</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5.3939659079599442</v>
      </c>
      <c r="D29" s="102">
        <f>+D13/(D23+D24)*100</f>
        <v>5.7014383068040759</v>
      </c>
      <c r="E29" s="102">
        <f t="shared" si="46"/>
        <v>3.2953613985611749</v>
      </c>
      <c r="F29" s="102">
        <f t="shared" si="46"/>
        <v>12.277836418586487</v>
      </c>
      <c r="G29" s="102">
        <f t="shared" si="46"/>
        <v>3.4761864159831921</v>
      </c>
      <c r="H29" s="102">
        <f t="shared" si="46"/>
        <v>1.75466301143401</v>
      </c>
      <c r="I29" s="102">
        <f t="shared" si="46"/>
        <v>-0.92418510741941051</v>
      </c>
      <c r="J29" s="102">
        <f t="shared" si="46"/>
        <v>3.4074328617698617</v>
      </c>
      <c r="K29" s="102">
        <f t="shared" si="46"/>
        <v>13.792456336878125</v>
      </c>
      <c r="L29" s="102">
        <f>+L13/(L23+L24)*100</f>
        <v>11.739224569242424</v>
      </c>
      <c r="M29" s="102">
        <f>+M13/(M23+M24)*100</f>
        <v>4.9946338222187903</v>
      </c>
      <c r="N29" s="247">
        <f>+N13/(N23+N24)*100</f>
        <v>7.1247516398042636</v>
      </c>
      <c r="O29" s="247">
        <f>+O13/(O23+O24)*100</f>
        <v>7.4954888094675391</v>
      </c>
      <c r="P29" s="247">
        <f>+P13/(P23+P24)*100</f>
        <v>6.120232290332094</v>
      </c>
      <c r="Q29" s="247">
        <f t="shared" ref="Q29:R29" si="47">+Q13/(Q23+Q24)*100</f>
        <v>4.9588340400467903</v>
      </c>
      <c r="R29" s="247">
        <f t="shared" si="47"/>
        <v>7.3863968038887844</v>
      </c>
      <c r="S29" s="247">
        <f t="shared" ref="S29:T29" si="48">+S13/(S23+S24)*100</f>
        <v>6.3152684979796998</v>
      </c>
      <c r="T29" s="247">
        <f t="shared" si="48"/>
        <v>6.5895389785658871</v>
      </c>
      <c r="U29" s="144">
        <f t="shared" si="46"/>
        <v>9.0605167595513123</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37.557605602612611</v>
      </c>
      <c r="D30" s="101">
        <f>D22/D25*100</f>
        <v>33.468996215350067</v>
      </c>
      <c r="E30" s="101">
        <f t="shared" si="49"/>
        <v>39.107784496120452</v>
      </c>
      <c r="F30" s="101">
        <f t="shared" si="49"/>
        <v>32.664552063753973</v>
      </c>
      <c r="G30" s="101">
        <f t="shared" si="49"/>
        <v>26.653927199686951</v>
      </c>
      <c r="H30" s="101">
        <f t="shared" si="49"/>
        <v>39.033637791937181</v>
      </c>
      <c r="I30" s="101">
        <f t="shared" si="49"/>
        <v>32.189622551783764</v>
      </c>
      <c r="J30" s="101">
        <f t="shared" si="49"/>
        <v>32.359059398565911</v>
      </c>
      <c r="K30" s="101">
        <f t="shared" si="49"/>
        <v>32.590144319469402</v>
      </c>
      <c r="L30" s="101">
        <f>L22/L25*100</f>
        <v>33.781184885372255</v>
      </c>
      <c r="M30" s="101">
        <f>M22/M25*100</f>
        <v>22.784315704513421</v>
      </c>
      <c r="N30" s="246">
        <f>N22/N25*100</f>
        <v>24.142538563331069</v>
      </c>
      <c r="O30" s="246">
        <f>O22/O25*100</f>
        <v>28.392167400539936</v>
      </c>
      <c r="P30" s="246">
        <f>P22/P25*100</f>
        <v>28.549424249021619</v>
      </c>
      <c r="Q30" s="246">
        <f t="shared" ref="Q30:R30" si="50">Q22/Q25*100</f>
        <v>28.287096063595325</v>
      </c>
      <c r="R30" s="246">
        <f t="shared" si="50"/>
        <v>32.364427802716172</v>
      </c>
      <c r="S30" s="246">
        <f t="shared" ref="S30:T30" si="51">S22/S25*100</f>
        <v>23.458855958857779</v>
      </c>
      <c r="T30" s="246">
        <f t="shared" si="51"/>
        <v>26.60995566571895</v>
      </c>
      <c r="U30" s="142">
        <f t="shared" si="49"/>
        <v>36.654315482929938</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14965.261822569024</v>
      </c>
      <c r="D31" s="100">
        <f>+D5/D14</f>
        <v>16777.863221884498</v>
      </c>
      <c r="E31" s="100">
        <f t="shared" si="52"/>
        <v>15284.395553994324</v>
      </c>
      <c r="F31" s="100">
        <f t="shared" si="52"/>
        <v>16485.885720255101</v>
      </c>
      <c r="G31" s="100">
        <f t="shared" si="52"/>
        <v>17220.43721468962</v>
      </c>
      <c r="H31" s="100">
        <f t="shared" si="52"/>
        <v>17343.188241751039</v>
      </c>
      <c r="I31" s="100">
        <f t="shared" si="52"/>
        <v>14944.539143234482</v>
      </c>
      <c r="J31" s="100">
        <f t="shared" si="52"/>
        <v>14598.540179184063</v>
      </c>
      <c r="K31" s="100">
        <f t="shared" si="52"/>
        <v>17413.638707029873</v>
      </c>
      <c r="L31" s="100">
        <f>+L5/L14</f>
        <v>13595.927838792228</v>
      </c>
      <c r="M31" s="100">
        <f>+M5/M14</f>
        <v>16259.202951577685</v>
      </c>
      <c r="N31" s="248">
        <f>+N5/N14</f>
        <v>17812.845487461094</v>
      </c>
      <c r="O31" s="248">
        <f>+O5/O14</f>
        <v>16457.152421597504</v>
      </c>
      <c r="P31" s="248">
        <f>+P5/P14</f>
        <v>17531.358936601177</v>
      </c>
      <c r="Q31" s="248">
        <f t="shared" ref="Q31:R31" si="53">+Q5/Q14</f>
        <v>18343.13697279034</v>
      </c>
      <c r="R31" s="248">
        <f t="shared" si="53"/>
        <v>16897.956323225157</v>
      </c>
      <c r="S31" s="248">
        <f t="shared" ref="S31:T31" si="54">+S5/S14</f>
        <v>18863.51772320089</v>
      </c>
      <c r="T31" s="248">
        <f t="shared" si="54"/>
        <v>18992.612148137086</v>
      </c>
      <c r="U31" s="140">
        <f t="shared" si="52"/>
        <v>17665.219666957539</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173567.75507214485</v>
      </c>
      <c r="D32" s="100">
        <f>PL!L47</f>
        <v>202148.53483067203</v>
      </c>
      <c r="E32" s="100">
        <f>PL!M47</f>
        <v>186436.90835870069</v>
      </c>
      <c r="F32" s="100">
        <f>PL!N47</f>
        <v>266912.49117635679</v>
      </c>
      <c r="G32" s="100">
        <f>PL!O47</f>
        <v>227675.12710476006</v>
      </c>
      <c r="H32" s="100">
        <f>PL!P47</f>
        <v>188601.51866878817</v>
      </c>
      <c r="I32" s="100">
        <f>PL!Q47</f>
        <v>223228.91212818446</v>
      </c>
      <c r="J32" s="100">
        <f>PL!R47</f>
        <v>165479.44955814275</v>
      </c>
      <c r="K32" s="100">
        <f>PL!S47</f>
        <v>172696.73103998747</v>
      </c>
      <c r="L32" s="100">
        <f>PL!T47</f>
        <v>181773.09185256076</v>
      </c>
      <c r="M32" s="100">
        <f>PL!U47</f>
        <v>236173.23041896272</v>
      </c>
      <c r="N32" s="248">
        <f>PL!V47</f>
        <v>271048.76194983686</v>
      </c>
      <c r="O32" s="248">
        <f>PL!W47</f>
        <v>224987.70149196428</v>
      </c>
      <c r="P32" s="248">
        <f>PL!X47</f>
        <v>227247.03919036273</v>
      </c>
      <c r="Q32" s="248">
        <f>PL!Y47</f>
        <v>223046.81200764666</v>
      </c>
      <c r="R32" s="248">
        <f>PL!Z47</f>
        <v>245397.94401517705</v>
      </c>
      <c r="S32" s="248">
        <f>PL!AA47</f>
        <v>262970.8252350408</v>
      </c>
      <c r="T32" s="248">
        <f>PL!AB47</f>
        <v>233483.45619491965</v>
      </c>
      <c r="U32" s="140">
        <f>PL!AC47</f>
        <v>254569.00136962859</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42.739139806822301</v>
      </c>
      <c r="D33" s="101">
        <f t="shared" si="55"/>
        <v>41.74137038654748</v>
      </c>
      <c r="E33" s="101">
        <f t="shared" si="55"/>
        <v>44.770631743229593</v>
      </c>
      <c r="F33" s="101">
        <f t="shared" si="55"/>
        <v>36.370801963874449</v>
      </c>
      <c r="G33" s="101">
        <f t="shared" si="55"/>
        <v>41.49843816741528</v>
      </c>
      <c r="H33" s="101">
        <f t="shared" si="55"/>
        <v>43.301993372494032</v>
      </c>
      <c r="I33" s="101">
        <f t="shared" si="55"/>
        <v>49.893390638197396</v>
      </c>
      <c r="J33" s="101">
        <f t="shared" si="55"/>
        <v>48.033742544476596</v>
      </c>
      <c r="K33" s="101">
        <f t="shared" si="55"/>
        <v>41.139197242925093</v>
      </c>
      <c r="L33" s="101">
        <f>+L32/L5*100</f>
        <v>48.047654051679686</v>
      </c>
      <c r="M33" s="101">
        <f>+M32/M5*100</f>
        <v>52.079860339752493</v>
      </c>
      <c r="N33" s="246">
        <f>+N32/N5*100</f>
        <v>50.864123458340934</v>
      </c>
      <c r="O33" s="246">
        <f>+O32/O5*100</f>
        <v>47.122084244805897</v>
      </c>
      <c r="P33" s="246">
        <f>+P32/P5*100</f>
        <v>46.014897504634988</v>
      </c>
      <c r="Q33" s="246">
        <f t="shared" ref="Q33:R33" si="56">+Q32/Q5*100</f>
        <v>44.887554972961915</v>
      </c>
      <c r="R33" s="246">
        <f t="shared" si="56"/>
        <v>50.248496205863326</v>
      </c>
      <c r="S33" s="246">
        <f t="shared" ref="S33:T33" si="57">+S32/S5*100</f>
        <v>48.574005626850258</v>
      </c>
      <c r="T33" s="246">
        <f t="shared" si="57"/>
        <v>44.265541508868992</v>
      </c>
      <c r="U33" s="142">
        <f t="shared" si="55"/>
        <v>46.933266016860763</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53.00227846274003</v>
      </c>
      <c r="D34" s="103">
        <f>+D8/D32*100</f>
        <v>60.099805172456442</v>
      </c>
      <c r="E34" s="103">
        <f t="shared" si="58"/>
        <v>55.800969255286759</v>
      </c>
      <c r="F34" s="103">
        <f t="shared" si="58"/>
        <v>51.530860030549633</v>
      </c>
      <c r="G34" s="103">
        <f t="shared" si="58"/>
        <v>62.318595278616669</v>
      </c>
      <c r="H34" s="103">
        <f t="shared" si="58"/>
        <v>55.191125970728592</v>
      </c>
      <c r="I34" s="103">
        <f t="shared" si="58"/>
        <v>55.118767324411408</v>
      </c>
      <c r="J34" s="103">
        <f t="shared" si="58"/>
        <v>61.996912861631337</v>
      </c>
      <c r="K34" s="103">
        <f t="shared" si="58"/>
        <v>59.353357931236815</v>
      </c>
      <c r="L34" s="103">
        <f>+L8/L32*100</f>
        <v>57.624685567454826</v>
      </c>
      <c r="M34" s="103">
        <f>+M8/M32*100</f>
        <v>58.643334999937899</v>
      </c>
      <c r="N34" s="249">
        <f>+N8/N32*100</f>
        <v>43.670165985638334</v>
      </c>
      <c r="O34" s="249">
        <f>+O8/O32*100</f>
        <v>57.618633635673199</v>
      </c>
      <c r="P34" s="249">
        <f>+P8/P32*100</f>
        <v>58.012857267889672</v>
      </c>
      <c r="Q34" s="249">
        <f t="shared" ref="Q34:R34" si="59">+Q8/Q32*100</f>
        <v>53.226637729976531</v>
      </c>
      <c r="R34" s="249">
        <f t="shared" si="59"/>
        <v>53.124992773331961</v>
      </c>
      <c r="S34" s="249">
        <f t="shared" ref="S34:T34" si="60">+S8/S32*100</f>
        <v>43.290800787955938</v>
      </c>
      <c r="T34" s="249">
        <f t="shared" si="60"/>
        <v>52.636060426207564</v>
      </c>
      <c r="U34" s="146">
        <f t="shared" si="58"/>
        <v>52.535978517031644</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6396.0241728047786</v>
      </c>
      <c r="D35" s="150">
        <f>+D32/D14</f>
        <v>7003.3100303951369</v>
      </c>
      <c r="E35" s="150">
        <f t="shared" si="61"/>
        <v>6842.920447657355</v>
      </c>
      <c r="F35" s="150">
        <f t="shared" si="61"/>
        <v>5996.0488473046398</v>
      </c>
      <c r="G35" s="150">
        <f t="shared" si="61"/>
        <v>7146.2124896965424</v>
      </c>
      <c r="H35" s="150">
        <f t="shared" si="61"/>
        <v>7509.946223022198</v>
      </c>
      <c r="I35" s="150">
        <f t="shared" si="61"/>
        <v>7456.3372938122975</v>
      </c>
      <c r="J35" s="150">
        <f t="shared" si="61"/>
        <v>7012.2252049212448</v>
      </c>
      <c r="K35" s="150">
        <f t="shared" si="61"/>
        <v>7163.8311748553715</v>
      </c>
      <c r="L35" s="150">
        <f>+L32/L14</f>
        <v>6532.5243730988996</v>
      </c>
      <c r="M35" s="150">
        <f>+M32/M14</f>
        <v>8467.7701895385726</v>
      </c>
      <c r="N35" s="250">
        <f>+N32/N14</f>
        <v>9060.347720185724</v>
      </c>
      <c r="O35" s="250">
        <f>+O32/O14</f>
        <v>7754.9532284012894</v>
      </c>
      <c r="P35" s="250">
        <f>+P32/P14</f>
        <v>8067.0368458466983</v>
      </c>
      <c r="Q35" s="250">
        <f t="shared" ref="Q35:R35" si="62">+Q32/Q14</f>
        <v>8233.7856924269654</v>
      </c>
      <c r="R35" s="250">
        <f t="shared" si="62"/>
        <v>8490.9689419442348</v>
      </c>
      <c r="S35" s="250">
        <f t="shared" ref="S35:T35" si="63">+S32/S14</f>
        <v>9162.7661602894968</v>
      </c>
      <c r="T35" s="250">
        <f t="shared" si="63"/>
        <v>8407.1826140521171</v>
      </c>
      <c r="U35" s="151">
        <f t="shared" si="61"/>
        <v>8290.8645387559864</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２９　電気機械器具製造業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5517.7470153079903</v>
      </c>
      <c r="F6" s="306" t="s">
        <v>111</v>
      </c>
      <c r="G6" s="308">
        <v>100</v>
      </c>
      <c r="H6" s="310">
        <f>IF(E7=0,"-",(E6/E7)*G6)</f>
        <v>1.6484896281468093</v>
      </c>
      <c r="I6" s="304"/>
      <c r="J6" s="10">
        <f>+PL!L38</f>
        <v>9127.4785050008759</v>
      </c>
      <c r="K6" s="306" t="s">
        <v>111</v>
      </c>
      <c r="L6" s="308">
        <v>100</v>
      </c>
      <c r="M6" s="310">
        <f>IF(J7=0,"-",(J6/J7)*L6)</f>
        <v>2.2826601860927003</v>
      </c>
      <c r="N6" s="304"/>
      <c r="O6" s="10">
        <f>+PL!M38</f>
        <v>3577.1446193826596</v>
      </c>
      <c r="P6" s="306" t="s">
        <v>111</v>
      </c>
      <c r="Q6" s="308">
        <v>100</v>
      </c>
      <c r="R6" s="310">
        <f>IF(O7=0,"-",(O6/O7)*Q6)</f>
        <v>1.1183734792178328</v>
      </c>
      <c r="S6" s="304"/>
      <c r="T6" s="10">
        <f>+PL!N38</f>
        <v>17079.226625996056</v>
      </c>
      <c r="U6" s="306" t="s">
        <v>111</v>
      </c>
      <c r="V6" s="308">
        <v>100</v>
      </c>
      <c r="W6" s="310">
        <f>IF(T7=0,"-",(T6/T7)*V6)</f>
        <v>3.8899596617933221</v>
      </c>
      <c r="X6" s="304"/>
      <c r="Y6" s="10">
        <f>+PL!O38</f>
        <v>6659.4918801793892</v>
      </c>
      <c r="Z6" s="306" t="s">
        <v>111</v>
      </c>
      <c r="AA6" s="308">
        <v>100</v>
      </c>
      <c r="AB6" s="310">
        <f>IF(Y7=0,"-",(Y6/Y7)*AA6)</f>
        <v>1.6182678280359499</v>
      </c>
      <c r="AC6" s="304"/>
      <c r="AD6" s="10">
        <f>+PL!P38</f>
        <v>2463.6837859254802</v>
      </c>
      <c r="AE6" s="306" t="s">
        <v>111</v>
      </c>
      <c r="AF6" s="308">
        <v>100</v>
      </c>
      <c r="AG6" s="310">
        <f>IF(AD7=0,"-",(AD6/AD7)*AF6)</f>
        <v>0.66587994334822731</v>
      </c>
      <c r="AH6" s="304"/>
      <c r="AI6" s="10">
        <f>+PL!Q38</f>
        <v>-1797.7817804879176</v>
      </c>
      <c r="AJ6" s="306" t="s">
        <v>111</v>
      </c>
      <c r="AK6" s="308">
        <v>100</v>
      </c>
      <c r="AL6" s="310">
        <f>IF(AI7=0,"-",(AI6/AI7)*AK6)</f>
        <v>-0.40257581444117557</v>
      </c>
      <c r="AM6" s="304"/>
      <c r="AN6" s="10">
        <f>+PL!R38</f>
        <v>4677.0994597093013</v>
      </c>
      <c r="AO6" s="306" t="s">
        <v>112</v>
      </c>
      <c r="AP6" s="308">
        <v>100</v>
      </c>
      <c r="AQ6" s="310">
        <f>IF(AN7=0,"-",(AN6/AN7)*AP6)</f>
        <v>1.4151906735404871</v>
      </c>
      <c r="AR6" s="304"/>
      <c r="AS6" s="10">
        <f>+PL!S38</f>
        <v>18330.605961998706</v>
      </c>
      <c r="AT6" s="306" t="s">
        <v>111</v>
      </c>
      <c r="AU6" s="308">
        <v>100</v>
      </c>
      <c r="AV6" s="310">
        <f>IF(AS7=0,"-",(AS6/AS7)*AU6)</f>
        <v>5.2662296034113512</v>
      </c>
      <c r="AW6" s="304"/>
      <c r="AX6" s="10">
        <f>+PL!T38</f>
        <v>12258.669644283404</v>
      </c>
      <c r="AY6" s="306" t="s">
        <v>111</v>
      </c>
      <c r="AZ6" s="308">
        <v>100</v>
      </c>
      <c r="BA6" s="310">
        <f>IF(AX7=0,"-",(AX6/AX7)*AZ6)</f>
        <v>4.0252788370310784</v>
      </c>
      <c r="BB6" s="304"/>
      <c r="BC6" s="10">
        <f>+PL!U38</f>
        <v>11457.792954600152</v>
      </c>
      <c r="BD6" s="306" t="s">
        <v>111</v>
      </c>
      <c r="BE6" s="308">
        <v>100</v>
      </c>
      <c r="BF6" s="310">
        <f>IF(BC7=0,"-",(BC6/BC7)*BE6)</f>
        <v>2.5574519418053834</v>
      </c>
      <c r="BG6" s="304"/>
      <c r="BH6" s="10">
        <f>+PL!V38</f>
        <v>17642.907715193411</v>
      </c>
      <c r="BI6" s="306" t="s">
        <v>111</v>
      </c>
      <c r="BJ6" s="308">
        <v>100</v>
      </c>
      <c r="BK6" s="310">
        <f>IF(BH7=0,"-",(BH6/BH7)*BJ6)</f>
        <v>3.4115421944563962</v>
      </c>
      <c r="BL6" s="304"/>
      <c r="BM6" s="10">
        <f>+PL!W38</f>
        <v>13084.615362251294</v>
      </c>
      <c r="BN6" s="306" t="s">
        <v>111</v>
      </c>
      <c r="BO6" s="308">
        <v>100</v>
      </c>
      <c r="BP6" s="310">
        <f>IF(BM7=0,"-",(BM6/BM7)*BO6)</f>
        <v>3.2570053504218324</v>
      </c>
      <c r="BQ6" s="304"/>
      <c r="BR6" s="10">
        <f>+PL!X38</f>
        <v>14263.983767058991</v>
      </c>
      <c r="BS6" s="306" t="s">
        <v>111</v>
      </c>
      <c r="BT6" s="308">
        <v>100</v>
      </c>
      <c r="BU6" s="310">
        <f>IF(BR7=0,"-",(BR6/BR7)*BT6)</f>
        <v>2.9587829743541487</v>
      </c>
      <c r="BV6" s="304"/>
      <c r="BW6" s="10">
        <f>+PL!Y38</f>
        <v>9870.8653483552771</v>
      </c>
      <c r="BX6" s="306" t="s">
        <v>111</v>
      </c>
      <c r="BY6" s="308">
        <v>100</v>
      </c>
      <c r="BZ6" s="310">
        <f>IF(BW7=0,"-",(BW6/BW7)*BY6)</f>
        <v>2.3303936606384976</v>
      </c>
      <c r="CA6" s="304"/>
      <c r="CB6" s="10">
        <f>+PL!Z38</f>
        <v>14249.19386772373</v>
      </c>
      <c r="CC6" s="306" t="s">
        <v>111</v>
      </c>
      <c r="CD6" s="308">
        <v>100</v>
      </c>
      <c r="CE6" s="310">
        <f>IF(CB7=0,"-",(CB6/CB7)*CD6)</f>
        <v>3.1656421831620278</v>
      </c>
      <c r="CF6" s="304"/>
      <c r="CG6" s="10">
        <f>+PL!AA38</f>
        <v>16846.532554257094</v>
      </c>
      <c r="CH6" s="306" t="s">
        <v>111</v>
      </c>
      <c r="CI6" s="308">
        <v>100</v>
      </c>
      <c r="CJ6" s="310">
        <f>IF(CG7=0,"-",(CG6/CG7)*CI6)</f>
        <v>3.3450473358336508</v>
      </c>
      <c r="CK6" s="304"/>
      <c r="CL6" s="10">
        <f>+PL!AB38</f>
        <v>17523.236305512357</v>
      </c>
      <c r="CM6" s="306" t="s">
        <v>111</v>
      </c>
      <c r="CN6" s="308">
        <v>100</v>
      </c>
      <c r="CO6" s="310">
        <f>IF(CL7=0,"-",(CL6/CL7)*CN6)</f>
        <v>3.2800983999032365</v>
      </c>
      <c r="CP6" s="304"/>
      <c r="CQ6" s="10">
        <f>+PL!AC38</f>
        <v>18128.290960451977</v>
      </c>
      <c r="CR6" s="306" t="s">
        <v>111</v>
      </c>
      <c r="CS6" s="308">
        <v>100</v>
      </c>
      <c r="CT6" s="310">
        <f>IF(CQ7=0,"-",(CQ6/CQ7)*CS6)</f>
        <v>3.3981009646377638</v>
      </c>
    </row>
    <row r="7" spans="1:98" ht="18" customHeight="1" x14ac:dyDescent="0.2">
      <c r="A7" s="11"/>
      <c r="B7" s="321"/>
      <c r="C7" s="323"/>
      <c r="D7" s="305"/>
      <c r="E7" s="12">
        <f>+BS!K8</f>
        <v>334715.30066651996</v>
      </c>
      <c r="F7" s="307"/>
      <c r="G7" s="309"/>
      <c r="H7" s="311"/>
      <c r="I7" s="305"/>
      <c r="J7" s="12">
        <f>+BS!L8</f>
        <v>399861.46692402178</v>
      </c>
      <c r="K7" s="307"/>
      <c r="L7" s="309"/>
      <c r="M7" s="311"/>
      <c r="N7" s="305"/>
      <c r="O7" s="12">
        <f>+BS!M8</f>
        <v>319852.41834279191</v>
      </c>
      <c r="P7" s="307"/>
      <c r="Q7" s="309"/>
      <c r="R7" s="311"/>
      <c r="S7" s="305"/>
      <c r="T7" s="12">
        <f>+BS!N8</f>
        <v>439059.22196947178</v>
      </c>
      <c r="U7" s="307"/>
      <c r="V7" s="309"/>
      <c r="W7" s="311"/>
      <c r="X7" s="305"/>
      <c r="Y7" s="12">
        <f>+BS!O8</f>
        <v>411519.75988188828</v>
      </c>
      <c r="Z7" s="307"/>
      <c r="AA7" s="309"/>
      <c r="AB7" s="311"/>
      <c r="AC7" s="305"/>
      <c r="AD7" s="12">
        <f>+BS!P8</f>
        <v>369989.18656978931</v>
      </c>
      <c r="AE7" s="307"/>
      <c r="AF7" s="309"/>
      <c r="AG7" s="311"/>
      <c r="AH7" s="305"/>
      <c r="AI7" s="12">
        <f>+BS!Q8</f>
        <v>446569.74313855846</v>
      </c>
      <c r="AJ7" s="307"/>
      <c r="AK7" s="309"/>
      <c r="AL7" s="311"/>
      <c r="AM7" s="305"/>
      <c r="AN7" s="12">
        <f>+BS!R8</f>
        <v>330492.52988703322</v>
      </c>
      <c r="AO7" s="307"/>
      <c r="AP7" s="309"/>
      <c r="AQ7" s="311"/>
      <c r="AR7" s="305"/>
      <c r="AS7" s="12">
        <f>+BS!S8</f>
        <v>348078.36616399197</v>
      </c>
      <c r="AT7" s="307"/>
      <c r="AU7" s="309"/>
      <c r="AV7" s="311"/>
      <c r="AW7" s="305"/>
      <c r="AX7" s="12">
        <f>+BS!T8</f>
        <v>304542.12343026209</v>
      </c>
      <c r="AY7" s="307"/>
      <c r="AZ7" s="309"/>
      <c r="BA7" s="311"/>
      <c r="BB7" s="305"/>
      <c r="BC7" s="12">
        <f>+BS!U8</f>
        <v>448015.96336202306</v>
      </c>
      <c r="BD7" s="307"/>
      <c r="BE7" s="309"/>
      <c r="BF7" s="311"/>
      <c r="BG7" s="305"/>
      <c r="BH7" s="12">
        <f>+BS!V8</f>
        <v>517153.43705443095</v>
      </c>
      <c r="BI7" s="307"/>
      <c r="BJ7" s="309"/>
      <c r="BK7" s="311"/>
      <c r="BL7" s="305"/>
      <c r="BM7" s="12">
        <f>+BS!W8</f>
        <v>401737.60723348631</v>
      </c>
      <c r="BN7" s="307"/>
      <c r="BO7" s="309"/>
      <c r="BP7" s="311"/>
      <c r="BQ7" s="305"/>
      <c r="BR7" s="12">
        <f>+BS!X8</f>
        <v>482089.5581289659</v>
      </c>
      <c r="BS7" s="307"/>
      <c r="BT7" s="309"/>
      <c r="BU7" s="311"/>
      <c r="BV7" s="305"/>
      <c r="BW7" s="12">
        <f>+BS!Y8</f>
        <v>423570.72605710692</v>
      </c>
      <c r="BX7" s="307"/>
      <c r="BY7" s="309"/>
      <c r="BZ7" s="311"/>
      <c r="CA7" s="305"/>
      <c r="CB7" s="12">
        <f>+BS!Z8</f>
        <v>450120.16656572366</v>
      </c>
      <c r="CC7" s="307"/>
      <c r="CD7" s="309"/>
      <c r="CE7" s="311"/>
      <c r="CF7" s="305"/>
      <c r="CG7" s="12">
        <f>+BS!AA8</f>
        <v>503626.13329232932</v>
      </c>
      <c r="CH7" s="307"/>
      <c r="CI7" s="309"/>
      <c r="CJ7" s="311"/>
      <c r="CK7" s="305"/>
      <c r="CL7" s="12">
        <f>+BS!AB8</f>
        <v>534228.98246068764</v>
      </c>
      <c r="CM7" s="307"/>
      <c r="CN7" s="309"/>
      <c r="CO7" s="311"/>
      <c r="CP7" s="305"/>
      <c r="CQ7" s="12">
        <f>+BS!AC8</f>
        <v>533482.99974319467</v>
      </c>
      <c r="CR7" s="307"/>
      <c r="CS7" s="309"/>
      <c r="CT7" s="311"/>
    </row>
    <row r="8" spans="1:98" ht="18" customHeight="1" x14ac:dyDescent="0.2">
      <c r="A8" s="11"/>
      <c r="B8" s="320" t="s">
        <v>113</v>
      </c>
      <c r="C8" s="322" t="s">
        <v>110</v>
      </c>
      <c r="D8" s="304"/>
      <c r="E8" s="10">
        <f>+E6</f>
        <v>5517.7470153079903</v>
      </c>
      <c r="F8" s="306" t="s">
        <v>114</v>
      </c>
      <c r="G8" s="308">
        <v>100</v>
      </c>
      <c r="H8" s="310">
        <f>IF(E9=0,"-",(E8/E9)*G8)</f>
        <v>5.3939659079599442</v>
      </c>
      <c r="I8" s="304"/>
      <c r="J8" s="10">
        <f>+J6</f>
        <v>9127.4785050008759</v>
      </c>
      <c r="K8" s="306" t="s">
        <v>111</v>
      </c>
      <c r="L8" s="308">
        <v>100</v>
      </c>
      <c r="M8" s="310">
        <f>IF(J9=0,"-",(J8/J9)*L8)</f>
        <v>5.7014383068040759</v>
      </c>
      <c r="N8" s="304"/>
      <c r="O8" s="10">
        <f>+O6</f>
        <v>3577.1446193826596</v>
      </c>
      <c r="P8" s="306" t="s">
        <v>111</v>
      </c>
      <c r="Q8" s="308">
        <v>100</v>
      </c>
      <c r="R8" s="310">
        <f>IF(O9=0,"-",(O8/O9)*Q8)</f>
        <v>3.2953613985611758</v>
      </c>
      <c r="S8" s="304"/>
      <c r="T8" s="10">
        <f>+T6</f>
        <v>17079.226625996056</v>
      </c>
      <c r="U8" s="306" t="s">
        <v>111</v>
      </c>
      <c r="V8" s="308">
        <v>100</v>
      </c>
      <c r="W8" s="310">
        <f>IF(T9=0,"-",(T8/T9)*V8)</f>
        <v>12.277836418586487</v>
      </c>
      <c r="X8" s="304"/>
      <c r="Y8" s="10">
        <f>+Y6</f>
        <v>6659.4918801793892</v>
      </c>
      <c r="Z8" s="306" t="s">
        <v>111</v>
      </c>
      <c r="AA8" s="308">
        <v>100</v>
      </c>
      <c r="AB8" s="310">
        <f>IF(Y9=0,"-",(Y8/Y9)*AA8)</f>
        <v>3.4761864159831921</v>
      </c>
      <c r="AC8" s="304"/>
      <c r="AD8" s="10">
        <f>+AD6</f>
        <v>2463.6837859254802</v>
      </c>
      <c r="AE8" s="306" t="s">
        <v>111</v>
      </c>
      <c r="AF8" s="308">
        <v>100</v>
      </c>
      <c r="AG8" s="310">
        <f>IF(AD9=0,"-",(AD8/AD9)*AF8)</f>
        <v>1.75466301143401</v>
      </c>
      <c r="AH8" s="304"/>
      <c r="AI8" s="10">
        <f>+AI6</f>
        <v>-1797.7817804879176</v>
      </c>
      <c r="AJ8" s="306" t="s">
        <v>114</v>
      </c>
      <c r="AK8" s="308">
        <v>100</v>
      </c>
      <c r="AL8" s="310">
        <f>IF(AI9=0,"-",(AI8/AI9)*AK8)</f>
        <v>-0.92418510741941051</v>
      </c>
      <c r="AM8" s="304"/>
      <c r="AN8" s="10">
        <f>+AN6</f>
        <v>4677.0994597093013</v>
      </c>
      <c r="AO8" s="306" t="s">
        <v>114</v>
      </c>
      <c r="AP8" s="308">
        <v>100</v>
      </c>
      <c r="AQ8" s="310">
        <f>IF(AN9=0,"-",(AN8/AN9)*AP8)</f>
        <v>3.4074328617698617</v>
      </c>
      <c r="AR8" s="304"/>
      <c r="AS8" s="10">
        <f>+AS6</f>
        <v>18330.605961998706</v>
      </c>
      <c r="AT8" s="306" t="s">
        <v>111</v>
      </c>
      <c r="AU8" s="308">
        <v>100</v>
      </c>
      <c r="AV8" s="310">
        <f>IF(AS9=0,"-",(AS8/AS9)*AU8)</f>
        <v>13.792456336878125</v>
      </c>
      <c r="AW8" s="304"/>
      <c r="AX8" s="10">
        <f>+AX6</f>
        <v>12258.669644283404</v>
      </c>
      <c r="AY8" s="306" t="s">
        <v>111</v>
      </c>
      <c r="AZ8" s="308">
        <v>100</v>
      </c>
      <c r="BA8" s="310">
        <f>IF(AX9=0,"-",(AX8/AX9)*AZ8)</f>
        <v>11.739224569242424</v>
      </c>
      <c r="BB8" s="304"/>
      <c r="BC8" s="10">
        <f>+BC6</f>
        <v>11457.792954600152</v>
      </c>
      <c r="BD8" s="306" t="s">
        <v>111</v>
      </c>
      <c r="BE8" s="308">
        <v>100</v>
      </c>
      <c r="BF8" s="310">
        <f>IF(BC9=0,"-",(BC8/BC9)*BE8)</f>
        <v>4.9946338222187903</v>
      </c>
      <c r="BG8" s="304"/>
      <c r="BH8" s="10">
        <f>+BH6</f>
        <v>17642.907715193411</v>
      </c>
      <c r="BI8" s="306" t="s">
        <v>111</v>
      </c>
      <c r="BJ8" s="308">
        <v>100</v>
      </c>
      <c r="BK8" s="310">
        <f>IF(BH9=0,"-",(BH8/BH9)*BJ8)</f>
        <v>7.1247516398042636</v>
      </c>
      <c r="BL8" s="304"/>
      <c r="BM8" s="10">
        <f>+BM6</f>
        <v>13084.615362251294</v>
      </c>
      <c r="BN8" s="306" t="s">
        <v>111</v>
      </c>
      <c r="BO8" s="308">
        <v>100</v>
      </c>
      <c r="BP8" s="310">
        <f>IF(BM9=0,"-",(BM8/BM9)*BO8)</f>
        <v>7.4954888094675391</v>
      </c>
      <c r="BQ8" s="304"/>
      <c r="BR8" s="10">
        <f>+BR6</f>
        <v>14263.983767058991</v>
      </c>
      <c r="BS8" s="306" t="s">
        <v>111</v>
      </c>
      <c r="BT8" s="308">
        <v>100</v>
      </c>
      <c r="BU8" s="310">
        <f>IF(BR9=0,"-",(BR8/BR9)*BT8)</f>
        <v>6.120232290332094</v>
      </c>
      <c r="BV8" s="304"/>
      <c r="BW8" s="10">
        <f>+BW6</f>
        <v>9870.8653483552771</v>
      </c>
      <c r="BX8" s="306" t="s">
        <v>111</v>
      </c>
      <c r="BY8" s="308">
        <v>100</v>
      </c>
      <c r="BZ8" s="310">
        <f>IF(BW9=0,"-",(BW8/BW9)*BY8)</f>
        <v>4.9588340400467903</v>
      </c>
      <c r="CA8" s="304"/>
      <c r="CB8" s="10">
        <f>+CB6</f>
        <v>14249.19386772373</v>
      </c>
      <c r="CC8" s="306" t="s">
        <v>111</v>
      </c>
      <c r="CD8" s="308">
        <v>100</v>
      </c>
      <c r="CE8" s="310">
        <f>IF(CB9=0,"-",(CB8/CB9)*CD8)</f>
        <v>7.3863968038887844</v>
      </c>
      <c r="CF8" s="304"/>
      <c r="CG8" s="10">
        <f>+CG6</f>
        <v>16846.532554257094</v>
      </c>
      <c r="CH8" s="306" t="s">
        <v>114</v>
      </c>
      <c r="CI8" s="308">
        <v>100</v>
      </c>
      <c r="CJ8" s="310">
        <f>IF(CG9=0,"-",(CG8/CG9)*CI8)</f>
        <v>6.3152684979796998</v>
      </c>
      <c r="CK8" s="304"/>
      <c r="CL8" s="10">
        <f>+CL6</f>
        <v>17523.236305512357</v>
      </c>
      <c r="CM8" s="306" t="s">
        <v>111</v>
      </c>
      <c r="CN8" s="308">
        <v>100</v>
      </c>
      <c r="CO8" s="310">
        <f>IF(CL9=0,"-",(CL8/CL9)*CN8)</f>
        <v>6.5895389785658871</v>
      </c>
      <c r="CP8" s="304"/>
      <c r="CQ8" s="10">
        <f>+CQ6</f>
        <v>18128.290960451977</v>
      </c>
      <c r="CR8" s="306" t="s">
        <v>111</v>
      </c>
      <c r="CS8" s="308">
        <v>100</v>
      </c>
      <c r="CT8" s="310">
        <f>IF(CQ9=0,"-",(CQ8/CQ9)*CS8)</f>
        <v>9.0605167595513105</v>
      </c>
    </row>
    <row r="9" spans="1:98" ht="18" customHeight="1" x14ac:dyDescent="0.2">
      <c r="A9" s="11"/>
      <c r="B9" s="321"/>
      <c r="C9" s="323"/>
      <c r="D9" s="305"/>
      <c r="E9" s="12">
        <f>+BS!K43</f>
        <v>102294.807002124</v>
      </c>
      <c r="F9" s="307"/>
      <c r="G9" s="309"/>
      <c r="H9" s="311"/>
      <c r="I9" s="305"/>
      <c r="J9" s="12">
        <f>+BS!L43</f>
        <v>160090.80540445691</v>
      </c>
      <c r="K9" s="307"/>
      <c r="L9" s="309"/>
      <c r="M9" s="311"/>
      <c r="N9" s="305"/>
      <c r="O9" s="12">
        <f>+BS!M43</f>
        <v>108550.90494610141</v>
      </c>
      <c r="P9" s="307"/>
      <c r="Q9" s="309"/>
      <c r="R9" s="311"/>
      <c r="S9" s="305"/>
      <c r="T9" s="12">
        <f>+BS!N43</f>
        <v>139106.15880287433</v>
      </c>
      <c r="U9" s="307"/>
      <c r="V9" s="309"/>
      <c r="W9" s="311"/>
      <c r="X9" s="305"/>
      <c r="Y9" s="12">
        <f>+BS!O43</f>
        <v>191574.64771048079</v>
      </c>
      <c r="Z9" s="307"/>
      <c r="AA9" s="309"/>
      <c r="AB9" s="311"/>
      <c r="AC9" s="305"/>
      <c r="AD9" s="12">
        <f>+BS!P43</f>
        <v>140407.80308647518</v>
      </c>
      <c r="AE9" s="307"/>
      <c r="AF9" s="309"/>
      <c r="AG9" s="311"/>
      <c r="AH9" s="305"/>
      <c r="AI9" s="12">
        <f>+BS!Q43</f>
        <v>194526.15780704789</v>
      </c>
      <c r="AJ9" s="307"/>
      <c r="AK9" s="309"/>
      <c r="AL9" s="311"/>
      <c r="AM9" s="305"/>
      <c r="AN9" s="12">
        <f>+BS!R43</f>
        <v>137261.67614876965</v>
      </c>
      <c r="AO9" s="307"/>
      <c r="AP9" s="309"/>
      <c r="AQ9" s="311"/>
      <c r="AR9" s="305"/>
      <c r="AS9" s="12">
        <f>+BS!S43</f>
        <v>132903.12845135876</v>
      </c>
      <c r="AT9" s="307"/>
      <c r="AU9" s="309"/>
      <c r="AV9" s="311"/>
      <c r="AW9" s="305"/>
      <c r="AX9" s="12">
        <f>+BS!T43</f>
        <v>104424.86700869461</v>
      </c>
      <c r="AY9" s="307"/>
      <c r="AZ9" s="309"/>
      <c r="BA9" s="311"/>
      <c r="BB9" s="305"/>
      <c r="BC9" s="12">
        <f>+BS!U43</f>
        <v>229402.06154112416</v>
      </c>
      <c r="BD9" s="307"/>
      <c r="BE9" s="309"/>
      <c r="BF9" s="311"/>
      <c r="BG9" s="305"/>
      <c r="BH9" s="12">
        <f>+BS!V43</f>
        <v>247628.38913046109</v>
      </c>
      <c r="BI9" s="307"/>
      <c r="BJ9" s="309"/>
      <c r="BK9" s="311"/>
      <c r="BL9" s="305"/>
      <c r="BM9" s="12">
        <f>+BS!W43</f>
        <v>174566.53855215071</v>
      </c>
      <c r="BN9" s="307"/>
      <c r="BO9" s="309"/>
      <c r="BP9" s="311"/>
      <c r="BQ9" s="305"/>
      <c r="BR9" s="12">
        <f>+BS!X43</f>
        <v>233062.78406444282</v>
      </c>
      <c r="BS9" s="307"/>
      <c r="BT9" s="309"/>
      <c r="BU9" s="311"/>
      <c r="BV9" s="305"/>
      <c r="BW9" s="12">
        <f>+BS!Y43</f>
        <v>199056.17467008712</v>
      </c>
      <c r="BX9" s="307"/>
      <c r="BY9" s="309"/>
      <c r="BZ9" s="311"/>
      <c r="CA9" s="305"/>
      <c r="CB9" s="12">
        <f>+BS!Z43</f>
        <v>192911.29688865112</v>
      </c>
      <c r="CC9" s="307"/>
      <c r="CD9" s="309"/>
      <c r="CE9" s="311"/>
      <c r="CF9" s="305"/>
      <c r="CG9" s="12">
        <f>+BS!AA43</f>
        <v>266758.76979175821</v>
      </c>
      <c r="CH9" s="307"/>
      <c r="CI9" s="309"/>
      <c r="CJ9" s="311"/>
      <c r="CK9" s="305"/>
      <c r="CL9" s="12">
        <f>+BS!AB43</f>
        <v>265925.07249006396</v>
      </c>
      <c r="CM9" s="307"/>
      <c r="CN9" s="309"/>
      <c r="CO9" s="311"/>
      <c r="CP9" s="305"/>
      <c r="CQ9" s="12">
        <f>+BS!AC43</f>
        <v>200080.09964047253</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83541.097927195078</v>
      </c>
      <c r="F11" s="306" t="s">
        <v>118</v>
      </c>
      <c r="G11" s="308">
        <v>100</v>
      </c>
      <c r="H11" s="310">
        <f>IF(E12=0,"-",(E11/E12)*G11)</f>
        <v>20.571071293983874</v>
      </c>
      <c r="I11" s="304"/>
      <c r="J11" s="10">
        <f>+PL!L41</f>
        <v>103323.47780312336</v>
      </c>
      <c r="K11" s="306" t="s">
        <v>111</v>
      </c>
      <c r="L11" s="308">
        <v>100</v>
      </c>
      <c r="M11" s="310">
        <f>IF(J12=0,"-",(J11/J12)*L11)</f>
        <v>21.335121524472196</v>
      </c>
      <c r="N11" s="304"/>
      <c r="O11" s="10">
        <f>+PL!M41</f>
        <v>89493.631320471759</v>
      </c>
      <c r="P11" s="306" t="s">
        <v>111</v>
      </c>
      <c r="Q11" s="308">
        <v>100</v>
      </c>
      <c r="R11" s="310">
        <f>IF(O12=0,"-",(O11/O12)*Q11)</f>
        <v>21.490843452008004</v>
      </c>
      <c r="S11" s="304"/>
      <c r="T11" s="10">
        <f>+PL!N41</f>
        <v>103970.07853626658</v>
      </c>
      <c r="U11" s="306" t="s">
        <v>111</v>
      </c>
      <c r="V11" s="308">
        <v>100</v>
      </c>
      <c r="W11" s="310">
        <f>IF(T12=0,"-",(T11/T12)*V11)</f>
        <v>14.167471593199043</v>
      </c>
      <c r="X11" s="304"/>
      <c r="Y11" s="10">
        <f>+PL!O41</f>
        <v>96859.043408921279</v>
      </c>
      <c r="Z11" s="306" t="s">
        <v>111</v>
      </c>
      <c r="AA11" s="308">
        <v>100</v>
      </c>
      <c r="AB11" s="310">
        <f>IF(Y12=0,"-",(Y11/Y12)*AA11)</f>
        <v>17.654537300469464</v>
      </c>
      <c r="AC11" s="304"/>
      <c r="AD11" s="10">
        <f>+PL!P41</f>
        <v>83115.315270501014</v>
      </c>
      <c r="AE11" s="306" t="s">
        <v>111</v>
      </c>
      <c r="AF11" s="308">
        <v>100</v>
      </c>
      <c r="AG11" s="310">
        <f>IF(AD12=0,"-",(AD11/AD12)*AF11)</f>
        <v>19.082873013957329</v>
      </c>
      <c r="AH11" s="304"/>
      <c r="AI11" s="10">
        <f>+PL!Q41</f>
        <v>77355.044505495287</v>
      </c>
      <c r="AJ11" s="306" t="s">
        <v>118</v>
      </c>
      <c r="AK11" s="308">
        <v>100</v>
      </c>
      <c r="AL11" s="310">
        <f>IF(AI12=0,"-",(AI11/AI12)*AK11)</f>
        <v>17.289451516618879</v>
      </c>
      <c r="AM11" s="304"/>
      <c r="AN11" s="10">
        <f>+PL!R41</f>
        <v>79885.15107934938</v>
      </c>
      <c r="AO11" s="306" t="s">
        <v>119</v>
      </c>
      <c r="AP11" s="308">
        <v>100</v>
      </c>
      <c r="AQ11" s="310">
        <f>IF(AN12=0,"-",(AN11/AN12)*AP11)</f>
        <v>23.188273772471398</v>
      </c>
      <c r="AR11" s="304"/>
      <c r="AS11" s="10">
        <f>+PL!S41</f>
        <v>88516.933943075041</v>
      </c>
      <c r="AT11" s="306" t="s">
        <v>111</v>
      </c>
      <c r="AU11" s="308">
        <v>100</v>
      </c>
      <c r="AV11" s="310">
        <f>IF(AS12=0,"-",(AS11/AS12)*AU11)</f>
        <v>21.086187230608044</v>
      </c>
      <c r="AW11" s="304"/>
      <c r="AX11" s="10">
        <f>+PL!T41</f>
        <v>82124.792948148621</v>
      </c>
      <c r="AY11" s="306" t="s">
        <v>111</v>
      </c>
      <c r="AZ11" s="308">
        <v>100</v>
      </c>
      <c r="BA11" s="310">
        <f>IF(AX12=0,"-",(AX11/AX12)*AZ11)</f>
        <v>21.70785345852541</v>
      </c>
      <c r="BB11" s="304"/>
      <c r="BC11" s="10">
        <f>+PL!U41</f>
        <v>95521.85928874962</v>
      </c>
      <c r="BD11" s="306" t="s">
        <v>111</v>
      </c>
      <c r="BE11" s="308">
        <v>100</v>
      </c>
      <c r="BF11" s="310">
        <f>IF(BC12=0,"-",(BC11/BC12)*BE11)</f>
        <v>21.064051511369499</v>
      </c>
      <c r="BG11" s="304"/>
      <c r="BH11" s="10">
        <f>+PL!V41</f>
        <v>115869.84077432846</v>
      </c>
      <c r="BI11" s="306" t="s">
        <v>111</v>
      </c>
      <c r="BJ11" s="308">
        <v>100</v>
      </c>
      <c r="BK11" s="310">
        <f>IF(BH12=0,"-",(BH11/BH12)*BJ11)</f>
        <v>21.743755049264841</v>
      </c>
      <c r="BL11" s="304"/>
      <c r="BM11" s="10">
        <f>+PL!W41</f>
        <v>98038.697877844577</v>
      </c>
      <c r="BN11" s="306" t="s">
        <v>111</v>
      </c>
      <c r="BO11" s="308">
        <v>100</v>
      </c>
      <c r="BP11" s="310">
        <f>IF(BM12=0,"-",(BM11/BM12)*BO11)</f>
        <v>20.533512498752589</v>
      </c>
      <c r="BQ11" s="304"/>
      <c r="BR11" s="10">
        <f>+PL!X41</f>
        <v>99697.499451862634</v>
      </c>
      <c r="BS11" s="306" t="s">
        <v>111</v>
      </c>
      <c r="BT11" s="308">
        <v>100</v>
      </c>
      <c r="BU11" s="310">
        <f>IF(BR12=0,"-",(BR11/BR12)*BT11)</f>
        <v>20.187590716651307</v>
      </c>
      <c r="BV11" s="304"/>
      <c r="BW11" s="10">
        <f>+PL!Y41</f>
        <v>104094.3699585631</v>
      </c>
      <c r="BX11" s="306" t="s">
        <v>111</v>
      </c>
      <c r="BY11" s="308">
        <v>100</v>
      </c>
      <c r="BZ11" s="310">
        <f>IF(BW12=0,"-",(BW11/BW12)*BY11)</f>
        <v>20.948704497648901</v>
      </c>
      <c r="CA11" s="304"/>
      <c r="CB11" s="10">
        <f>+PL!Z41</f>
        <v>97922.405508280412</v>
      </c>
      <c r="CC11" s="306" t="s">
        <v>111</v>
      </c>
      <c r="CD11" s="308">
        <v>100</v>
      </c>
      <c r="CE11" s="310">
        <f>IF(CB12=0,"-",(CB11/CB12)*CD11)</f>
        <v>20.050916242996415</v>
      </c>
      <c r="CF11" s="304"/>
      <c r="CG11" s="10">
        <f>+PL!AA41</f>
        <v>114188.97601265267</v>
      </c>
      <c r="CH11" s="306" t="s">
        <v>119</v>
      </c>
      <c r="CI11" s="308">
        <v>100</v>
      </c>
      <c r="CJ11" s="310">
        <f>IF(CG12=0,"-",(CG11/CG12)*CI11)</f>
        <v>21.092134301990907</v>
      </c>
      <c r="CK11" s="304"/>
      <c r="CL11" s="10">
        <f>+PL!AB41</f>
        <v>108333.9755486435</v>
      </c>
      <c r="CM11" s="306" t="s">
        <v>111</v>
      </c>
      <c r="CN11" s="308">
        <v>100</v>
      </c>
      <c r="CO11" s="310">
        <f>IF(CL12=0,"-",(CL11/CL12)*CN11)</f>
        <v>20.538766084847861</v>
      </c>
      <c r="CP11" s="304"/>
      <c r="CQ11" s="10">
        <f>+PL!AC41</f>
        <v>107773.21580208867</v>
      </c>
      <c r="CR11" s="306" t="s">
        <v>111</v>
      </c>
      <c r="CS11" s="308">
        <v>100</v>
      </c>
      <c r="CT11" s="310">
        <f>IF(CQ12=0,"-",(CQ11/CQ12)*CS11)</f>
        <v>19.869461637191439</v>
      </c>
    </row>
    <row r="12" spans="1:98" ht="18" customHeight="1" x14ac:dyDescent="0.2">
      <c r="A12" s="16"/>
      <c r="B12" s="321"/>
      <c r="C12" s="323"/>
      <c r="D12" s="305"/>
      <c r="E12" s="12">
        <f>+PL!K6</f>
        <v>406109.61253936804</v>
      </c>
      <c r="F12" s="307"/>
      <c r="G12" s="309"/>
      <c r="H12" s="311"/>
      <c r="I12" s="305"/>
      <c r="J12" s="12">
        <f>+PL!L6</f>
        <v>484288.20845762413</v>
      </c>
      <c r="K12" s="307"/>
      <c r="L12" s="309"/>
      <c r="M12" s="311"/>
      <c r="N12" s="305"/>
      <c r="O12" s="12">
        <f>+PL!M6</f>
        <v>416426.79832610243</v>
      </c>
      <c r="P12" s="307"/>
      <c r="Q12" s="309"/>
      <c r="R12" s="311"/>
      <c r="S12" s="305"/>
      <c r="T12" s="12">
        <f>+PL!N6</f>
        <v>733864.73974775011</v>
      </c>
      <c r="U12" s="307"/>
      <c r="V12" s="309"/>
      <c r="W12" s="311"/>
      <c r="X12" s="305"/>
      <c r="Y12" s="12">
        <f>+PL!O6</f>
        <v>548635.41173829371</v>
      </c>
      <c r="Z12" s="307"/>
      <c r="AA12" s="309"/>
      <c r="AB12" s="311"/>
      <c r="AC12" s="305"/>
      <c r="AD12" s="12">
        <f>+PL!P6</f>
        <v>435549.2760954285</v>
      </c>
      <c r="AE12" s="307"/>
      <c r="AF12" s="309"/>
      <c r="AG12" s="311"/>
      <c r="AH12" s="305"/>
      <c r="AI12" s="12">
        <f>+PL!Q6</f>
        <v>447411.78996418981</v>
      </c>
      <c r="AJ12" s="307"/>
      <c r="AK12" s="309"/>
      <c r="AL12" s="311"/>
      <c r="AM12" s="305"/>
      <c r="AN12" s="12">
        <f>+PL!R6</f>
        <v>344506.67549986951</v>
      </c>
      <c r="AO12" s="307"/>
      <c r="AP12" s="309"/>
      <c r="AQ12" s="311"/>
      <c r="AR12" s="305"/>
      <c r="AS12" s="12">
        <f>+PL!S6</f>
        <v>419786.34152781614</v>
      </c>
      <c r="AT12" s="307"/>
      <c r="AU12" s="309"/>
      <c r="AV12" s="311"/>
      <c r="AW12" s="305"/>
      <c r="AX12" s="12">
        <f>+PL!T6</f>
        <v>378318.34964730439</v>
      </c>
      <c r="AY12" s="307"/>
      <c r="AZ12" s="309"/>
      <c r="BA12" s="311"/>
      <c r="BB12" s="305"/>
      <c r="BC12" s="12">
        <f>+PL!U6</f>
        <v>453482.84130994877</v>
      </c>
      <c r="BD12" s="307"/>
      <c r="BE12" s="309"/>
      <c r="BF12" s="311"/>
      <c r="BG12" s="305"/>
      <c r="BH12" s="12">
        <f>+PL!V6</f>
        <v>532887.90511023544</v>
      </c>
      <c r="BI12" s="307"/>
      <c r="BJ12" s="309"/>
      <c r="BK12" s="311"/>
      <c r="BL12" s="305"/>
      <c r="BM12" s="12">
        <f>+PL!W6</f>
        <v>477457.02486995549</v>
      </c>
      <c r="BN12" s="307"/>
      <c r="BO12" s="309"/>
      <c r="BP12" s="311"/>
      <c r="BQ12" s="305"/>
      <c r="BR12" s="12">
        <f>+PL!X6</f>
        <v>493855.36318422219</v>
      </c>
      <c r="BS12" s="307"/>
      <c r="BT12" s="309"/>
      <c r="BU12" s="311"/>
      <c r="BV12" s="305"/>
      <c r="BW12" s="12">
        <f>+PL!Y6</f>
        <v>496901.22828476451</v>
      </c>
      <c r="BX12" s="307"/>
      <c r="BY12" s="309"/>
      <c r="BZ12" s="311"/>
      <c r="CA12" s="305"/>
      <c r="CB12" s="12">
        <f>+PL!Z6</f>
        <v>488368.73248863994</v>
      </c>
      <c r="CC12" s="307"/>
      <c r="CD12" s="309"/>
      <c r="CE12" s="311"/>
      <c r="CF12" s="305"/>
      <c r="CG12" s="12">
        <f>+PL!AA6</f>
        <v>541381.79843598977</v>
      </c>
      <c r="CH12" s="307"/>
      <c r="CI12" s="309"/>
      <c r="CJ12" s="311"/>
      <c r="CK12" s="305"/>
      <c r="CL12" s="12">
        <f>+PL!AB6</f>
        <v>527460.97356143082</v>
      </c>
      <c r="CM12" s="307"/>
      <c r="CN12" s="309"/>
      <c r="CO12" s="311"/>
      <c r="CP12" s="305"/>
      <c r="CQ12" s="12">
        <f>+PL!AC6</f>
        <v>542406.32066426985</v>
      </c>
      <c r="CR12" s="307"/>
      <c r="CS12" s="309"/>
      <c r="CT12" s="311"/>
    </row>
    <row r="13" spans="1:98" ht="18" customHeight="1" x14ac:dyDescent="0.2">
      <c r="A13" s="17"/>
      <c r="B13" s="320" t="s">
        <v>120</v>
      </c>
      <c r="C13" s="322" t="s">
        <v>117</v>
      </c>
      <c r="D13" s="304"/>
      <c r="E13" s="10">
        <f>+PL!K42</f>
        <v>14275.1929978751</v>
      </c>
      <c r="F13" s="306" t="s">
        <v>121</v>
      </c>
      <c r="G13" s="308">
        <v>100</v>
      </c>
      <c r="H13" s="310">
        <f>IF(E14=0,"-",(E13/E14)*G13)</f>
        <v>3.5151083739716378</v>
      </c>
      <c r="I13" s="304"/>
      <c r="J13" s="10">
        <f>+PL!L42</f>
        <v>16172.223197052139</v>
      </c>
      <c r="K13" s="306" t="s">
        <v>111</v>
      </c>
      <c r="L13" s="308">
        <v>100</v>
      </c>
      <c r="M13" s="310">
        <f>IF(J14=0,"-",(J13/J14)*L13)</f>
        <v>3.339379921835786</v>
      </c>
      <c r="N13" s="304"/>
      <c r="O13" s="10">
        <f>+PL!M42</f>
        <v>15611.055939696322</v>
      </c>
      <c r="P13" s="306" t="s">
        <v>111</v>
      </c>
      <c r="Q13" s="308">
        <v>100</v>
      </c>
      <c r="R13" s="310">
        <f>IF(O14=0,"-",(O13/O14)*Q13)</f>
        <v>3.748811556424223</v>
      </c>
      <c r="S13" s="304"/>
      <c r="T13" s="10">
        <f>+PL!N42</f>
        <v>29989.665620941669</v>
      </c>
      <c r="U13" s="306" t="s">
        <v>111</v>
      </c>
      <c r="V13" s="308">
        <v>100</v>
      </c>
      <c r="W13" s="310">
        <f>IF(T14=0,"-",(T13/T14)*V13)</f>
        <v>4.0865385672092591</v>
      </c>
      <c r="X13" s="304"/>
      <c r="Y13" s="10">
        <f>+PL!O42</f>
        <v>14528.430940357735</v>
      </c>
      <c r="Z13" s="306" t="s">
        <v>111</v>
      </c>
      <c r="AA13" s="308">
        <v>100</v>
      </c>
      <c r="AB13" s="310">
        <f>IF(Y14=0,"-",(Y13/Y14)*AA13)</f>
        <v>2.6481030260744429</v>
      </c>
      <c r="AC13" s="304"/>
      <c r="AD13" s="10">
        <f>+PL!P42</f>
        <v>8874.1776438745437</v>
      </c>
      <c r="AE13" s="306" t="s">
        <v>111</v>
      </c>
      <c r="AF13" s="308">
        <v>100</v>
      </c>
      <c r="AG13" s="310">
        <f>IF(AD14=0,"-",(AD13/AD14)*AF13)</f>
        <v>2.0374681192054647</v>
      </c>
      <c r="AH13" s="304"/>
      <c r="AI13" s="10">
        <f>+PL!Q42</f>
        <v>189.43328614985074</v>
      </c>
      <c r="AJ13" s="306" t="s">
        <v>121</v>
      </c>
      <c r="AK13" s="308">
        <v>100</v>
      </c>
      <c r="AL13" s="310">
        <f>IF(AI14=0,"-",(AI13/AI14)*AK13)</f>
        <v>4.2339806504654853E-2</v>
      </c>
      <c r="AM13" s="304"/>
      <c r="AN13" s="10">
        <f>+PL!R42</f>
        <v>11266.355704716734</v>
      </c>
      <c r="AO13" s="306" t="s">
        <v>118</v>
      </c>
      <c r="AP13" s="308">
        <v>100</v>
      </c>
      <c r="AQ13" s="310">
        <f>IF(AN14=0,"-",(AN13/AN14)*AP13)</f>
        <v>3.270286617340453</v>
      </c>
      <c r="AR13" s="304"/>
      <c r="AS13" s="10">
        <f>+PL!S42</f>
        <v>15460.30983469151</v>
      </c>
      <c r="AT13" s="306" t="s">
        <v>111</v>
      </c>
      <c r="AU13" s="308">
        <v>100</v>
      </c>
      <c r="AV13" s="310">
        <f>IF(AS14=0,"-",(AS13/AS14)*AU13)</f>
        <v>3.6828996814006794</v>
      </c>
      <c r="AW13" s="304"/>
      <c r="AX13" s="10">
        <f>+PL!T42</f>
        <v>19089.618807152841</v>
      </c>
      <c r="AY13" s="306" t="s">
        <v>111</v>
      </c>
      <c r="AZ13" s="308">
        <v>100</v>
      </c>
      <c r="BA13" s="310">
        <f>IF(AX14=0,"-",(AX13/AX14)*AZ13)</f>
        <v>5.0459140628387598</v>
      </c>
      <c r="BB13" s="304"/>
      <c r="BC13" s="10">
        <f>+PL!U42</f>
        <v>17127.573960358695</v>
      </c>
      <c r="BD13" s="306" t="s">
        <v>111</v>
      </c>
      <c r="BE13" s="308">
        <v>100</v>
      </c>
      <c r="BF13" s="310">
        <f>IF(BC14=0,"-",(BC13/BC14)*BE13)</f>
        <v>3.7768957058845483</v>
      </c>
      <c r="BG13" s="304"/>
      <c r="BH13" s="10">
        <f>+PL!V42</f>
        <v>22155.893111532238</v>
      </c>
      <c r="BI13" s="306" t="s">
        <v>111</v>
      </c>
      <c r="BJ13" s="308">
        <v>100</v>
      </c>
      <c r="BK13" s="310">
        <f>IF(BH14=0,"-",(BH13/BH14)*BJ13)</f>
        <v>4.1577023796306607</v>
      </c>
      <c r="BL13" s="304"/>
      <c r="BM13" s="10">
        <f>+PL!W42</f>
        <v>20320.520657159497</v>
      </c>
      <c r="BN13" s="306" t="s">
        <v>111</v>
      </c>
      <c r="BO13" s="308">
        <v>100</v>
      </c>
      <c r="BP13" s="310">
        <f>IF(BM14=0,"-",(BM13/BM14)*BO13)</f>
        <v>4.2559894605580846</v>
      </c>
      <c r="BQ13" s="304"/>
      <c r="BR13" s="10">
        <f>+PL!X42</f>
        <v>18783.872203889347</v>
      </c>
      <c r="BS13" s="306" t="s">
        <v>111</v>
      </c>
      <c r="BT13" s="308">
        <v>100</v>
      </c>
      <c r="BU13" s="310">
        <f>IF(BR14=0,"-",(BR13/BR14)*BT13)</f>
        <v>3.8035169007332259</v>
      </c>
      <c r="BV13" s="304"/>
      <c r="BW13" s="10">
        <f>+PL!Y42</f>
        <v>23903.87237241786</v>
      </c>
      <c r="BX13" s="306" t="s">
        <v>111</v>
      </c>
      <c r="BY13" s="308">
        <v>100</v>
      </c>
      <c r="BZ13" s="310">
        <f>IF(BW14=0,"-",(BW13/BW14)*BY13)</f>
        <v>4.8105883044263695</v>
      </c>
      <c r="CA13" s="304"/>
      <c r="CB13" s="10">
        <f>+PL!Z42</f>
        <v>19234.433819077665</v>
      </c>
      <c r="CC13" s="306" t="s">
        <v>111</v>
      </c>
      <c r="CD13" s="308">
        <v>100</v>
      </c>
      <c r="CE13" s="310">
        <f>IF(CB14=0,"-",(CB13/CB14)*CD13)</f>
        <v>3.9385064070466638</v>
      </c>
      <c r="CF13" s="304"/>
      <c r="CG13" s="10">
        <f>+PL!AA42</f>
        <v>24612.228538792726</v>
      </c>
      <c r="CH13" s="306" t="s">
        <v>118</v>
      </c>
      <c r="CI13" s="308">
        <v>100</v>
      </c>
      <c r="CJ13" s="310">
        <f>IF(CG14=0,"-",(CG13/CG14)*CI13)</f>
        <v>4.5461869257325525</v>
      </c>
      <c r="CK13" s="304"/>
      <c r="CL13" s="10">
        <f>+PL!AB42</f>
        <v>19511.056505961638</v>
      </c>
      <c r="CM13" s="306" t="s">
        <v>111</v>
      </c>
      <c r="CN13" s="308">
        <v>100</v>
      </c>
      <c r="CO13" s="310">
        <f>IF(CL14=0,"-",(CL13/CL14)*CN13)</f>
        <v>3.699052154365555</v>
      </c>
      <c r="CP13" s="304"/>
      <c r="CQ13" s="10">
        <f>+PL!AC42</f>
        <v>19347.807824002739</v>
      </c>
      <c r="CR13" s="306" t="s">
        <v>111</v>
      </c>
      <c r="CS13" s="308">
        <v>100</v>
      </c>
      <c r="CT13" s="310">
        <f>IF(CQ14=0,"-",(CQ13/CQ14)*CS13)</f>
        <v>3.5670321467323651</v>
      </c>
    </row>
    <row r="14" spans="1:98" ht="18" customHeight="1" x14ac:dyDescent="0.2">
      <c r="A14" s="17"/>
      <c r="B14" s="321"/>
      <c r="C14" s="323"/>
      <c r="D14" s="305"/>
      <c r="E14" s="12">
        <f>+E12</f>
        <v>406109.61253936804</v>
      </c>
      <c r="F14" s="307"/>
      <c r="G14" s="309"/>
      <c r="H14" s="311"/>
      <c r="I14" s="305"/>
      <c r="J14" s="12">
        <f>+J12</f>
        <v>484288.20845762413</v>
      </c>
      <c r="K14" s="307"/>
      <c r="L14" s="309"/>
      <c r="M14" s="311"/>
      <c r="N14" s="305"/>
      <c r="O14" s="12">
        <f>+O12</f>
        <v>416426.79832610243</v>
      </c>
      <c r="P14" s="307"/>
      <c r="Q14" s="309"/>
      <c r="R14" s="311"/>
      <c r="S14" s="305"/>
      <c r="T14" s="12">
        <f>+T12</f>
        <v>733864.73974775011</v>
      </c>
      <c r="U14" s="307"/>
      <c r="V14" s="309"/>
      <c r="W14" s="311"/>
      <c r="X14" s="305"/>
      <c r="Y14" s="12">
        <f>+Y12</f>
        <v>548635.41173829371</v>
      </c>
      <c r="Z14" s="307"/>
      <c r="AA14" s="309"/>
      <c r="AB14" s="311"/>
      <c r="AC14" s="305"/>
      <c r="AD14" s="12">
        <f>+AD12</f>
        <v>435549.2760954285</v>
      </c>
      <c r="AE14" s="307"/>
      <c r="AF14" s="309"/>
      <c r="AG14" s="311"/>
      <c r="AH14" s="305"/>
      <c r="AI14" s="12">
        <f>+AI12</f>
        <v>447411.78996418981</v>
      </c>
      <c r="AJ14" s="307"/>
      <c r="AK14" s="309"/>
      <c r="AL14" s="311"/>
      <c r="AM14" s="305"/>
      <c r="AN14" s="12">
        <f>+AN12</f>
        <v>344506.67549986951</v>
      </c>
      <c r="AO14" s="307"/>
      <c r="AP14" s="309"/>
      <c r="AQ14" s="311"/>
      <c r="AR14" s="305"/>
      <c r="AS14" s="12">
        <f>+AS12</f>
        <v>419786.34152781614</v>
      </c>
      <c r="AT14" s="307"/>
      <c r="AU14" s="309"/>
      <c r="AV14" s="311"/>
      <c r="AW14" s="305"/>
      <c r="AX14" s="12">
        <f>+AX12</f>
        <v>378318.34964730439</v>
      </c>
      <c r="AY14" s="307"/>
      <c r="AZ14" s="309"/>
      <c r="BA14" s="311"/>
      <c r="BB14" s="305"/>
      <c r="BC14" s="12">
        <f>+BC12</f>
        <v>453482.84130994877</v>
      </c>
      <c r="BD14" s="307"/>
      <c r="BE14" s="309"/>
      <c r="BF14" s="311"/>
      <c r="BG14" s="305"/>
      <c r="BH14" s="12">
        <f>+BH12</f>
        <v>532887.90511023544</v>
      </c>
      <c r="BI14" s="307"/>
      <c r="BJ14" s="309"/>
      <c r="BK14" s="311"/>
      <c r="BL14" s="305"/>
      <c r="BM14" s="12">
        <f>+BM12</f>
        <v>477457.02486995549</v>
      </c>
      <c r="BN14" s="307"/>
      <c r="BO14" s="309"/>
      <c r="BP14" s="311"/>
      <c r="BQ14" s="305"/>
      <c r="BR14" s="12">
        <f>+BR12</f>
        <v>493855.36318422219</v>
      </c>
      <c r="BS14" s="307"/>
      <c r="BT14" s="309"/>
      <c r="BU14" s="311"/>
      <c r="BV14" s="305"/>
      <c r="BW14" s="12">
        <f>+BW12</f>
        <v>496901.22828476451</v>
      </c>
      <c r="BX14" s="307"/>
      <c r="BY14" s="309"/>
      <c r="BZ14" s="311"/>
      <c r="CA14" s="305"/>
      <c r="CB14" s="12">
        <f>+CB12</f>
        <v>488368.73248863994</v>
      </c>
      <c r="CC14" s="307"/>
      <c r="CD14" s="309"/>
      <c r="CE14" s="311"/>
      <c r="CF14" s="305"/>
      <c r="CG14" s="12">
        <f>+CG12</f>
        <v>541381.79843598977</v>
      </c>
      <c r="CH14" s="307"/>
      <c r="CI14" s="309"/>
      <c r="CJ14" s="311"/>
      <c r="CK14" s="305"/>
      <c r="CL14" s="12">
        <f>+CL12</f>
        <v>527460.97356143082</v>
      </c>
      <c r="CM14" s="307"/>
      <c r="CN14" s="309"/>
      <c r="CO14" s="311"/>
      <c r="CP14" s="305"/>
      <c r="CQ14" s="12">
        <f>+CQ12</f>
        <v>542406.32066426985</v>
      </c>
      <c r="CR14" s="307"/>
      <c r="CS14" s="309"/>
      <c r="CT14" s="311"/>
    </row>
    <row r="15" spans="1:98" ht="18" customHeight="1" x14ac:dyDescent="0.2">
      <c r="A15" s="17"/>
      <c r="B15" s="320" t="s">
        <v>122</v>
      </c>
      <c r="C15" s="322" t="s">
        <v>117</v>
      </c>
      <c r="D15" s="304"/>
      <c r="E15" s="10">
        <f>+PL!K34</f>
        <v>13352.649967040199</v>
      </c>
      <c r="F15" s="306" t="s">
        <v>123</v>
      </c>
      <c r="G15" s="308">
        <v>100</v>
      </c>
      <c r="H15" s="310">
        <f>IF(E16=0,"-",(E15/E16)*G15)</f>
        <v>3.2879423571255164</v>
      </c>
      <c r="I15" s="304"/>
      <c r="J15" s="10">
        <f>+PL!L34</f>
        <v>16288.647131075628</v>
      </c>
      <c r="K15" s="306" t="s">
        <v>111</v>
      </c>
      <c r="L15" s="308">
        <v>100</v>
      </c>
      <c r="M15" s="310">
        <f>IF(J16=0,"-",(J15/J16)*L15)</f>
        <v>3.3634201383825153</v>
      </c>
      <c r="N15" s="304"/>
      <c r="O15" s="10">
        <f>+PL!M34</f>
        <v>14215.91183382935</v>
      </c>
      <c r="P15" s="306" t="s">
        <v>111</v>
      </c>
      <c r="Q15" s="308">
        <v>100</v>
      </c>
      <c r="R15" s="310">
        <f>IF(O16=0,"-",(O15/O16)*Q15)</f>
        <v>3.4137841010647247</v>
      </c>
      <c r="S15" s="304"/>
      <c r="T15" s="10">
        <f>+PL!N34</f>
        <v>30782.277270524366</v>
      </c>
      <c r="U15" s="306" t="s">
        <v>111</v>
      </c>
      <c r="V15" s="308">
        <v>100</v>
      </c>
      <c r="W15" s="310">
        <f>IF(T16=0,"-",(T15/T16)*V15)</f>
        <v>4.1945437085729305</v>
      </c>
      <c r="X15" s="304"/>
      <c r="Y15" s="10">
        <f>+PL!O34</f>
        <v>15900.586610850854</v>
      </c>
      <c r="Z15" s="306" t="s">
        <v>111</v>
      </c>
      <c r="AA15" s="308">
        <v>100</v>
      </c>
      <c r="AB15" s="310">
        <f>IF(Y16=0,"-",(Y15/Y16)*AA15)</f>
        <v>2.8982063991224183</v>
      </c>
      <c r="AC15" s="304"/>
      <c r="AD15" s="10">
        <f>+PL!P34</f>
        <v>10319.69872265439</v>
      </c>
      <c r="AE15" s="306" t="s">
        <v>111</v>
      </c>
      <c r="AF15" s="308">
        <v>100</v>
      </c>
      <c r="AG15" s="310">
        <f>IF(AD16=0,"-",(AD15/AD16)*AF15)</f>
        <v>2.369352743544304</v>
      </c>
      <c r="AH15" s="304"/>
      <c r="AI15" s="10">
        <f>+PL!Q34</f>
        <v>3721.8057469202972</v>
      </c>
      <c r="AJ15" s="306" t="s">
        <v>123</v>
      </c>
      <c r="AK15" s="308">
        <v>100</v>
      </c>
      <c r="AL15" s="310">
        <f>IF(AI16=0,"-",(AI15/AI16)*AK15)</f>
        <v>0.83185240764848545</v>
      </c>
      <c r="AM15" s="304"/>
      <c r="AN15" s="10">
        <f>+PL!R34</f>
        <v>13461.730876041527</v>
      </c>
      <c r="AO15" s="306" t="s">
        <v>123</v>
      </c>
      <c r="AP15" s="308">
        <v>100</v>
      </c>
      <c r="AQ15" s="310">
        <f>IF(AN16=0,"-",(AN15/AN16)*AP15)</f>
        <v>3.9075384697579327</v>
      </c>
      <c r="AR15" s="304"/>
      <c r="AS15" s="10">
        <f>+PL!S34</f>
        <v>15174.711737890315</v>
      </c>
      <c r="AT15" s="306" t="s">
        <v>111</v>
      </c>
      <c r="AU15" s="308">
        <v>100</v>
      </c>
      <c r="AV15" s="310">
        <f>IF(AS16=0,"-",(AS15/AS16)*AU15)</f>
        <v>3.6148655248433803</v>
      </c>
      <c r="AW15" s="304"/>
      <c r="AX15" s="10">
        <f>+PL!T34</f>
        <v>20734.977222637892</v>
      </c>
      <c r="AY15" s="306" t="s">
        <v>111</v>
      </c>
      <c r="AZ15" s="308">
        <v>100</v>
      </c>
      <c r="BA15" s="310">
        <f>IF(AX16=0,"-",(AX15/AX16)*AZ15)</f>
        <v>5.4808277848453635</v>
      </c>
      <c r="BB15" s="304"/>
      <c r="BC15" s="10">
        <f>+PL!U34</f>
        <v>19681.508170292218</v>
      </c>
      <c r="BD15" s="306" t="s">
        <v>111</v>
      </c>
      <c r="BE15" s="308">
        <v>100</v>
      </c>
      <c r="BF15" s="310">
        <f>IF(BC16=0,"-",(BC15/BC16)*BE15)</f>
        <v>4.340077810538415</v>
      </c>
      <c r="BG15" s="304"/>
      <c r="BH15" s="10">
        <f>+PL!V34</f>
        <v>28070.766032345389</v>
      </c>
      <c r="BI15" s="306" t="s">
        <v>111</v>
      </c>
      <c r="BJ15" s="308">
        <v>100</v>
      </c>
      <c r="BK15" s="310">
        <f>IF(BH16=0,"-",(BH15/BH16)*BJ15)</f>
        <v>5.267668071118738</v>
      </c>
      <c r="BL15" s="304"/>
      <c r="BM15" s="10">
        <f>+PL!W34</f>
        <v>22767.58050310929</v>
      </c>
      <c r="BN15" s="306" t="s">
        <v>111</v>
      </c>
      <c r="BO15" s="308">
        <v>100</v>
      </c>
      <c r="BP15" s="310">
        <f>IF(BM16=0,"-",(BM15/BM16)*BO15)</f>
        <v>4.7685088536105367</v>
      </c>
      <c r="BQ15" s="304"/>
      <c r="BR15" s="10">
        <f>+PL!X34</f>
        <v>19737.228932195911</v>
      </c>
      <c r="BS15" s="306" t="s">
        <v>111</v>
      </c>
      <c r="BT15" s="308">
        <v>100</v>
      </c>
      <c r="BU15" s="310">
        <f>IF(BR16=0,"-",(BR15/BR16)*BT15)</f>
        <v>3.9965606134023819</v>
      </c>
      <c r="BV15" s="304"/>
      <c r="BW15" s="10">
        <f>+PL!Y34</f>
        <v>26426.612312332018</v>
      </c>
      <c r="BX15" s="306" t="s">
        <v>111</v>
      </c>
      <c r="BY15" s="308">
        <v>100</v>
      </c>
      <c r="BZ15" s="310">
        <f>IF(BW16=0,"-",(BW15/BW16)*BY15)</f>
        <v>5.3182827507899493</v>
      </c>
      <c r="CA15" s="304"/>
      <c r="CB15" s="10">
        <f>+PL!Z34</f>
        <v>21488.346085337296</v>
      </c>
      <c r="CC15" s="306" t="s">
        <v>111</v>
      </c>
      <c r="CD15" s="308">
        <v>100</v>
      </c>
      <c r="CE15" s="310">
        <f>IF(CB16=0,"-",(CB15/CB16)*CD15)</f>
        <v>4.4000249516050127</v>
      </c>
      <c r="CF15" s="304"/>
      <c r="CG15" s="10">
        <f>+PL!AA34</f>
        <v>27455.862314383623</v>
      </c>
      <c r="CH15" s="306" t="s">
        <v>121</v>
      </c>
      <c r="CI15" s="308">
        <v>100</v>
      </c>
      <c r="CJ15" s="310">
        <f>IF(CG16=0,"-",(CG15/CG16)*CI15)</f>
        <v>5.0714417059645323</v>
      </c>
      <c r="CK15" s="304"/>
      <c r="CL15" s="10">
        <f>+PL!AB34</f>
        <v>26313.929065146018</v>
      </c>
      <c r="CM15" s="306" t="s">
        <v>111</v>
      </c>
      <c r="CN15" s="308">
        <v>100</v>
      </c>
      <c r="CO15" s="310">
        <f>IF(CL16=0,"-",(CL15/CL16)*CN15)</f>
        <v>4.9887916612055019</v>
      </c>
      <c r="CP15" s="304"/>
      <c r="CQ15" s="10">
        <f>+PL!AC34</f>
        <v>24716.111282314676</v>
      </c>
      <c r="CR15" s="306" t="s">
        <v>111</v>
      </c>
      <c r="CS15" s="308">
        <v>100</v>
      </c>
      <c r="CT15" s="310">
        <f>IF(CQ16=0,"-",(CQ15/CQ16)*CS15)</f>
        <v>4.5567520769384746</v>
      </c>
    </row>
    <row r="16" spans="1:98" ht="18" customHeight="1" x14ac:dyDescent="0.2">
      <c r="A16" s="17"/>
      <c r="B16" s="321"/>
      <c r="C16" s="323"/>
      <c r="D16" s="305"/>
      <c r="E16" s="12">
        <f>+E12</f>
        <v>406109.61253936804</v>
      </c>
      <c r="F16" s="307"/>
      <c r="G16" s="309"/>
      <c r="H16" s="311"/>
      <c r="I16" s="305"/>
      <c r="J16" s="12">
        <f>+J12</f>
        <v>484288.20845762413</v>
      </c>
      <c r="K16" s="307"/>
      <c r="L16" s="309"/>
      <c r="M16" s="311"/>
      <c r="N16" s="305"/>
      <c r="O16" s="12">
        <f>+O12</f>
        <v>416426.79832610243</v>
      </c>
      <c r="P16" s="307"/>
      <c r="Q16" s="309"/>
      <c r="R16" s="311"/>
      <c r="S16" s="305"/>
      <c r="T16" s="12">
        <f>+T12</f>
        <v>733864.73974775011</v>
      </c>
      <c r="U16" s="307"/>
      <c r="V16" s="309"/>
      <c r="W16" s="311"/>
      <c r="X16" s="305"/>
      <c r="Y16" s="12">
        <f>+Y12</f>
        <v>548635.41173829371</v>
      </c>
      <c r="Z16" s="307"/>
      <c r="AA16" s="309"/>
      <c r="AB16" s="311"/>
      <c r="AC16" s="305"/>
      <c r="AD16" s="12">
        <f>+AD12</f>
        <v>435549.2760954285</v>
      </c>
      <c r="AE16" s="307"/>
      <c r="AF16" s="309"/>
      <c r="AG16" s="311"/>
      <c r="AH16" s="305"/>
      <c r="AI16" s="12">
        <f>+AI12</f>
        <v>447411.78996418981</v>
      </c>
      <c r="AJ16" s="307"/>
      <c r="AK16" s="309"/>
      <c r="AL16" s="311"/>
      <c r="AM16" s="305"/>
      <c r="AN16" s="12">
        <f>+AN12</f>
        <v>344506.67549986951</v>
      </c>
      <c r="AO16" s="307"/>
      <c r="AP16" s="309"/>
      <c r="AQ16" s="311"/>
      <c r="AR16" s="305"/>
      <c r="AS16" s="12">
        <f>+AS12</f>
        <v>419786.34152781614</v>
      </c>
      <c r="AT16" s="307"/>
      <c r="AU16" s="309"/>
      <c r="AV16" s="311"/>
      <c r="AW16" s="305"/>
      <c r="AX16" s="12">
        <f>+AX12</f>
        <v>378318.34964730439</v>
      </c>
      <c r="AY16" s="307"/>
      <c r="AZ16" s="309"/>
      <c r="BA16" s="311"/>
      <c r="BB16" s="305"/>
      <c r="BC16" s="12">
        <f>+BC12</f>
        <v>453482.84130994877</v>
      </c>
      <c r="BD16" s="307"/>
      <c r="BE16" s="309"/>
      <c r="BF16" s="311"/>
      <c r="BG16" s="305"/>
      <c r="BH16" s="12">
        <f>+BH12</f>
        <v>532887.90511023544</v>
      </c>
      <c r="BI16" s="307"/>
      <c r="BJ16" s="309"/>
      <c r="BK16" s="311"/>
      <c r="BL16" s="305"/>
      <c r="BM16" s="12">
        <f>+BM12</f>
        <v>477457.02486995549</v>
      </c>
      <c r="BN16" s="307"/>
      <c r="BO16" s="309"/>
      <c r="BP16" s="311"/>
      <c r="BQ16" s="305"/>
      <c r="BR16" s="12">
        <f>+BR12</f>
        <v>493855.36318422219</v>
      </c>
      <c r="BS16" s="307"/>
      <c r="BT16" s="309"/>
      <c r="BU16" s="311"/>
      <c r="BV16" s="305"/>
      <c r="BW16" s="12">
        <f>+BW12</f>
        <v>496901.22828476451</v>
      </c>
      <c r="BX16" s="307"/>
      <c r="BY16" s="309"/>
      <c r="BZ16" s="311"/>
      <c r="CA16" s="305"/>
      <c r="CB16" s="12">
        <f>+CB12</f>
        <v>488368.73248863994</v>
      </c>
      <c r="CC16" s="307"/>
      <c r="CD16" s="309"/>
      <c r="CE16" s="311"/>
      <c r="CF16" s="305"/>
      <c r="CG16" s="12">
        <f>+CG12</f>
        <v>541381.79843598977</v>
      </c>
      <c r="CH16" s="307"/>
      <c r="CI16" s="309"/>
      <c r="CJ16" s="311"/>
      <c r="CK16" s="305"/>
      <c r="CL16" s="12">
        <f>+CL12</f>
        <v>527460.97356143082</v>
      </c>
      <c r="CM16" s="307"/>
      <c r="CN16" s="309"/>
      <c r="CO16" s="311"/>
      <c r="CP16" s="305"/>
      <c r="CQ16" s="12">
        <f>+CQ12</f>
        <v>542406.32066426985</v>
      </c>
      <c r="CR16" s="307"/>
      <c r="CS16" s="309"/>
      <c r="CT16" s="311"/>
    </row>
    <row r="17" spans="1:98" ht="18" customHeight="1" x14ac:dyDescent="0.2">
      <c r="A17" s="17"/>
      <c r="B17" s="320" t="s">
        <v>124</v>
      </c>
      <c r="C17" s="322" t="s">
        <v>117</v>
      </c>
      <c r="D17" s="304"/>
      <c r="E17" s="10">
        <f>+E6</f>
        <v>5517.7470153079903</v>
      </c>
      <c r="F17" s="306" t="s">
        <v>123</v>
      </c>
      <c r="G17" s="308">
        <v>100</v>
      </c>
      <c r="H17" s="310">
        <f>IF(E18=0,"-",(E17/E18)*G17)</f>
        <v>1.3586841692335225</v>
      </c>
      <c r="I17" s="304"/>
      <c r="J17" s="10">
        <f>+J6</f>
        <v>9127.4785050008759</v>
      </c>
      <c r="K17" s="306" t="s">
        <v>111</v>
      </c>
      <c r="L17" s="308">
        <v>100</v>
      </c>
      <c r="M17" s="310">
        <f>IF(J18=0,"-",(J17/J18)*L17)</f>
        <v>1.884720368077998</v>
      </c>
      <c r="N17" s="304"/>
      <c r="O17" s="10">
        <f>+O6</f>
        <v>3577.1446193826596</v>
      </c>
      <c r="P17" s="306" t="s">
        <v>111</v>
      </c>
      <c r="Q17" s="308">
        <v>100</v>
      </c>
      <c r="R17" s="310">
        <f>IF(O18=0,"-",(O17/O18)*Q17)</f>
        <v>0.85900922653431389</v>
      </c>
      <c r="S17" s="304"/>
      <c r="T17" s="10">
        <f>+T6</f>
        <v>17079.226625996056</v>
      </c>
      <c r="U17" s="306" t="s">
        <v>111</v>
      </c>
      <c r="V17" s="308">
        <v>100</v>
      </c>
      <c r="W17" s="310">
        <f>IF(T18=0,"-",(T17/T18)*V17)</f>
        <v>2.3272989831704773</v>
      </c>
      <c r="X17" s="304"/>
      <c r="Y17" s="10">
        <f>+Y6</f>
        <v>6659.4918801793892</v>
      </c>
      <c r="Z17" s="306" t="s">
        <v>111</v>
      </c>
      <c r="AA17" s="308">
        <v>100</v>
      </c>
      <c r="AB17" s="310">
        <f>IF(Y18=0,"-",(Y17/Y18)*AA17)</f>
        <v>1.2138282979364181</v>
      </c>
      <c r="AC17" s="304"/>
      <c r="AD17" s="10">
        <f>+AD6</f>
        <v>2463.6837859254802</v>
      </c>
      <c r="AE17" s="306" t="s">
        <v>111</v>
      </c>
      <c r="AF17" s="308">
        <v>100</v>
      </c>
      <c r="AG17" s="310">
        <f>IF(AD18=0,"-",(AD17/AD18)*AF17)</f>
        <v>0.56564984059018131</v>
      </c>
      <c r="AH17" s="304"/>
      <c r="AI17" s="10">
        <f>+AI6</f>
        <v>-1797.7817804879176</v>
      </c>
      <c r="AJ17" s="306" t="s">
        <v>123</v>
      </c>
      <c r="AK17" s="308">
        <v>100</v>
      </c>
      <c r="AL17" s="310">
        <f>IF(AI18=0,"-",(AI17/AI18)*AK17)</f>
        <v>-0.40181815070894961</v>
      </c>
      <c r="AM17" s="304"/>
      <c r="AN17" s="10">
        <f>+AN6</f>
        <v>4677.0994597093013</v>
      </c>
      <c r="AO17" s="306" t="s">
        <v>125</v>
      </c>
      <c r="AP17" s="308">
        <v>100</v>
      </c>
      <c r="AQ17" s="310">
        <f>IF(AN18=0,"-",(AN17/AN18)*AP17)</f>
        <v>1.357622302361184</v>
      </c>
      <c r="AR17" s="304"/>
      <c r="AS17" s="10">
        <f>+AS6</f>
        <v>18330.605961998706</v>
      </c>
      <c r="AT17" s="306" t="s">
        <v>111</v>
      </c>
      <c r="AU17" s="308">
        <v>100</v>
      </c>
      <c r="AV17" s="310">
        <f>IF(AS18=0,"-",(AS17/AS18)*AU17)</f>
        <v>4.366651352991691</v>
      </c>
      <c r="AW17" s="304"/>
      <c r="AX17" s="10">
        <f>+AX6</f>
        <v>12258.669644283404</v>
      </c>
      <c r="AY17" s="306" t="s">
        <v>111</v>
      </c>
      <c r="AZ17" s="308">
        <v>100</v>
      </c>
      <c r="BA17" s="310">
        <f>IF(AX18=0,"-",(AX17/AX18)*AZ17)</f>
        <v>3.2403053290203392</v>
      </c>
      <c r="BB17" s="304"/>
      <c r="BC17" s="10">
        <f>+BC6</f>
        <v>11457.792954600152</v>
      </c>
      <c r="BD17" s="306" t="s">
        <v>111</v>
      </c>
      <c r="BE17" s="308">
        <v>100</v>
      </c>
      <c r="BF17" s="310">
        <f>IF(BC18=0,"-",(BC17/BC18)*BE17)</f>
        <v>2.5266210561578717</v>
      </c>
      <c r="BG17" s="304"/>
      <c r="BH17" s="10">
        <f>+BH6</f>
        <v>17642.907715193411</v>
      </c>
      <c r="BI17" s="306" t="s">
        <v>111</v>
      </c>
      <c r="BJ17" s="308">
        <v>100</v>
      </c>
      <c r="BK17" s="310">
        <f>IF(BH18=0,"-",(BH17/BH18)*BJ17)</f>
        <v>3.3108103122632753</v>
      </c>
      <c r="BL17" s="304"/>
      <c r="BM17" s="10">
        <f>+BM6</f>
        <v>13084.615362251294</v>
      </c>
      <c r="BN17" s="306" t="s">
        <v>111</v>
      </c>
      <c r="BO17" s="308">
        <v>100</v>
      </c>
      <c r="BP17" s="310">
        <f>IF(BM18=0,"-",(BM17/BM18)*BO17)</f>
        <v>2.7404802276843951</v>
      </c>
      <c r="BQ17" s="304"/>
      <c r="BR17" s="10">
        <f>+BR6</f>
        <v>14263.983767058991</v>
      </c>
      <c r="BS17" s="306" t="s">
        <v>111</v>
      </c>
      <c r="BT17" s="308">
        <v>100</v>
      </c>
      <c r="BU17" s="310">
        <f>IF(BR18=0,"-",(BR17/BR18)*BT17)</f>
        <v>2.8882917611928649</v>
      </c>
      <c r="BV17" s="304"/>
      <c r="BW17" s="10">
        <f>+BW6</f>
        <v>9870.8653483552771</v>
      </c>
      <c r="BX17" s="306" t="s">
        <v>111</v>
      </c>
      <c r="BY17" s="308">
        <v>100</v>
      </c>
      <c r="BZ17" s="310">
        <f>IF(BW18=0,"-",(BW17/BW18)*BY17)</f>
        <v>1.9864843929704425</v>
      </c>
      <c r="CA17" s="304"/>
      <c r="CB17" s="10">
        <f>+CB6</f>
        <v>14249.19386772373</v>
      </c>
      <c r="CC17" s="306" t="s">
        <v>111</v>
      </c>
      <c r="CD17" s="308">
        <v>100</v>
      </c>
      <c r="CE17" s="310">
        <f>IF(CB18=0,"-",(CB17/CB18)*CD17)</f>
        <v>2.9177121547303777</v>
      </c>
      <c r="CF17" s="304"/>
      <c r="CG17" s="10">
        <f>+CG6</f>
        <v>16846.532554257094</v>
      </c>
      <c r="CH17" s="306" t="s">
        <v>126</v>
      </c>
      <c r="CI17" s="308">
        <v>100</v>
      </c>
      <c r="CJ17" s="310">
        <f>IF(CG18=0,"-",(CG17/CG18)*CI17)</f>
        <v>3.1117655973890197</v>
      </c>
      <c r="CK17" s="304"/>
      <c r="CL17" s="10">
        <f>+CL6</f>
        <v>17523.236305512357</v>
      </c>
      <c r="CM17" s="306" t="s">
        <v>111</v>
      </c>
      <c r="CN17" s="308">
        <v>100</v>
      </c>
      <c r="CO17" s="310">
        <f>IF(CL18=0,"-",(CL17/CL18)*CN17)</f>
        <v>3.3221863197185924</v>
      </c>
      <c r="CP17" s="304"/>
      <c r="CQ17" s="10">
        <f>+CQ6</f>
        <v>18128.290960451977</v>
      </c>
      <c r="CR17" s="306" t="s">
        <v>111</v>
      </c>
      <c r="CS17" s="308">
        <v>100</v>
      </c>
      <c r="CT17" s="310">
        <f>IF(CQ18=0,"-",(CQ17/CQ18)*CS17)</f>
        <v>3.3421975869032581</v>
      </c>
    </row>
    <row r="18" spans="1:98" ht="18" customHeight="1" x14ac:dyDescent="0.2">
      <c r="A18" s="17"/>
      <c r="B18" s="321"/>
      <c r="C18" s="323"/>
      <c r="D18" s="305"/>
      <c r="E18" s="12">
        <f>+E12</f>
        <v>406109.61253936804</v>
      </c>
      <c r="F18" s="307"/>
      <c r="G18" s="309"/>
      <c r="H18" s="311"/>
      <c r="I18" s="305"/>
      <c r="J18" s="12">
        <f>+J12</f>
        <v>484288.20845762413</v>
      </c>
      <c r="K18" s="307"/>
      <c r="L18" s="309"/>
      <c r="M18" s="311"/>
      <c r="N18" s="305"/>
      <c r="O18" s="12">
        <f>+O12</f>
        <v>416426.79832610243</v>
      </c>
      <c r="P18" s="307"/>
      <c r="Q18" s="309"/>
      <c r="R18" s="311"/>
      <c r="S18" s="305"/>
      <c r="T18" s="12">
        <f>+T12</f>
        <v>733864.73974775011</v>
      </c>
      <c r="U18" s="307"/>
      <c r="V18" s="309"/>
      <c r="W18" s="311"/>
      <c r="X18" s="305"/>
      <c r="Y18" s="12">
        <f>+Y12</f>
        <v>548635.41173829371</v>
      </c>
      <c r="Z18" s="307"/>
      <c r="AA18" s="309"/>
      <c r="AB18" s="311"/>
      <c r="AC18" s="305"/>
      <c r="AD18" s="12">
        <f>+AD12</f>
        <v>435549.2760954285</v>
      </c>
      <c r="AE18" s="307"/>
      <c r="AF18" s="309"/>
      <c r="AG18" s="311"/>
      <c r="AH18" s="305"/>
      <c r="AI18" s="12">
        <f>+AI12</f>
        <v>447411.78996418981</v>
      </c>
      <c r="AJ18" s="307"/>
      <c r="AK18" s="309"/>
      <c r="AL18" s="311"/>
      <c r="AM18" s="305"/>
      <c r="AN18" s="12">
        <f>+AN12</f>
        <v>344506.67549986951</v>
      </c>
      <c r="AO18" s="307"/>
      <c r="AP18" s="309"/>
      <c r="AQ18" s="311"/>
      <c r="AR18" s="305"/>
      <c r="AS18" s="12">
        <f>+AS12</f>
        <v>419786.34152781614</v>
      </c>
      <c r="AT18" s="307"/>
      <c r="AU18" s="309"/>
      <c r="AV18" s="311"/>
      <c r="AW18" s="305"/>
      <c r="AX18" s="12">
        <f>+AX12</f>
        <v>378318.34964730439</v>
      </c>
      <c r="AY18" s="307"/>
      <c r="AZ18" s="309"/>
      <c r="BA18" s="311"/>
      <c r="BB18" s="305"/>
      <c r="BC18" s="12">
        <f>+BC12</f>
        <v>453482.84130994877</v>
      </c>
      <c r="BD18" s="307"/>
      <c r="BE18" s="309"/>
      <c r="BF18" s="311"/>
      <c r="BG18" s="305"/>
      <c r="BH18" s="12">
        <f>+BH12</f>
        <v>532887.90511023544</v>
      </c>
      <c r="BI18" s="307"/>
      <c r="BJ18" s="309"/>
      <c r="BK18" s="311"/>
      <c r="BL18" s="305"/>
      <c r="BM18" s="12">
        <f>+BM12</f>
        <v>477457.02486995549</v>
      </c>
      <c r="BN18" s="307"/>
      <c r="BO18" s="309"/>
      <c r="BP18" s="311"/>
      <c r="BQ18" s="305"/>
      <c r="BR18" s="12">
        <f>+BR12</f>
        <v>493855.36318422219</v>
      </c>
      <c r="BS18" s="307"/>
      <c r="BT18" s="309"/>
      <c r="BU18" s="311"/>
      <c r="BV18" s="305"/>
      <c r="BW18" s="12">
        <f>+BW12</f>
        <v>496901.22828476451</v>
      </c>
      <c r="BX18" s="307"/>
      <c r="BY18" s="309"/>
      <c r="BZ18" s="311"/>
      <c r="CA18" s="305"/>
      <c r="CB18" s="12">
        <f>+CB12</f>
        <v>488368.73248863994</v>
      </c>
      <c r="CC18" s="307"/>
      <c r="CD18" s="309"/>
      <c r="CE18" s="311"/>
      <c r="CF18" s="305"/>
      <c r="CG18" s="12">
        <f>+CG12</f>
        <v>541381.79843598977</v>
      </c>
      <c r="CH18" s="307"/>
      <c r="CI18" s="309"/>
      <c r="CJ18" s="311"/>
      <c r="CK18" s="305"/>
      <c r="CL18" s="12">
        <f>+CL12</f>
        <v>527460.97356143082</v>
      </c>
      <c r="CM18" s="307"/>
      <c r="CN18" s="309"/>
      <c r="CO18" s="311"/>
      <c r="CP18" s="305"/>
      <c r="CQ18" s="12">
        <f>+CQ12</f>
        <v>542406.32066426985</v>
      </c>
      <c r="CR18" s="307"/>
      <c r="CS18" s="309"/>
      <c r="CT18" s="311"/>
    </row>
    <row r="19" spans="1:98" ht="18" customHeight="1" x14ac:dyDescent="0.2">
      <c r="A19" s="17"/>
      <c r="B19" s="320" t="s">
        <v>127</v>
      </c>
      <c r="C19" s="322" t="s">
        <v>117</v>
      </c>
      <c r="D19" s="304"/>
      <c r="E19" s="10">
        <f>+PL!K16</f>
        <v>69265.9049293196</v>
      </c>
      <c r="F19" s="306" t="s">
        <v>123</v>
      </c>
      <c r="G19" s="308">
        <v>100</v>
      </c>
      <c r="H19" s="310">
        <f>IF(E20=0,"-",(E19/E20)*G19)</f>
        <v>17.055962920012142</v>
      </c>
      <c r="I19" s="304"/>
      <c r="J19" s="10">
        <f>+PL!L16</f>
        <v>87151.254606071234</v>
      </c>
      <c r="K19" s="306" t="s">
        <v>111</v>
      </c>
      <c r="L19" s="308">
        <v>100</v>
      </c>
      <c r="M19" s="310">
        <f>IF(J20=0,"-",(J19/J20)*L19)</f>
        <v>17.995741602636414</v>
      </c>
      <c r="N19" s="304"/>
      <c r="O19" s="10">
        <f>+PL!M16</f>
        <v>73882.575380774928</v>
      </c>
      <c r="P19" s="306" t="s">
        <v>111</v>
      </c>
      <c r="Q19" s="308">
        <v>100</v>
      </c>
      <c r="R19" s="310">
        <f>IF(O20=0,"-",(O19/O20)*Q19)</f>
        <v>17.742031895583658</v>
      </c>
      <c r="S19" s="304"/>
      <c r="T19" s="10">
        <f>+PL!N16</f>
        <v>73980.412915324472</v>
      </c>
      <c r="U19" s="306" t="s">
        <v>111</v>
      </c>
      <c r="V19" s="308">
        <v>100</v>
      </c>
      <c r="W19" s="310">
        <f>IF(T20=0,"-",(T19/T20)*V19)</f>
        <v>10.080933025989722</v>
      </c>
      <c r="X19" s="304"/>
      <c r="Y19" s="10">
        <f>+PL!O16</f>
        <v>82330.612468563224</v>
      </c>
      <c r="Z19" s="306" t="s">
        <v>111</v>
      </c>
      <c r="AA19" s="308">
        <v>100</v>
      </c>
      <c r="AB19" s="310">
        <f>IF(Y20=0,"-",(Y19/Y20)*AA19)</f>
        <v>15.006434274394961</v>
      </c>
      <c r="AC19" s="304"/>
      <c r="AD19" s="10">
        <f>+PL!P16</f>
        <v>74241.137626625918</v>
      </c>
      <c r="AE19" s="306" t="s">
        <v>111</v>
      </c>
      <c r="AF19" s="308">
        <v>100</v>
      </c>
      <c r="AG19" s="310">
        <f>IF(AD20=0,"-",(AD19/AD20)*AF19)</f>
        <v>17.045404894751734</v>
      </c>
      <c r="AH19" s="304"/>
      <c r="AI19" s="10">
        <f>+PL!Q16</f>
        <v>77165.611219346043</v>
      </c>
      <c r="AJ19" s="306" t="s">
        <v>123</v>
      </c>
      <c r="AK19" s="308">
        <v>100</v>
      </c>
      <c r="AL19" s="310">
        <f>IF(AI20=0,"-",(AI19/AI20)*AK19)</f>
        <v>17.247111710114361</v>
      </c>
      <c r="AM19" s="304"/>
      <c r="AN19" s="10">
        <f>+PL!R16</f>
        <v>68618.795374632653</v>
      </c>
      <c r="AO19" s="306" t="s">
        <v>123</v>
      </c>
      <c r="AP19" s="308">
        <v>100</v>
      </c>
      <c r="AQ19" s="310">
        <f>IF(AN20=0,"-",(AN19/AN20)*AP19)</f>
        <v>19.917987155130945</v>
      </c>
      <c r="AR19" s="304"/>
      <c r="AS19" s="10">
        <f>+PL!S16</f>
        <v>73056.624108383548</v>
      </c>
      <c r="AT19" s="306" t="s">
        <v>111</v>
      </c>
      <c r="AU19" s="308">
        <v>100</v>
      </c>
      <c r="AV19" s="310">
        <f>IF(AS20=0,"-",(AS19/AS20)*AU19)</f>
        <v>17.40328754920737</v>
      </c>
      <c r="AW19" s="304"/>
      <c r="AX19" s="10">
        <f>+PL!T16</f>
        <v>63035.174140995783</v>
      </c>
      <c r="AY19" s="306" t="s">
        <v>111</v>
      </c>
      <c r="AZ19" s="308">
        <v>100</v>
      </c>
      <c r="BA19" s="310">
        <f>IF(AX20=0,"-",(AX19/AX20)*AZ19)</f>
        <v>16.661939395686652</v>
      </c>
      <c r="BB19" s="304"/>
      <c r="BC19" s="10">
        <f>+PL!U16</f>
        <v>78394.285328390935</v>
      </c>
      <c r="BD19" s="306" t="s">
        <v>111</v>
      </c>
      <c r="BE19" s="308">
        <v>100</v>
      </c>
      <c r="BF19" s="310">
        <f>IF(BC20=0,"-",(BC19/BC20)*BE19)</f>
        <v>17.287155805484954</v>
      </c>
      <c r="BG19" s="304"/>
      <c r="BH19" s="10">
        <f>+PL!V16</f>
        <v>93713.947662796229</v>
      </c>
      <c r="BI19" s="306" t="s">
        <v>111</v>
      </c>
      <c r="BJ19" s="308">
        <v>100</v>
      </c>
      <c r="BK19" s="310">
        <f>IF(BH20=0,"-",(BH19/BH20)*BJ19)</f>
        <v>17.586052669634185</v>
      </c>
      <c r="BL19" s="304"/>
      <c r="BM19" s="10">
        <f>+PL!W16</f>
        <v>77718.177220685073</v>
      </c>
      <c r="BN19" s="306" t="s">
        <v>111</v>
      </c>
      <c r="BO19" s="308">
        <v>100</v>
      </c>
      <c r="BP19" s="310">
        <f>IF(BM20=0,"-",(BM19/BM20)*BO19)</f>
        <v>16.277523038194506</v>
      </c>
      <c r="BQ19" s="304"/>
      <c r="BR19" s="10">
        <f>+PL!X16</f>
        <v>80913.627247973302</v>
      </c>
      <c r="BS19" s="306" t="s">
        <v>111</v>
      </c>
      <c r="BT19" s="308">
        <v>100</v>
      </c>
      <c r="BU19" s="310">
        <f>IF(BR20=0,"-",(BR19/BR20)*BT19)</f>
        <v>16.384073815918082</v>
      </c>
      <c r="BV19" s="304"/>
      <c r="BW19" s="10">
        <f>+PL!Y16</f>
        <v>80190.49758614524</v>
      </c>
      <c r="BX19" s="306" t="s">
        <v>111</v>
      </c>
      <c r="BY19" s="308">
        <v>100</v>
      </c>
      <c r="BZ19" s="310">
        <f>IF(BW20=0,"-",(BW19/BW20)*BY19)</f>
        <v>16.138116193222533</v>
      </c>
      <c r="CA19" s="304"/>
      <c r="CB19" s="10">
        <f>+PL!Z16</f>
        <v>78687.971689202648</v>
      </c>
      <c r="CC19" s="306" t="s">
        <v>111</v>
      </c>
      <c r="CD19" s="308">
        <v>100</v>
      </c>
      <c r="CE19" s="310">
        <f>IF(CB20=0,"-",(CB19/CB20)*CD19)</f>
        <v>16.11240983594973</v>
      </c>
      <c r="CF19" s="304"/>
      <c r="CG19" s="10">
        <f>+PL!AA16</f>
        <v>89576.747473859941</v>
      </c>
      <c r="CH19" s="306" t="s">
        <v>123</v>
      </c>
      <c r="CI19" s="308">
        <v>100</v>
      </c>
      <c r="CJ19" s="310">
        <f>IF(CG20=0,"-",(CG19/CG20)*CI19)</f>
        <v>16.545947376258354</v>
      </c>
      <c r="CK19" s="304"/>
      <c r="CL19" s="10">
        <f>+PL!AB16</f>
        <v>88822.919129082424</v>
      </c>
      <c r="CM19" s="306" t="s">
        <v>111</v>
      </c>
      <c r="CN19" s="308">
        <v>100</v>
      </c>
      <c r="CO19" s="310">
        <f>IF(CL20=0,"-",(CL19/CL20)*CN19)</f>
        <v>16.839713946862773</v>
      </c>
      <c r="CP19" s="304"/>
      <c r="CQ19" s="10">
        <f>+PL!AC16</f>
        <v>88425.407978085947</v>
      </c>
      <c r="CR19" s="306" t="s">
        <v>111</v>
      </c>
      <c r="CS19" s="308">
        <v>100</v>
      </c>
      <c r="CT19" s="310">
        <f>IF(CQ20=0,"-",(CQ19/CQ20)*CS19)</f>
        <v>16.302429490459076</v>
      </c>
    </row>
    <row r="20" spans="1:98" ht="18" customHeight="1" x14ac:dyDescent="0.2">
      <c r="A20" s="17"/>
      <c r="B20" s="321"/>
      <c r="C20" s="323"/>
      <c r="D20" s="305"/>
      <c r="E20" s="12">
        <f>+E12</f>
        <v>406109.61253936804</v>
      </c>
      <c r="F20" s="307"/>
      <c r="G20" s="309"/>
      <c r="H20" s="311"/>
      <c r="I20" s="305"/>
      <c r="J20" s="12">
        <f>+J12</f>
        <v>484288.20845762413</v>
      </c>
      <c r="K20" s="307"/>
      <c r="L20" s="309"/>
      <c r="M20" s="311"/>
      <c r="N20" s="305"/>
      <c r="O20" s="12">
        <f>+O12</f>
        <v>416426.79832610243</v>
      </c>
      <c r="P20" s="307"/>
      <c r="Q20" s="309"/>
      <c r="R20" s="311"/>
      <c r="S20" s="305"/>
      <c r="T20" s="12">
        <f>+T12</f>
        <v>733864.73974775011</v>
      </c>
      <c r="U20" s="307"/>
      <c r="V20" s="309"/>
      <c r="W20" s="311"/>
      <c r="X20" s="305"/>
      <c r="Y20" s="12">
        <f>+Y12</f>
        <v>548635.41173829371</v>
      </c>
      <c r="Z20" s="307"/>
      <c r="AA20" s="309"/>
      <c r="AB20" s="311"/>
      <c r="AC20" s="305"/>
      <c r="AD20" s="12">
        <f>+AD12</f>
        <v>435549.2760954285</v>
      </c>
      <c r="AE20" s="307"/>
      <c r="AF20" s="309"/>
      <c r="AG20" s="311"/>
      <c r="AH20" s="305"/>
      <c r="AI20" s="12">
        <f>+AI12</f>
        <v>447411.78996418981</v>
      </c>
      <c r="AJ20" s="307"/>
      <c r="AK20" s="309"/>
      <c r="AL20" s="311"/>
      <c r="AM20" s="305"/>
      <c r="AN20" s="12">
        <f>+AN12</f>
        <v>344506.67549986951</v>
      </c>
      <c r="AO20" s="307"/>
      <c r="AP20" s="309"/>
      <c r="AQ20" s="311"/>
      <c r="AR20" s="305"/>
      <c r="AS20" s="12">
        <f>+AS12</f>
        <v>419786.34152781614</v>
      </c>
      <c r="AT20" s="307"/>
      <c r="AU20" s="309"/>
      <c r="AV20" s="311"/>
      <c r="AW20" s="305"/>
      <c r="AX20" s="12">
        <f>+AX12</f>
        <v>378318.34964730439</v>
      </c>
      <c r="AY20" s="307"/>
      <c r="AZ20" s="309"/>
      <c r="BA20" s="311"/>
      <c r="BB20" s="305"/>
      <c r="BC20" s="12">
        <f>+BC12</f>
        <v>453482.84130994877</v>
      </c>
      <c r="BD20" s="307"/>
      <c r="BE20" s="309"/>
      <c r="BF20" s="311"/>
      <c r="BG20" s="305"/>
      <c r="BH20" s="12">
        <f>+BH12</f>
        <v>532887.90511023544</v>
      </c>
      <c r="BI20" s="307"/>
      <c r="BJ20" s="309"/>
      <c r="BK20" s="311"/>
      <c r="BL20" s="305"/>
      <c r="BM20" s="12">
        <f>+BM12</f>
        <v>477457.02486995549</v>
      </c>
      <c r="BN20" s="307"/>
      <c r="BO20" s="309"/>
      <c r="BP20" s="311"/>
      <c r="BQ20" s="305"/>
      <c r="BR20" s="12">
        <f>+BR12</f>
        <v>493855.36318422219</v>
      </c>
      <c r="BS20" s="307"/>
      <c r="BT20" s="309"/>
      <c r="BU20" s="311"/>
      <c r="BV20" s="305"/>
      <c r="BW20" s="12">
        <f>+BW12</f>
        <v>496901.22828476451</v>
      </c>
      <c r="BX20" s="307"/>
      <c r="BY20" s="309"/>
      <c r="BZ20" s="311"/>
      <c r="CA20" s="305"/>
      <c r="CB20" s="12">
        <f>+CB12</f>
        <v>488368.73248863994</v>
      </c>
      <c r="CC20" s="307"/>
      <c r="CD20" s="309"/>
      <c r="CE20" s="311"/>
      <c r="CF20" s="305"/>
      <c r="CG20" s="12">
        <f>+CG12</f>
        <v>541381.79843598977</v>
      </c>
      <c r="CH20" s="307"/>
      <c r="CI20" s="309"/>
      <c r="CJ20" s="311"/>
      <c r="CK20" s="305"/>
      <c r="CL20" s="12">
        <f>+CL12</f>
        <v>527460.97356143082</v>
      </c>
      <c r="CM20" s="307"/>
      <c r="CN20" s="309"/>
      <c r="CO20" s="311"/>
      <c r="CP20" s="305"/>
      <c r="CQ20" s="12">
        <f>+CQ12</f>
        <v>542406.32066426985</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159292.5620742694</v>
      </c>
      <c r="F22" s="306"/>
      <c r="G22" s="308"/>
      <c r="H22" s="314">
        <f>IF(E23=0,"-",(E22/E23))</f>
        <v>372708.86310360901</v>
      </c>
      <c r="I22" s="304"/>
      <c r="J22" s="10">
        <f>+PL!L45</f>
        <v>185976.22389892963</v>
      </c>
      <c r="K22" s="306"/>
      <c r="L22" s="308"/>
      <c r="M22" s="314">
        <f>IF(J23=0,"-",(J22/J23))</f>
        <v>445544.12607130542</v>
      </c>
      <c r="N22" s="304"/>
      <c r="O22" s="10">
        <f>+PL!M45</f>
        <v>170825.85241900408</v>
      </c>
      <c r="P22" s="306"/>
      <c r="Q22" s="308"/>
      <c r="R22" s="314">
        <f>IF(O23=0,"-",(O22/O23))</f>
        <v>381557.83326608315</v>
      </c>
      <c r="S22" s="304"/>
      <c r="T22" s="10">
        <f>+PL!N45</f>
        <v>236922.82555541489</v>
      </c>
      <c r="U22" s="306"/>
      <c r="V22" s="308"/>
      <c r="W22" s="314">
        <f>IF(T23=0,"-",(T22/T23))</f>
        <v>651409.40744375146</v>
      </c>
      <c r="X22" s="304"/>
      <c r="Y22" s="10">
        <f>+PL!O45</f>
        <v>213146.69616440145</v>
      </c>
      <c r="Z22" s="306"/>
      <c r="AA22" s="308"/>
      <c r="AB22" s="314">
        <f>IF(Y23=0,"-",(Y22/Y23))</f>
        <v>513625.82684320142</v>
      </c>
      <c r="AC22" s="304"/>
      <c r="AD22" s="10">
        <f>+PL!P45</f>
        <v>179727.34102491359</v>
      </c>
      <c r="AE22" s="306"/>
      <c r="AF22" s="308"/>
      <c r="AG22" s="314">
        <f>IF(AD23=0,"-",(AD22/AD23))</f>
        <v>415055.58295863267</v>
      </c>
      <c r="AH22" s="304"/>
      <c r="AI22" s="10">
        <f>+PL!Q45</f>
        <v>223039.47884203499</v>
      </c>
      <c r="AJ22" s="306"/>
      <c r="AK22" s="308"/>
      <c r="AL22" s="314">
        <f>IF(AI23=0,"-",(AI22/AI23))</f>
        <v>447032.1138513292</v>
      </c>
      <c r="AM22" s="304"/>
      <c r="AN22" s="10">
        <f>+PL!R45</f>
        <v>154213.09385342599</v>
      </c>
      <c r="AO22" s="306"/>
      <c r="AP22" s="308"/>
      <c r="AQ22" s="314">
        <f>IF(AN23=0,"-",(AN22/AN23))</f>
        <v>321051.58932938275</v>
      </c>
      <c r="AR22" s="304"/>
      <c r="AS22" s="10">
        <f>+PL!S45</f>
        <v>157236.42120529595</v>
      </c>
      <c r="AT22" s="306"/>
      <c r="AU22" s="308"/>
      <c r="AV22" s="314">
        <f>IF(AS23=0,"-",(AS22/AS23))</f>
        <v>382205.85656259168</v>
      </c>
      <c r="AW22" s="304"/>
      <c r="AX22" s="10">
        <f>+PL!T45</f>
        <v>162683.47304540791</v>
      </c>
      <c r="AY22" s="306"/>
      <c r="AZ22" s="308"/>
      <c r="BA22" s="314">
        <f>IF(AX23=0,"-",(AX22/AX23))</f>
        <v>338587.75471207558</v>
      </c>
      <c r="BB22" s="304"/>
      <c r="BC22" s="10">
        <f>+PL!U45</f>
        <v>219045.65645860409</v>
      </c>
      <c r="BD22" s="306"/>
      <c r="BE22" s="308"/>
      <c r="BF22" s="314">
        <f>IF(BC23=0,"-",(BC22/BC23))</f>
        <v>420595.70634333446</v>
      </c>
      <c r="BG22" s="304"/>
      <c r="BH22" s="10">
        <f>+PL!V45</f>
        <v>248892.86883830489</v>
      </c>
      <c r="BI22" s="306"/>
      <c r="BJ22" s="308"/>
      <c r="BK22" s="314">
        <f>IF(BH23=0,"-",(BH22/BH23))</f>
        <v>489328.92560736788</v>
      </c>
      <c r="BL22" s="304"/>
      <c r="BM22" s="10">
        <f>+PL!W45</f>
        <v>204667.18083480478</v>
      </c>
      <c r="BN22" s="306"/>
      <c r="BO22" s="308"/>
      <c r="BP22" s="314">
        <f>IF(BM23=0,"-",(BM22/BM23))</f>
        <v>434333.88848322112</v>
      </c>
      <c r="BQ22" s="304"/>
      <c r="BR22" s="10">
        <f>+PL!X45</f>
        <v>208463.16698647343</v>
      </c>
      <c r="BS22" s="306"/>
      <c r="BT22" s="308"/>
      <c r="BU22" s="314">
        <f>IF(BR23=0,"-",(BR22/BR23))</f>
        <v>453034.07872521156</v>
      </c>
      <c r="BV22" s="304"/>
      <c r="BW22" s="10">
        <f>+PL!Y45</f>
        <v>199142.93963522895</v>
      </c>
      <c r="BX22" s="306"/>
      <c r="BY22" s="308"/>
      <c r="BZ22" s="314">
        <f>IF(BW23=0,"-",(BW22/BW23))</f>
        <v>443648.44499813585</v>
      </c>
      <c r="CA22" s="304"/>
      <c r="CB22" s="10">
        <f>+PL!Z45</f>
        <v>226163.510196099</v>
      </c>
      <c r="CC22" s="306"/>
      <c r="CD22" s="308"/>
      <c r="CE22" s="314">
        <f>IF(CB23=0,"-",(CB22/CB23))</f>
        <v>450090.10671588767</v>
      </c>
      <c r="CF22" s="304"/>
      <c r="CG22" s="10">
        <f>+PL!AA45</f>
        <v>238358.59660838242</v>
      </c>
      <c r="CH22" s="306"/>
      <c r="CI22" s="308"/>
      <c r="CJ22" s="314">
        <f>IF(CG23=0,"-",(CG22/CG23))</f>
        <v>490712.25140350551</v>
      </c>
      <c r="CK22" s="304"/>
      <c r="CL22" s="10">
        <f>+PL!AB45</f>
        <v>213972.3997753585</v>
      </c>
      <c r="CM22" s="306"/>
      <c r="CN22" s="308"/>
      <c r="CO22" s="314">
        <f>IF(CL23=0,"-",(CL22/CL23))</f>
        <v>483383.6715461557</v>
      </c>
      <c r="CP22" s="304"/>
      <c r="CQ22" s="10">
        <f>+PL!AC45</f>
        <v>235221.19354562578</v>
      </c>
      <c r="CR22" s="306"/>
      <c r="CS22" s="308"/>
      <c r="CT22" s="314">
        <f>IF(CQ23=0,"-",(CQ22/CQ23))</f>
        <v>501182.23918429774</v>
      </c>
    </row>
    <row r="23" spans="1:98" ht="18" customHeight="1" x14ac:dyDescent="0.2">
      <c r="A23" s="11"/>
      <c r="B23" s="321"/>
      <c r="C23" s="323"/>
      <c r="D23" s="305"/>
      <c r="E23" s="19">
        <f>PL!K44/PL!K6</f>
        <v>0.42739139806822302</v>
      </c>
      <c r="F23" s="307"/>
      <c r="G23" s="309"/>
      <c r="H23" s="315"/>
      <c r="I23" s="305"/>
      <c r="J23" s="19">
        <f>PL!L44/PL!L6</f>
        <v>0.41741370386547477</v>
      </c>
      <c r="K23" s="307"/>
      <c r="L23" s="309"/>
      <c r="M23" s="315"/>
      <c r="N23" s="305"/>
      <c r="O23" s="19">
        <f>PL!M44/PL!M6</f>
        <v>0.44770631743229594</v>
      </c>
      <c r="P23" s="307"/>
      <c r="Q23" s="309"/>
      <c r="R23" s="315"/>
      <c r="S23" s="305"/>
      <c r="T23" s="19">
        <f>PL!N44/PL!N6</f>
        <v>0.3637080196387445</v>
      </c>
      <c r="U23" s="307"/>
      <c r="V23" s="309"/>
      <c r="W23" s="315"/>
      <c r="X23" s="305"/>
      <c r="Y23" s="19">
        <f>PL!O44/PL!O6</f>
        <v>0.41498438167415286</v>
      </c>
      <c r="Z23" s="307"/>
      <c r="AA23" s="309"/>
      <c r="AB23" s="315"/>
      <c r="AC23" s="305"/>
      <c r="AD23" s="19">
        <f>PL!P44/PL!P6</f>
        <v>0.4330199337249403</v>
      </c>
      <c r="AE23" s="307"/>
      <c r="AF23" s="309"/>
      <c r="AG23" s="315"/>
      <c r="AH23" s="305"/>
      <c r="AI23" s="19">
        <f>PL!Q44/PL!Q6</f>
        <v>0.49893390638197394</v>
      </c>
      <c r="AJ23" s="307"/>
      <c r="AK23" s="309"/>
      <c r="AL23" s="315"/>
      <c r="AM23" s="305"/>
      <c r="AN23" s="19">
        <f>PL!R44/PL!R6</f>
        <v>0.48033742544476588</v>
      </c>
      <c r="AO23" s="307"/>
      <c r="AP23" s="309"/>
      <c r="AQ23" s="315"/>
      <c r="AR23" s="305"/>
      <c r="AS23" s="19">
        <f>PL!S44/PL!S6</f>
        <v>0.41139197242925091</v>
      </c>
      <c r="AT23" s="307"/>
      <c r="AU23" s="309"/>
      <c r="AV23" s="315"/>
      <c r="AW23" s="305"/>
      <c r="AX23" s="19">
        <f>PL!T44/PL!T6</f>
        <v>0.480476540516797</v>
      </c>
      <c r="AY23" s="307"/>
      <c r="AZ23" s="309"/>
      <c r="BA23" s="315"/>
      <c r="BB23" s="305"/>
      <c r="BC23" s="19">
        <f>PL!U44/PL!U6</f>
        <v>0.52079860339752493</v>
      </c>
      <c r="BD23" s="307"/>
      <c r="BE23" s="309"/>
      <c r="BF23" s="315"/>
      <c r="BG23" s="305"/>
      <c r="BH23" s="19">
        <f>PL!V44/PL!V6</f>
        <v>0.50864123458340937</v>
      </c>
      <c r="BI23" s="307"/>
      <c r="BJ23" s="309"/>
      <c r="BK23" s="315"/>
      <c r="BL23" s="305"/>
      <c r="BM23" s="19">
        <f>PL!W44/PL!W6</f>
        <v>0.47122084244805901</v>
      </c>
      <c r="BN23" s="307"/>
      <c r="BO23" s="309"/>
      <c r="BP23" s="315"/>
      <c r="BQ23" s="305"/>
      <c r="BR23" s="19">
        <f>PL!X44/PL!X6</f>
        <v>0.46014897504634977</v>
      </c>
      <c r="BS23" s="307"/>
      <c r="BT23" s="309"/>
      <c r="BU23" s="315"/>
      <c r="BV23" s="305"/>
      <c r="BW23" s="19">
        <f>PL!Y44/PL!Y6</f>
        <v>0.44887554972961918</v>
      </c>
      <c r="BX23" s="307"/>
      <c r="BY23" s="309"/>
      <c r="BZ23" s="315"/>
      <c r="CA23" s="305"/>
      <c r="CB23" s="19">
        <f>PL!Z44/PL!Z6</f>
        <v>0.50248496205863324</v>
      </c>
      <c r="CC23" s="307"/>
      <c r="CD23" s="309"/>
      <c r="CE23" s="315"/>
      <c r="CF23" s="305"/>
      <c r="CG23" s="19">
        <f>PL!AA44/PL!AA6</f>
        <v>0.4857400562685027</v>
      </c>
      <c r="CH23" s="307"/>
      <c r="CI23" s="309"/>
      <c r="CJ23" s="315"/>
      <c r="CK23" s="305"/>
      <c r="CL23" s="19">
        <f>PL!AB44/PL!AB6</f>
        <v>0.44265541508868989</v>
      </c>
      <c r="CM23" s="307"/>
      <c r="CN23" s="309"/>
      <c r="CO23" s="315"/>
      <c r="CP23" s="305"/>
      <c r="CQ23" s="19">
        <f>PL!AC44/PL!AC6</f>
        <v>0.46933266016860753</v>
      </c>
      <c r="CR23" s="307"/>
      <c r="CS23" s="309"/>
      <c r="CT23" s="315"/>
    </row>
    <row r="24" spans="1:98" ht="18" customHeight="1" x14ac:dyDescent="0.2">
      <c r="A24" s="20"/>
      <c r="B24" s="320" t="s">
        <v>131</v>
      </c>
      <c r="C24" s="322" t="s">
        <v>132</v>
      </c>
      <c r="D24" s="304"/>
      <c r="E24" s="10">
        <f>+H22</f>
        <v>372708.86310360901</v>
      </c>
      <c r="F24" s="306" t="s">
        <v>133</v>
      </c>
      <c r="G24" s="308">
        <v>100</v>
      </c>
      <c r="H24" s="310">
        <f>IF(E25=0,"-",(E24/E25)*G24)</f>
        <v>91.77543490613111</v>
      </c>
      <c r="I24" s="304"/>
      <c r="J24" s="10">
        <f>+M22</f>
        <v>445544.12607130542</v>
      </c>
      <c r="K24" s="306" t="s">
        <v>111</v>
      </c>
      <c r="L24" s="308">
        <v>100</v>
      </c>
      <c r="M24" s="310">
        <f>IF(J25=0,"-",(J24/J25)*L24)</f>
        <v>91.999788202625865</v>
      </c>
      <c r="N24" s="304"/>
      <c r="O24" s="10">
        <f>+R22</f>
        <v>381557.83326608315</v>
      </c>
      <c r="P24" s="306" t="s">
        <v>111</v>
      </c>
      <c r="Q24" s="308">
        <v>100</v>
      </c>
      <c r="R24" s="310">
        <f>IF(O25=0,"-",(O24/O25)*Q24)</f>
        <v>91.626627969145844</v>
      </c>
      <c r="S24" s="304"/>
      <c r="T24" s="10">
        <f>+W22</f>
        <v>651409.40744375146</v>
      </c>
      <c r="U24" s="306" t="s">
        <v>111</v>
      </c>
      <c r="V24" s="308">
        <v>100</v>
      </c>
      <c r="W24" s="310">
        <f>IF(T25=0,"-",(T24/T25)*V24)</f>
        <v>88.764232993079787</v>
      </c>
      <c r="X24" s="304"/>
      <c r="Y24" s="10">
        <f>+AB22</f>
        <v>513625.82684320142</v>
      </c>
      <c r="Z24" s="306" t="s">
        <v>111</v>
      </c>
      <c r="AA24" s="308">
        <v>100</v>
      </c>
      <c r="AB24" s="310">
        <f>IF(Y25=0,"-",(Y24/Y25)*AA24)</f>
        <v>93.618788699007212</v>
      </c>
      <c r="AC24" s="304"/>
      <c r="AD24" s="10">
        <f>+AG22</f>
        <v>415055.58295863267</v>
      </c>
      <c r="AE24" s="306" t="s">
        <v>111</v>
      </c>
      <c r="AF24" s="308">
        <v>100</v>
      </c>
      <c r="AG24" s="310">
        <f>IF(AD25=0,"-",(AD24/AD25)*AF24)</f>
        <v>95.294747515019253</v>
      </c>
      <c r="AH24" s="304"/>
      <c r="AI24" s="10">
        <f>+AL22</f>
        <v>447032.1138513292</v>
      </c>
      <c r="AJ24" s="306" t="s">
        <v>133</v>
      </c>
      <c r="AK24" s="308">
        <v>100</v>
      </c>
      <c r="AL24" s="310">
        <f>IF(AI25=0,"-",(AI24/AI25)*AK24)</f>
        <v>99.91513944840591</v>
      </c>
      <c r="AM24" s="304"/>
      <c r="AN24" s="10">
        <f>+AQ22</f>
        <v>321051.58932938275</v>
      </c>
      <c r="AO24" s="306" t="s">
        <v>133</v>
      </c>
      <c r="AP24" s="308">
        <v>100</v>
      </c>
      <c r="AQ24" s="310">
        <f>IF(AN25=0,"-",(AN24/AN25)*AP24)</f>
        <v>93.191688916781047</v>
      </c>
      <c r="AR24" s="304"/>
      <c r="AS24" s="10">
        <f>+AV22</f>
        <v>382205.85656259168</v>
      </c>
      <c r="AT24" s="306" t="s">
        <v>111</v>
      </c>
      <c r="AU24" s="308">
        <v>100</v>
      </c>
      <c r="AV24" s="310">
        <f>IF(AS25=0,"-",(AS24/AS25)*AU24)</f>
        <v>91.047711359914672</v>
      </c>
      <c r="AW24" s="304"/>
      <c r="AX24" s="10">
        <f>+BA22</f>
        <v>338587.75471207558</v>
      </c>
      <c r="AY24" s="306" t="s">
        <v>111</v>
      </c>
      <c r="AZ24" s="308">
        <v>100</v>
      </c>
      <c r="BA24" s="310">
        <f>IF(AX25=0,"-",(AX24/AX25)*AZ24)</f>
        <v>89.498105240660792</v>
      </c>
      <c r="BB24" s="304"/>
      <c r="BC24" s="10">
        <f>+BF22</f>
        <v>420595.70634333446</v>
      </c>
      <c r="BD24" s="306" t="s">
        <v>111</v>
      </c>
      <c r="BE24" s="308">
        <v>100</v>
      </c>
      <c r="BF24" s="310">
        <f>IF(BC25=0,"-",(BC24/BC25)*BE24)</f>
        <v>92.747876662407961</v>
      </c>
      <c r="BG24" s="304"/>
      <c r="BH24" s="10">
        <f>+BK22</f>
        <v>489328.92560736788</v>
      </c>
      <c r="BI24" s="306" t="s">
        <v>111</v>
      </c>
      <c r="BJ24" s="308">
        <v>100</v>
      </c>
      <c r="BK24" s="310">
        <f>IF(BH25=0,"-",(BH24/BH25)*BJ24)</f>
        <v>91.825864485729554</v>
      </c>
      <c r="BL24" s="304"/>
      <c r="BM24" s="10">
        <f>+BP22</f>
        <v>434333.88848322112</v>
      </c>
      <c r="BN24" s="306" t="s">
        <v>111</v>
      </c>
      <c r="BO24" s="308">
        <v>100</v>
      </c>
      <c r="BP24" s="310">
        <f>IF(BM25=0,"-",(BM24/BM25)*BO24)</f>
        <v>90.968163805217898</v>
      </c>
      <c r="BQ24" s="304"/>
      <c r="BR24" s="10">
        <f>+BU22</f>
        <v>453034.07872521156</v>
      </c>
      <c r="BS24" s="306" t="s">
        <v>111</v>
      </c>
      <c r="BT24" s="308">
        <v>100</v>
      </c>
      <c r="BU24" s="310">
        <f>IF(BR25=0,"-",(BR24/BR25)*BT24)</f>
        <v>91.734161962764162</v>
      </c>
      <c r="BV24" s="304"/>
      <c r="BW24" s="10">
        <f>+BZ22</f>
        <v>443648.44499813585</v>
      </c>
      <c r="BX24" s="306" t="s">
        <v>111</v>
      </c>
      <c r="BY24" s="308">
        <v>100</v>
      </c>
      <c r="BZ24" s="310">
        <f>IF(BW25=0,"-",(BW24/BW25)*BY24)</f>
        <v>89.283024421080611</v>
      </c>
      <c r="CA24" s="304"/>
      <c r="CB24" s="10">
        <f>+CE22</f>
        <v>450090.10671588767</v>
      </c>
      <c r="CC24" s="306" t="s">
        <v>111</v>
      </c>
      <c r="CD24" s="308">
        <v>100</v>
      </c>
      <c r="CE24" s="310">
        <f>IF(CB25=0,"-",(CB24/CB25)*CD24)</f>
        <v>92.161941740682039</v>
      </c>
      <c r="CF24" s="304"/>
      <c r="CG24" s="10">
        <f>+CJ22</f>
        <v>490712.25140350551</v>
      </c>
      <c r="CH24" s="306" t="s">
        <v>126</v>
      </c>
      <c r="CI24" s="308">
        <v>100</v>
      </c>
      <c r="CJ24" s="310">
        <f>IF(CG25=0,"-",(CG24/CG25)*CI24)</f>
        <v>90.640699931385825</v>
      </c>
      <c r="CK24" s="304"/>
      <c r="CL24" s="10">
        <f>+CO22</f>
        <v>483383.6715461557</v>
      </c>
      <c r="CM24" s="306" t="s">
        <v>111</v>
      </c>
      <c r="CN24" s="308">
        <v>100</v>
      </c>
      <c r="CO24" s="310">
        <f>IF(CL25=0,"-",(CL24/CL25)*CN24)</f>
        <v>91.643495116299505</v>
      </c>
      <c r="CP24" s="304"/>
      <c r="CQ24" s="10">
        <f>+CT22</f>
        <v>501182.23918429774</v>
      </c>
      <c r="CR24" s="306" t="s">
        <v>111</v>
      </c>
      <c r="CS24" s="308">
        <v>100</v>
      </c>
      <c r="CT24" s="310">
        <f>IF(CQ25=0,"-",(CQ24/CQ25)*CS24)</f>
        <v>92.39977855909089</v>
      </c>
    </row>
    <row r="25" spans="1:98" ht="18" customHeight="1" x14ac:dyDescent="0.2">
      <c r="A25" s="20"/>
      <c r="B25" s="321"/>
      <c r="C25" s="323"/>
      <c r="D25" s="305"/>
      <c r="E25" s="12">
        <f>+E12</f>
        <v>406109.61253936804</v>
      </c>
      <c r="F25" s="307"/>
      <c r="G25" s="309"/>
      <c r="H25" s="311"/>
      <c r="I25" s="305"/>
      <c r="J25" s="12">
        <f>+J12</f>
        <v>484288.20845762413</v>
      </c>
      <c r="K25" s="307"/>
      <c r="L25" s="309"/>
      <c r="M25" s="311"/>
      <c r="N25" s="305"/>
      <c r="O25" s="12">
        <f>+O12</f>
        <v>416426.79832610243</v>
      </c>
      <c r="P25" s="307"/>
      <c r="Q25" s="309"/>
      <c r="R25" s="311"/>
      <c r="S25" s="305"/>
      <c r="T25" s="12">
        <f>+T12</f>
        <v>733864.73974775011</v>
      </c>
      <c r="U25" s="307"/>
      <c r="V25" s="309"/>
      <c r="W25" s="311"/>
      <c r="X25" s="305"/>
      <c r="Y25" s="12">
        <f>+Y12</f>
        <v>548635.41173829371</v>
      </c>
      <c r="Z25" s="307"/>
      <c r="AA25" s="309"/>
      <c r="AB25" s="311"/>
      <c r="AC25" s="305"/>
      <c r="AD25" s="12">
        <f>+AD12</f>
        <v>435549.2760954285</v>
      </c>
      <c r="AE25" s="307"/>
      <c r="AF25" s="309"/>
      <c r="AG25" s="311"/>
      <c r="AH25" s="305"/>
      <c r="AI25" s="12">
        <f>+AI12</f>
        <v>447411.78996418981</v>
      </c>
      <c r="AJ25" s="307"/>
      <c r="AK25" s="309"/>
      <c r="AL25" s="311"/>
      <c r="AM25" s="305"/>
      <c r="AN25" s="12">
        <f>+AN12</f>
        <v>344506.67549986951</v>
      </c>
      <c r="AO25" s="307"/>
      <c r="AP25" s="309"/>
      <c r="AQ25" s="311"/>
      <c r="AR25" s="305"/>
      <c r="AS25" s="12">
        <f>+AS12</f>
        <v>419786.34152781614</v>
      </c>
      <c r="AT25" s="307"/>
      <c r="AU25" s="309"/>
      <c r="AV25" s="311"/>
      <c r="AW25" s="305"/>
      <c r="AX25" s="12">
        <f>+AX12</f>
        <v>378318.34964730439</v>
      </c>
      <c r="AY25" s="307"/>
      <c r="AZ25" s="309"/>
      <c r="BA25" s="311"/>
      <c r="BB25" s="305"/>
      <c r="BC25" s="12">
        <f>+BC12</f>
        <v>453482.84130994877</v>
      </c>
      <c r="BD25" s="307"/>
      <c r="BE25" s="309"/>
      <c r="BF25" s="311"/>
      <c r="BG25" s="305"/>
      <c r="BH25" s="12">
        <f>+BH12</f>
        <v>532887.90511023544</v>
      </c>
      <c r="BI25" s="307"/>
      <c r="BJ25" s="309"/>
      <c r="BK25" s="311"/>
      <c r="BL25" s="305"/>
      <c r="BM25" s="12">
        <f>+BM12</f>
        <v>477457.02486995549</v>
      </c>
      <c r="BN25" s="307"/>
      <c r="BO25" s="309"/>
      <c r="BP25" s="311"/>
      <c r="BQ25" s="305"/>
      <c r="BR25" s="12">
        <f>+BR12</f>
        <v>493855.36318422219</v>
      </c>
      <c r="BS25" s="307"/>
      <c r="BT25" s="309"/>
      <c r="BU25" s="311"/>
      <c r="BV25" s="305"/>
      <c r="BW25" s="12">
        <f>+BW12</f>
        <v>496901.22828476451</v>
      </c>
      <c r="BX25" s="307"/>
      <c r="BY25" s="309"/>
      <c r="BZ25" s="311"/>
      <c r="CA25" s="305"/>
      <c r="CB25" s="12">
        <f>+CB12</f>
        <v>488368.73248863994</v>
      </c>
      <c r="CC25" s="307"/>
      <c r="CD25" s="309"/>
      <c r="CE25" s="311"/>
      <c r="CF25" s="305"/>
      <c r="CG25" s="12">
        <f>+CG12</f>
        <v>541381.79843598977</v>
      </c>
      <c r="CH25" s="307"/>
      <c r="CI25" s="309"/>
      <c r="CJ25" s="311"/>
      <c r="CK25" s="305"/>
      <c r="CL25" s="12">
        <f>+CL12</f>
        <v>527460.97356143082</v>
      </c>
      <c r="CM25" s="307"/>
      <c r="CN25" s="309"/>
      <c r="CO25" s="311"/>
      <c r="CP25" s="305"/>
      <c r="CQ25" s="12">
        <f>+CQ12</f>
        <v>542406.32066426985</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406109.61253936804</v>
      </c>
      <c r="F27" s="306"/>
      <c r="G27" s="308"/>
      <c r="H27" s="310">
        <f>IF(E28=0,"-",(E27/E28))</f>
        <v>1.2132986204415521</v>
      </c>
      <c r="I27" s="304"/>
      <c r="J27" s="10">
        <f>+J12</f>
        <v>484288.20845762413</v>
      </c>
      <c r="K27" s="306"/>
      <c r="L27" s="308"/>
      <c r="M27" s="310">
        <f>IF(J28=0,"-",(J27/J28))</f>
        <v>1.2111399785107186</v>
      </c>
      <c r="N27" s="304"/>
      <c r="O27" s="10">
        <f>+O12</f>
        <v>416426.79832610243</v>
      </c>
      <c r="P27" s="306"/>
      <c r="Q27" s="308"/>
      <c r="R27" s="310">
        <f>IF(O28=0,"-",(O27/O28))</f>
        <v>1.3019341872844929</v>
      </c>
      <c r="S27" s="304"/>
      <c r="T27" s="10">
        <f>+T12</f>
        <v>733864.73974775011</v>
      </c>
      <c r="U27" s="306"/>
      <c r="V27" s="308"/>
      <c r="W27" s="310">
        <f>IF(T28=0,"-",(T27/T28))</f>
        <v>1.6714481851807601</v>
      </c>
      <c r="X27" s="304"/>
      <c r="Y27" s="10">
        <f>+Y12</f>
        <v>548635.41173829371</v>
      </c>
      <c r="Z27" s="306"/>
      <c r="AA27" s="308"/>
      <c r="AB27" s="310">
        <f>IF(Y28=0,"-",(Y27/Y28))</f>
        <v>1.333193360862573</v>
      </c>
      <c r="AC27" s="304"/>
      <c r="AD27" s="10">
        <f>+AD12</f>
        <v>435549.2760954285</v>
      </c>
      <c r="AE27" s="306"/>
      <c r="AF27" s="308"/>
      <c r="AG27" s="310">
        <f>IF(AD28=0,"-",(AD27/AD28))</f>
        <v>1.1771946097491499</v>
      </c>
      <c r="AH27" s="304"/>
      <c r="AI27" s="10">
        <f>+AI12</f>
        <v>447411.78996418981</v>
      </c>
      <c r="AJ27" s="306"/>
      <c r="AK27" s="308"/>
      <c r="AL27" s="310">
        <f>IF(AI28=0,"-",(AI27/AI28))</f>
        <v>1.0018855886198499</v>
      </c>
      <c r="AM27" s="304"/>
      <c r="AN27" s="10">
        <f>+AN12</f>
        <v>344506.67549986951</v>
      </c>
      <c r="AO27" s="306"/>
      <c r="AP27" s="308"/>
      <c r="AQ27" s="310">
        <f>IF(AN28=0,"-",(AN27/AN28))</f>
        <v>1.0424038195889829</v>
      </c>
      <c r="AR27" s="304"/>
      <c r="AS27" s="10">
        <f>+AS12</f>
        <v>419786.34152781614</v>
      </c>
      <c r="AT27" s="306"/>
      <c r="AU27" s="308"/>
      <c r="AV27" s="310">
        <f>IF(AS28=0,"-",(AS27/AS28))</f>
        <v>1.2060110088256391</v>
      </c>
      <c r="AW27" s="304"/>
      <c r="AX27" s="10">
        <f>+AX12</f>
        <v>378318.34964730439</v>
      </c>
      <c r="AY27" s="306"/>
      <c r="AZ27" s="308"/>
      <c r="BA27" s="310">
        <f>IF(AX28=0,"-",(AX27/AX28))</f>
        <v>1.2422529448013668</v>
      </c>
      <c r="BB27" s="304"/>
      <c r="BC27" s="10">
        <f>+BC12</f>
        <v>453482.84130994877</v>
      </c>
      <c r="BD27" s="306"/>
      <c r="BE27" s="308"/>
      <c r="BF27" s="310">
        <f>IF(BC28=0,"-",(BC27/BC28))</f>
        <v>1.0122024177596283</v>
      </c>
      <c r="BG27" s="304"/>
      <c r="BH27" s="10">
        <f>+BH12</f>
        <v>532887.90511023544</v>
      </c>
      <c r="BI27" s="306"/>
      <c r="BJ27" s="308"/>
      <c r="BK27" s="310">
        <f>IF(BH28=0,"-",(BH27/BH28))</f>
        <v>1.0304251445091883</v>
      </c>
      <c r="BL27" s="304"/>
      <c r="BM27" s="10">
        <f>+BM12</f>
        <v>477457.02486995549</v>
      </c>
      <c r="BN27" s="306"/>
      <c r="BO27" s="308"/>
      <c r="BP27" s="310">
        <f>IF(BM28=0,"-",(BM27/BM28))</f>
        <v>1.1884797844988948</v>
      </c>
      <c r="BQ27" s="304"/>
      <c r="BR27" s="10">
        <f>+BR12</f>
        <v>493855.36318422219</v>
      </c>
      <c r="BS27" s="306"/>
      <c r="BT27" s="308"/>
      <c r="BU27" s="310">
        <f>IF(BR28=0,"-",(BR27/BR28))</f>
        <v>1.0244058491972332</v>
      </c>
      <c r="BV27" s="304"/>
      <c r="BW27" s="10">
        <f>+BW12</f>
        <v>496901.22828476451</v>
      </c>
      <c r="BX27" s="306"/>
      <c r="BY27" s="308"/>
      <c r="BZ27" s="310">
        <f>IF(BW28=0,"-",(BW27/BW28))</f>
        <v>1.1731245757001889</v>
      </c>
      <c r="CA27" s="304"/>
      <c r="CB27" s="10">
        <f>+CB12</f>
        <v>488368.73248863994</v>
      </c>
      <c r="CC27" s="306"/>
      <c r="CD27" s="308"/>
      <c r="CE27" s="310">
        <f>IF(CB28=0,"-",(CB27/CB28))</f>
        <v>1.0849741219433489</v>
      </c>
      <c r="CF27" s="304"/>
      <c r="CG27" s="10">
        <f>+CG12</f>
        <v>541381.79843598977</v>
      </c>
      <c r="CH27" s="306"/>
      <c r="CI27" s="308"/>
      <c r="CJ27" s="310">
        <f>IF(CG28=0,"-",(CG27/CG28))</f>
        <v>1.0749676449409848</v>
      </c>
      <c r="CK27" s="304"/>
      <c r="CL27" s="10">
        <f>+CL12</f>
        <v>527460.97356143082</v>
      </c>
      <c r="CM27" s="306"/>
      <c r="CN27" s="308"/>
      <c r="CO27" s="310">
        <f>IF(CL28=0,"-",(CL27/CL28))</f>
        <v>0.98733125846508174</v>
      </c>
      <c r="CP27" s="304"/>
      <c r="CQ27" s="10">
        <f>+CQ12</f>
        <v>542406.32066426985</v>
      </c>
      <c r="CR27" s="306"/>
      <c r="CS27" s="308"/>
      <c r="CT27" s="310">
        <f>IF(CQ28=0,"-",(CQ27/CQ28))</f>
        <v>1.0167265328517885</v>
      </c>
    </row>
    <row r="28" spans="1:98" ht="18" customHeight="1" x14ac:dyDescent="0.2">
      <c r="A28" s="17"/>
      <c r="B28" s="321"/>
      <c r="C28" s="323"/>
      <c r="D28" s="305"/>
      <c r="E28" s="12">
        <f>+E7</f>
        <v>334715.30066651996</v>
      </c>
      <c r="F28" s="307"/>
      <c r="G28" s="309"/>
      <c r="H28" s="311"/>
      <c r="I28" s="305"/>
      <c r="J28" s="12">
        <f>+J7</f>
        <v>399861.46692402178</v>
      </c>
      <c r="K28" s="307"/>
      <c r="L28" s="309"/>
      <c r="M28" s="311"/>
      <c r="N28" s="305"/>
      <c r="O28" s="12">
        <f>+O7</f>
        <v>319852.41834279191</v>
      </c>
      <c r="P28" s="307"/>
      <c r="Q28" s="309"/>
      <c r="R28" s="311"/>
      <c r="S28" s="305"/>
      <c r="T28" s="12">
        <f>+T7</f>
        <v>439059.22196947178</v>
      </c>
      <c r="U28" s="307"/>
      <c r="V28" s="309"/>
      <c r="W28" s="311"/>
      <c r="X28" s="305"/>
      <c r="Y28" s="12">
        <f>+Y7</f>
        <v>411519.75988188828</v>
      </c>
      <c r="Z28" s="307"/>
      <c r="AA28" s="309"/>
      <c r="AB28" s="311"/>
      <c r="AC28" s="305"/>
      <c r="AD28" s="12">
        <f>+AD7</f>
        <v>369989.18656978931</v>
      </c>
      <c r="AE28" s="307"/>
      <c r="AF28" s="309"/>
      <c r="AG28" s="311"/>
      <c r="AH28" s="305"/>
      <c r="AI28" s="12">
        <f>+AI7</f>
        <v>446569.74313855846</v>
      </c>
      <c r="AJ28" s="307"/>
      <c r="AK28" s="309"/>
      <c r="AL28" s="311"/>
      <c r="AM28" s="305"/>
      <c r="AN28" s="12">
        <f>+AN7</f>
        <v>330492.52988703322</v>
      </c>
      <c r="AO28" s="307"/>
      <c r="AP28" s="309"/>
      <c r="AQ28" s="311"/>
      <c r="AR28" s="305"/>
      <c r="AS28" s="12">
        <f>+AS7</f>
        <v>348078.36616399197</v>
      </c>
      <c r="AT28" s="307"/>
      <c r="AU28" s="309"/>
      <c r="AV28" s="311"/>
      <c r="AW28" s="305"/>
      <c r="AX28" s="12">
        <f>+AX7</f>
        <v>304542.12343026209</v>
      </c>
      <c r="AY28" s="307"/>
      <c r="AZ28" s="309"/>
      <c r="BA28" s="311"/>
      <c r="BB28" s="305"/>
      <c r="BC28" s="12">
        <f>+BC7</f>
        <v>448015.96336202306</v>
      </c>
      <c r="BD28" s="307"/>
      <c r="BE28" s="309"/>
      <c r="BF28" s="311"/>
      <c r="BG28" s="305"/>
      <c r="BH28" s="12">
        <f>+BH7</f>
        <v>517153.43705443095</v>
      </c>
      <c r="BI28" s="307"/>
      <c r="BJ28" s="309"/>
      <c r="BK28" s="311"/>
      <c r="BL28" s="305"/>
      <c r="BM28" s="12">
        <f>+BM7</f>
        <v>401737.60723348631</v>
      </c>
      <c r="BN28" s="307"/>
      <c r="BO28" s="309"/>
      <c r="BP28" s="311"/>
      <c r="BQ28" s="305"/>
      <c r="BR28" s="12">
        <f>+BR7</f>
        <v>482089.5581289659</v>
      </c>
      <c r="BS28" s="307"/>
      <c r="BT28" s="309"/>
      <c r="BU28" s="311"/>
      <c r="BV28" s="305"/>
      <c r="BW28" s="12">
        <f>+BW7</f>
        <v>423570.72605710692</v>
      </c>
      <c r="BX28" s="307"/>
      <c r="BY28" s="309"/>
      <c r="BZ28" s="311"/>
      <c r="CA28" s="305"/>
      <c r="CB28" s="12">
        <f>+CB7</f>
        <v>450120.16656572366</v>
      </c>
      <c r="CC28" s="307"/>
      <c r="CD28" s="309"/>
      <c r="CE28" s="311"/>
      <c r="CF28" s="305"/>
      <c r="CG28" s="12">
        <f>+CG7</f>
        <v>503626.13329232932</v>
      </c>
      <c r="CH28" s="307"/>
      <c r="CI28" s="309"/>
      <c r="CJ28" s="311"/>
      <c r="CK28" s="305"/>
      <c r="CL28" s="12">
        <f>+CL7</f>
        <v>534228.98246068764</v>
      </c>
      <c r="CM28" s="307"/>
      <c r="CN28" s="309"/>
      <c r="CO28" s="311"/>
      <c r="CP28" s="305"/>
      <c r="CQ28" s="12">
        <f>+CQ7</f>
        <v>533482.99974319467</v>
      </c>
      <c r="CR28" s="307"/>
      <c r="CS28" s="309"/>
      <c r="CT28" s="311"/>
    </row>
    <row r="29" spans="1:98" ht="18" customHeight="1" x14ac:dyDescent="0.2">
      <c r="A29" s="17"/>
      <c r="B29" s="320" t="s">
        <v>137</v>
      </c>
      <c r="C29" s="322" t="s">
        <v>136</v>
      </c>
      <c r="D29" s="304"/>
      <c r="E29" s="10">
        <f>+E12</f>
        <v>406109.61253936804</v>
      </c>
      <c r="F29" s="306"/>
      <c r="G29" s="308"/>
      <c r="H29" s="310">
        <f>IF(E30=0,"-",(E29/E30))</f>
        <v>2.9097172104026661</v>
      </c>
      <c r="I29" s="304"/>
      <c r="J29" s="10">
        <f>+J12</f>
        <v>484288.20845762413</v>
      </c>
      <c r="K29" s="306"/>
      <c r="L29" s="308"/>
      <c r="M29" s="310">
        <f>IF(J30=0,"-",(J29/J30))</f>
        <v>3.6847323622493491</v>
      </c>
      <c r="N29" s="304"/>
      <c r="O29" s="10">
        <f>+O12</f>
        <v>416426.79832610243</v>
      </c>
      <c r="P29" s="306"/>
      <c r="Q29" s="308"/>
      <c r="R29" s="310">
        <f>IF(O30=0,"-",(O29/O30))</f>
        <v>2.5394938318301605</v>
      </c>
      <c r="S29" s="304"/>
      <c r="T29" s="10">
        <f>+T12</f>
        <v>733864.73974775011</v>
      </c>
      <c r="U29" s="306"/>
      <c r="V29" s="308"/>
      <c r="W29" s="310">
        <f>IF(T30=0,"-",(T29/T30))</f>
        <v>4.1897822986041007</v>
      </c>
      <c r="X29" s="304"/>
      <c r="Y29" s="10">
        <f>+Y12</f>
        <v>548635.41173829371</v>
      </c>
      <c r="Z29" s="306"/>
      <c r="AA29" s="308"/>
      <c r="AB29" s="310">
        <f>IF(Y30=0,"-",(Y29/Y30))</f>
        <v>3.2770105518808221</v>
      </c>
      <c r="AC29" s="304"/>
      <c r="AD29" s="10">
        <f>+AD12</f>
        <v>435549.2760954285</v>
      </c>
      <c r="AE29" s="306"/>
      <c r="AF29" s="308"/>
      <c r="AG29" s="310">
        <f>IF(AD30=0,"-",(AD29/AD30))</f>
        <v>3.2982637040093699</v>
      </c>
      <c r="AH29" s="304"/>
      <c r="AI29" s="10">
        <f>+AI12</f>
        <v>447411.78996418981</v>
      </c>
      <c r="AJ29" s="306"/>
      <c r="AK29" s="308"/>
      <c r="AL29" s="310">
        <f>IF(AI30=0,"-",(AI29/AI30))</f>
        <v>2.9576479545858829</v>
      </c>
      <c r="AM29" s="304"/>
      <c r="AN29" s="10">
        <f>+AN12</f>
        <v>344506.67549986951</v>
      </c>
      <c r="AO29" s="306"/>
      <c r="AP29" s="308"/>
      <c r="AQ29" s="310">
        <f>IF(AN30=0,"-",(AN29/AN30))</f>
        <v>3.1728079900617616</v>
      </c>
      <c r="AR29" s="304"/>
      <c r="AS29" s="10">
        <f>+AS12</f>
        <v>419786.34152781614</v>
      </c>
      <c r="AT29" s="306"/>
      <c r="AU29" s="308"/>
      <c r="AV29" s="310">
        <f>IF(AS30=0,"-",(AS29/AS30))</f>
        <v>4.1179773650135756</v>
      </c>
      <c r="AW29" s="304"/>
      <c r="AX29" s="10">
        <f>+AX12</f>
        <v>378318.34964730439</v>
      </c>
      <c r="AY29" s="306"/>
      <c r="AZ29" s="308"/>
      <c r="BA29" s="310">
        <f>IF(AX30=0,"-",(AX29/AX30))</f>
        <v>3.2927672331064155</v>
      </c>
      <c r="BB29" s="304"/>
      <c r="BC29" s="10">
        <f>+BC12</f>
        <v>453482.84130994877</v>
      </c>
      <c r="BD29" s="306"/>
      <c r="BE29" s="308"/>
      <c r="BF29" s="310">
        <f>IF(BC30=0,"-",(BC29/BC30))</f>
        <v>2.7326375046935629</v>
      </c>
      <c r="BG29" s="304"/>
      <c r="BH29" s="10">
        <f>+BH12</f>
        <v>532887.90511023544</v>
      </c>
      <c r="BI29" s="306"/>
      <c r="BJ29" s="308"/>
      <c r="BK29" s="310">
        <f>IF(BH30=0,"-",(BH29/BH30))</f>
        <v>2.7578621962702776</v>
      </c>
      <c r="BL29" s="304"/>
      <c r="BM29" s="10">
        <f>+BM12</f>
        <v>477457.02486995549</v>
      </c>
      <c r="BN29" s="306"/>
      <c r="BO29" s="308"/>
      <c r="BP29" s="310">
        <f>IF(BM30=0,"-",(BM29/BM30))</f>
        <v>3.3070533674635803</v>
      </c>
      <c r="BQ29" s="304"/>
      <c r="BR29" s="10">
        <f>+BR12</f>
        <v>493855.36318422219</v>
      </c>
      <c r="BS29" s="306"/>
      <c r="BT29" s="308"/>
      <c r="BU29" s="310">
        <f>IF(BR30=0,"-",(BR29/BR30))</f>
        <v>2.4291536787179679</v>
      </c>
      <c r="BV29" s="304"/>
      <c r="BW29" s="10">
        <f>+BW12</f>
        <v>496901.22828476451</v>
      </c>
      <c r="BX29" s="306"/>
      <c r="BY29" s="308"/>
      <c r="BZ29" s="310">
        <f>IF(BW30=0,"-",(BW29/BW30))</f>
        <v>3.389290755987576</v>
      </c>
      <c r="CA29" s="304"/>
      <c r="CB29" s="10">
        <f>+CB12</f>
        <v>488368.73248863994</v>
      </c>
      <c r="CC29" s="306"/>
      <c r="CD29" s="308"/>
      <c r="CE29" s="310">
        <f>IF(CB30=0,"-",(CB29/CB30))</f>
        <v>3.2769289905343064</v>
      </c>
      <c r="CF29" s="304"/>
      <c r="CG29" s="10">
        <f>+CG12</f>
        <v>541381.79843598977</v>
      </c>
      <c r="CH29" s="306"/>
      <c r="CI29" s="308"/>
      <c r="CJ29" s="310">
        <f>IF(CG30=0,"-",(CG29/CG30))</f>
        <v>2.8538640167787426</v>
      </c>
      <c r="CK29" s="304"/>
      <c r="CL29" s="10">
        <f>+CL12</f>
        <v>527460.97356143082</v>
      </c>
      <c r="CM29" s="306"/>
      <c r="CN29" s="308"/>
      <c r="CO29" s="310">
        <f>IF(CL30=0,"-",(CL29/CL30))</f>
        <v>2.6416474106803616</v>
      </c>
      <c r="CP29" s="304"/>
      <c r="CQ29" s="10">
        <f>+CQ12</f>
        <v>542406.32066426985</v>
      </c>
      <c r="CR29" s="306"/>
      <c r="CS29" s="308"/>
      <c r="CT29" s="310">
        <f>IF(CQ30=0,"-",(CQ29/CQ30))</f>
        <v>3.0398196963428834</v>
      </c>
    </row>
    <row r="30" spans="1:98" ht="18" customHeight="1" x14ac:dyDescent="0.2">
      <c r="A30" s="17"/>
      <c r="B30" s="321"/>
      <c r="C30" s="323"/>
      <c r="D30" s="305"/>
      <c r="E30" s="12">
        <f>+BS!K15</f>
        <v>139570.131106716</v>
      </c>
      <c r="F30" s="307"/>
      <c r="G30" s="309"/>
      <c r="H30" s="311"/>
      <c r="I30" s="305"/>
      <c r="J30" s="12">
        <f>+BS!L15</f>
        <v>131431.04053342692</v>
      </c>
      <c r="K30" s="307"/>
      <c r="L30" s="309"/>
      <c r="M30" s="311"/>
      <c r="N30" s="305"/>
      <c r="O30" s="12">
        <f>+BS!M15</f>
        <v>163980.23618194507</v>
      </c>
      <c r="P30" s="307"/>
      <c r="Q30" s="309"/>
      <c r="R30" s="311"/>
      <c r="S30" s="305"/>
      <c r="T30" s="12">
        <f>+BS!N15</f>
        <v>175155.81656647174</v>
      </c>
      <c r="U30" s="307"/>
      <c r="V30" s="309"/>
      <c r="W30" s="311"/>
      <c r="X30" s="305"/>
      <c r="Y30" s="12">
        <f>+BS!O15</f>
        <v>167419.4828037424</v>
      </c>
      <c r="Z30" s="307"/>
      <c r="AA30" s="309"/>
      <c r="AB30" s="311"/>
      <c r="AC30" s="305"/>
      <c r="AD30" s="12">
        <f>+BS!P15</f>
        <v>132054.10942914442</v>
      </c>
      <c r="AE30" s="307"/>
      <c r="AF30" s="309"/>
      <c r="AG30" s="311"/>
      <c r="AH30" s="305"/>
      <c r="AI30" s="12">
        <f>+BS!Q15</f>
        <v>151272.83464229415</v>
      </c>
      <c r="AJ30" s="307"/>
      <c r="AK30" s="309"/>
      <c r="AL30" s="311"/>
      <c r="AM30" s="305"/>
      <c r="AN30" s="12">
        <f>+BS!R15</f>
        <v>108581.00350824046</v>
      </c>
      <c r="AO30" s="307"/>
      <c r="AP30" s="309"/>
      <c r="AQ30" s="311"/>
      <c r="AR30" s="305"/>
      <c r="AS30" s="12">
        <f>+BS!S15</f>
        <v>101939.93417601804</v>
      </c>
      <c r="AT30" s="307"/>
      <c r="AU30" s="309"/>
      <c r="AV30" s="311"/>
      <c r="AW30" s="305"/>
      <c r="AX30" s="12">
        <f>+BS!T15</f>
        <v>114893.74221280642</v>
      </c>
      <c r="AY30" s="307"/>
      <c r="AZ30" s="309"/>
      <c r="BA30" s="311"/>
      <c r="BB30" s="305"/>
      <c r="BC30" s="12">
        <f>+BS!U15</f>
        <v>165950.60286300292</v>
      </c>
      <c r="BD30" s="307"/>
      <c r="BE30" s="309"/>
      <c r="BF30" s="311"/>
      <c r="BG30" s="305"/>
      <c r="BH30" s="12">
        <f>+BS!V15</f>
        <v>193224.9935587467</v>
      </c>
      <c r="BI30" s="307"/>
      <c r="BJ30" s="309"/>
      <c r="BK30" s="311"/>
      <c r="BL30" s="305"/>
      <c r="BM30" s="12">
        <f>+BS!W15</f>
        <v>144375.36133145381</v>
      </c>
      <c r="BN30" s="307"/>
      <c r="BO30" s="309"/>
      <c r="BP30" s="311"/>
      <c r="BQ30" s="305"/>
      <c r="BR30" s="12">
        <f>+BS!X15</f>
        <v>203303.46635164876</v>
      </c>
      <c r="BS30" s="307"/>
      <c r="BT30" s="309"/>
      <c r="BU30" s="311"/>
      <c r="BV30" s="305"/>
      <c r="BW30" s="12">
        <f>+BS!Y15</f>
        <v>146609.20648573179</v>
      </c>
      <c r="BX30" s="307"/>
      <c r="BY30" s="309"/>
      <c r="BZ30" s="311"/>
      <c r="CA30" s="305"/>
      <c r="CB30" s="12">
        <f>+BS!Z15</f>
        <v>149032.44284491224</v>
      </c>
      <c r="CC30" s="307"/>
      <c r="CD30" s="309"/>
      <c r="CE30" s="311"/>
      <c r="CF30" s="305"/>
      <c r="CG30" s="12">
        <f>+BS!AA15</f>
        <v>189701.32958439505</v>
      </c>
      <c r="CH30" s="307"/>
      <c r="CI30" s="309"/>
      <c r="CJ30" s="311"/>
      <c r="CK30" s="305"/>
      <c r="CL30" s="12">
        <f>+BS!AB15</f>
        <v>199671.22464143773</v>
      </c>
      <c r="CM30" s="307"/>
      <c r="CN30" s="309"/>
      <c r="CO30" s="311"/>
      <c r="CP30" s="305"/>
      <c r="CQ30" s="12">
        <f>+BS!AC15</f>
        <v>178433.71477486732</v>
      </c>
      <c r="CR30" s="307"/>
      <c r="CS30" s="309"/>
      <c r="CT30" s="311"/>
    </row>
    <row r="31" spans="1:98" ht="18" customHeight="1" x14ac:dyDescent="0.2">
      <c r="A31" s="17"/>
      <c r="B31" s="320" t="s">
        <v>138</v>
      </c>
      <c r="C31" s="322" t="s">
        <v>139</v>
      </c>
      <c r="D31" s="304"/>
      <c r="E31" s="10">
        <f>+BS!K11</f>
        <v>82761.590859151795</v>
      </c>
      <c r="F31" s="306" t="s">
        <v>121</v>
      </c>
      <c r="G31" s="308">
        <v>365</v>
      </c>
      <c r="H31" s="310">
        <f>IF(E32=0,"-",(E31/E32)*G31)</f>
        <v>74.383810997977946</v>
      </c>
      <c r="I31" s="304"/>
      <c r="J31" s="10">
        <f>+BS!L11</f>
        <v>113077.99613967363</v>
      </c>
      <c r="K31" s="306" t="s">
        <v>111</v>
      </c>
      <c r="L31" s="308">
        <v>365</v>
      </c>
      <c r="M31" s="310">
        <f>IF(J32=0,"-",(J31/J32)*L31)</f>
        <v>85.22501244131027</v>
      </c>
      <c r="N31" s="304"/>
      <c r="O31" s="10">
        <f>+BS!M11</f>
        <v>73445.004664519001</v>
      </c>
      <c r="P31" s="306" t="s">
        <v>111</v>
      </c>
      <c r="Q31" s="308">
        <v>365</v>
      </c>
      <c r="R31" s="310">
        <f>IF(O32=0,"-",(O31/O32)*Q31)</f>
        <v>64.374883677770967</v>
      </c>
      <c r="S31" s="304"/>
      <c r="T31" s="10">
        <f>+BS!N11</f>
        <v>128770.50756758029</v>
      </c>
      <c r="U31" s="306" t="s">
        <v>111</v>
      </c>
      <c r="V31" s="308">
        <v>365</v>
      </c>
      <c r="W31" s="310">
        <f>IF(T32=0,"-",(T31/T32)*V31)</f>
        <v>64.046182786111842</v>
      </c>
      <c r="X31" s="304"/>
      <c r="Y31" s="10">
        <f>+BS!O11</f>
        <v>100032.3612984487</v>
      </c>
      <c r="Z31" s="306" t="s">
        <v>111</v>
      </c>
      <c r="AA31" s="308">
        <v>365</v>
      </c>
      <c r="AB31" s="310">
        <f>IF(Y32=0,"-",(Y31/Y32)*AA31)</f>
        <v>66.550228244017148</v>
      </c>
      <c r="AC31" s="304"/>
      <c r="AD31" s="10">
        <f>+BS!P11</f>
        <v>95185.840832964808</v>
      </c>
      <c r="AE31" s="306" t="s">
        <v>111</v>
      </c>
      <c r="AF31" s="308">
        <v>365</v>
      </c>
      <c r="AG31" s="310">
        <f>IF(AD32=0,"-",(AD31/AD32)*AF31)</f>
        <v>79.767855925491261</v>
      </c>
      <c r="AH31" s="304"/>
      <c r="AI31" s="10">
        <f>+BS!Q11</f>
        <v>106829.94690092247</v>
      </c>
      <c r="AJ31" s="306" t="s">
        <v>121</v>
      </c>
      <c r="AK31" s="308">
        <v>365</v>
      </c>
      <c r="AL31" s="310">
        <f>IF(AI32=0,"-",(AI31/AI32)*AK31)</f>
        <v>87.152219707839265</v>
      </c>
      <c r="AM31" s="304"/>
      <c r="AN31" s="10">
        <f>+BS!R11</f>
        <v>77612.733926365458</v>
      </c>
      <c r="AO31" s="306" t="s">
        <v>118</v>
      </c>
      <c r="AP31" s="308">
        <v>365</v>
      </c>
      <c r="AQ31" s="310">
        <f>IF(AN32=0,"-",(AN31/AN32)*AP31)</f>
        <v>82.229605107126929</v>
      </c>
      <c r="AR31" s="304"/>
      <c r="AS31" s="10">
        <f>+BS!S11</f>
        <v>90637.898911536206</v>
      </c>
      <c r="AT31" s="306" t="s">
        <v>111</v>
      </c>
      <c r="AU31" s="308">
        <v>365</v>
      </c>
      <c r="AV31" s="310">
        <f>IF(AS32=0,"-",(AS31/AS32)*AU31)</f>
        <v>78.808741090301908</v>
      </c>
      <c r="AW31" s="304"/>
      <c r="AX31" s="10">
        <f>+BS!T11</f>
        <v>67125.020232442388</v>
      </c>
      <c r="AY31" s="306" t="s">
        <v>111</v>
      </c>
      <c r="AZ31" s="308">
        <v>365</v>
      </c>
      <c r="BA31" s="310">
        <f>IF(AX32=0,"-",(AX31/AX32)*AZ31)</f>
        <v>64.761945614540579</v>
      </c>
      <c r="BB31" s="304"/>
      <c r="BC31" s="10">
        <f>+BS!U11</f>
        <v>89522.676142954922</v>
      </c>
      <c r="BD31" s="306" t="s">
        <v>111</v>
      </c>
      <c r="BE31" s="308">
        <v>365</v>
      </c>
      <c r="BF31" s="310">
        <f>IF(BC32=0,"-",(BC31/BC32)*BE31)</f>
        <v>72.055155819765943</v>
      </c>
      <c r="BG31" s="304"/>
      <c r="BH31" s="10">
        <f>+BS!V11</f>
        <v>124966.49337454379</v>
      </c>
      <c r="BI31" s="306" t="s">
        <v>111</v>
      </c>
      <c r="BJ31" s="308">
        <v>365</v>
      </c>
      <c r="BK31" s="310">
        <f>IF(BH32=0,"-",(BH31/BH32)*BJ31)</f>
        <v>85.595431317347746</v>
      </c>
      <c r="BL31" s="304"/>
      <c r="BM31" s="10">
        <f>+BS!W11</f>
        <v>101337.01825433754</v>
      </c>
      <c r="BN31" s="306" t="s">
        <v>111</v>
      </c>
      <c r="BO31" s="308">
        <v>365</v>
      </c>
      <c r="BP31" s="310">
        <f>IF(BM32=0,"-",(BM31/BM32)*BO31)</f>
        <v>77.468776740498456</v>
      </c>
      <c r="BQ31" s="304"/>
      <c r="BR31" s="10">
        <f>+BS!X11</f>
        <v>81501.580745373241</v>
      </c>
      <c r="BS31" s="306" t="s">
        <v>111</v>
      </c>
      <c r="BT31" s="308">
        <v>365</v>
      </c>
      <c r="BU31" s="310">
        <f>IF(BR32=0,"-",(BR31/BR32)*BT31)</f>
        <v>60.236415739732173</v>
      </c>
      <c r="BV31" s="304"/>
      <c r="BW31" s="10">
        <f>+BS!Y11</f>
        <v>110086.92828174544</v>
      </c>
      <c r="BX31" s="306" t="s">
        <v>111</v>
      </c>
      <c r="BY31" s="308">
        <v>365</v>
      </c>
      <c r="BZ31" s="310">
        <f>IF(BW32=0,"-",(BW31/BW32)*BY31)</f>
        <v>80.864619637868373</v>
      </c>
      <c r="CA31" s="304"/>
      <c r="CB31" s="10">
        <f>+BS!Z11</f>
        <v>99546.171121672509</v>
      </c>
      <c r="CC31" s="306" t="s">
        <v>111</v>
      </c>
      <c r="CD31" s="308">
        <v>365</v>
      </c>
      <c r="CE31" s="310">
        <f>IF(CB32=0,"-",(CB31/CB32)*CD31)</f>
        <v>74.399424128275129</v>
      </c>
      <c r="CF31" s="304"/>
      <c r="CG31" s="10">
        <f>+BS!AA11</f>
        <v>101050.46138300677</v>
      </c>
      <c r="CH31" s="306" t="s">
        <v>111</v>
      </c>
      <c r="CI31" s="308">
        <v>365</v>
      </c>
      <c r="CJ31" s="310">
        <f>IF(CG32=0,"-",(CG31/CG32)*CI31)</f>
        <v>68.128294137983247</v>
      </c>
      <c r="CK31" s="304"/>
      <c r="CL31" s="10">
        <f>+BS!AB11</f>
        <v>86055.60307585969</v>
      </c>
      <c r="CM31" s="306" t="s">
        <v>111</v>
      </c>
      <c r="CN31" s="308">
        <v>365</v>
      </c>
      <c r="CO31" s="310">
        <f>IF(CL32=0,"-",(CL31/CL32)*CN31)</f>
        <v>59.549988903644611</v>
      </c>
      <c r="CP31" s="304"/>
      <c r="CQ31" s="10">
        <f>+BS!AC11</f>
        <v>93624.834788563603</v>
      </c>
      <c r="CR31" s="306" t="s">
        <v>111</v>
      </c>
      <c r="CS31" s="308">
        <v>365</v>
      </c>
      <c r="CT31" s="310">
        <f>IF(CQ32=0,"-",(CQ31/CQ32)*CS31)</f>
        <v>63.002703685264798</v>
      </c>
    </row>
    <row r="32" spans="1:98" ht="18" customHeight="1" x14ac:dyDescent="0.2">
      <c r="A32" s="17"/>
      <c r="B32" s="321"/>
      <c r="C32" s="323"/>
      <c r="D32" s="305"/>
      <c r="E32" s="12">
        <f>+E12</f>
        <v>406109.61253936804</v>
      </c>
      <c r="F32" s="307"/>
      <c r="G32" s="309"/>
      <c r="H32" s="311"/>
      <c r="I32" s="305"/>
      <c r="J32" s="12">
        <f>+J12</f>
        <v>484288.20845762413</v>
      </c>
      <c r="K32" s="307"/>
      <c r="L32" s="309"/>
      <c r="M32" s="311"/>
      <c r="N32" s="305"/>
      <c r="O32" s="12">
        <f>+O12</f>
        <v>416426.79832610243</v>
      </c>
      <c r="P32" s="307"/>
      <c r="Q32" s="309"/>
      <c r="R32" s="311"/>
      <c r="S32" s="305"/>
      <c r="T32" s="12">
        <f>+T12</f>
        <v>733864.73974775011</v>
      </c>
      <c r="U32" s="307"/>
      <c r="V32" s="309"/>
      <c r="W32" s="311"/>
      <c r="X32" s="305"/>
      <c r="Y32" s="12">
        <f>+Y12</f>
        <v>548635.41173829371</v>
      </c>
      <c r="Z32" s="307"/>
      <c r="AA32" s="309"/>
      <c r="AB32" s="311"/>
      <c r="AC32" s="305"/>
      <c r="AD32" s="12">
        <f>+AD12</f>
        <v>435549.2760954285</v>
      </c>
      <c r="AE32" s="307"/>
      <c r="AF32" s="309"/>
      <c r="AG32" s="311"/>
      <c r="AH32" s="305"/>
      <c r="AI32" s="12">
        <f>+AI12</f>
        <v>447411.78996418981</v>
      </c>
      <c r="AJ32" s="307"/>
      <c r="AK32" s="309"/>
      <c r="AL32" s="311"/>
      <c r="AM32" s="305"/>
      <c r="AN32" s="12">
        <f>+AN12</f>
        <v>344506.67549986951</v>
      </c>
      <c r="AO32" s="307"/>
      <c r="AP32" s="309"/>
      <c r="AQ32" s="311"/>
      <c r="AR32" s="305"/>
      <c r="AS32" s="12">
        <f>+AS12</f>
        <v>419786.34152781614</v>
      </c>
      <c r="AT32" s="307"/>
      <c r="AU32" s="309"/>
      <c r="AV32" s="311"/>
      <c r="AW32" s="305"/>
      <c r="AX32" s="12">
        <f>+AX12</f>
        <v>378318.34964730439</v>
      </c>
      <c r="AY32" s="307"/>
      <c r="AZ32" s="309"/>
      <c r="BA32" s="311"/>
      <c r="BB32" s="305"/>
      <c r="BC32" s="12">
        <f>+BC12</f>
        <v>453482.84130994877</v>
      </c>
      <c r="BD32" s="307"/>
      <c r="BE32" s="309"/>
      <c r="BF32" s="311"/>
      <c r="BG32" s="305"/>
      <c r="BH32" s="12">
        <f>+BH12</f>
        <v>532887.90511023544</v>
      </c>
      <c r="BI32" s="307"/>
      <c r="BJ32" s="309"/>
      <c r="BK32" s="311"/>
      <c r="BL32" s="305"/>
      <c r="BM32" s="12">
        <f>+BM12</f>
        <v>477457.02486995549</v>
      </c>
      <c r="BN32" s="307"/>
      <c r="BO32" s="309"/>
      <c r="BP32" s="311"/>
      <c r="BQ32" s="305"/>
      <c r="BR32" s="12">
        <f>+BR12</f>
        <v>493855.36318422219</v>
      </c>
      <c r="BS32" s="307"/>
      <c r="BT32" s="309"/>
      <c r="BU32" s="311"/>
      <c r="BV32" s="305"/>
      <c r="BW32" s="12">
        <f>+BW12</f>
        <v>496901.22828476451</v>
      </c>
      <c r="BX32" s="307"/>
      <c r="BY32" s="309"/>
      <c r="BZ32" s="311"/>
      <c r="CA32" s="305"/>
      <c r="CB32" s="12">
        <f>+CB12</f>
        <v>488368.73248863994</v>
      </c>
      <c r="CC32" s="307"/>
      <c r="CD32" s="309"/>
      <c r="CE32" s="311"/>
      <c r="CF32" s="305"/>
      <c r="CG32" s="12">
        <f>+CG12</f>
        <v>541381.79843598977</v>
      </c>
      <c r="CH32" s="307"/>
      <c r="CI32" s="309"/>
      <c r="CJ32" s="311"/>
      <c r="CK32" s="305"/>
      <c r="CL32" s="12">
        <f>+CL12</f>
        <v>527460.97356143082</v>
      </c>
      <c r="CM32" s="307"/>
      <c r="CN32" s="309"/>
      <c r="CO32" s="311"/>
      <c r="CP32" s="305"/>
      <c r="CQ32" s="12">
        <f>+CQ12</f>
        <v>542406.32066426985</v>
      </c>
      <c r="CR32" s="307"/>
      <c r="CS32" s="309"/>
      <c r="CT32" s="311"/>
    </row>
    <row r="33" spans="1:98" ht="18" customHeight="1" x14ac:dyDescent="0.2">
      <c r="A33" s="17"/>
      <c r="B33" s="320" t="s">
        <v>140</v>
      </c>
      <c r="C33" s="322" t="s">
        <v>139</v>
      </c>
      <c r="D33" s="304"/>
      <c r="E33" s="10">
        <f>+BS!K13</f>
        <v>32283.014722039101</v>
      </c>
      <c r="F33" s="306" t="s">
        <v>111</v>
      </c>
      <c r="G33" s="308">
        <v>365</v>
      </c>
      <c r="H33" s="310">
        <f>IF(E34=0,"-",(E33/E34)*G33)</f>
        <v>29.015073787257389</v>
      </c>
      <c r="I33" s="304"/>
      <c r="J33" s="10">
        <f>+BS!L13</f>
        <v>38822.249517459204</v>
      </c>
      <c r="K33" s="306" t="s">
        <v>111</v>
      </c>
      <c r="L33" s="308">
        <v>365</v>
      </c>
      <c r="M33" s="310">
        <f>IF(J34=0,"-",(J33/J34)*L33)</f>
        <v>29.25968633224014</v>
      </c>
      <c r="N33" s="304"/>
      <c r="O33" s="10">
        <f>+BS!M13</f>
        <v>24029.989523217049</v>
      </c>
      <c r="P33" s="306" t="s">
        <v>111</v>
      </c>
      <c r="Q33" s="308">
        <v>365</v>
      </c>
      <c r="R33" s="310">
        <f>IF(O34=0,"-",(O33/O34)*Q33)</f>
        <v>21.062396107144199</v>
      </c>
      <c r="S33" s="304"/>
      <c r="T33" s="10">
        <f>+BS!N13</f>
        <v>72332.922818576393</v>
      </c>
      <c r="U33" s="306" t="s">
        <v>111</v>
      </c>
      <c r="V33" s="308">
        <v>365</v>
      </c>
      <c r="W33" s="310">
        <f>IF(T34=0,"-",(T33/T34)*V33)</f>
        <v>35.975998571419751</v>
      </c>
      <c r="X33" s="304"/>
      <c r="Y33" s="10">
        <f>+BS!O13</f>
        <v>44043.626692401231</v>
      </c>
      <c r="Z33" s="306" t="s">
        <v>111</v>
      </c>
      <c r="AA33" s="308">
        <v>365</v>
      </c>
      <c r="AB33" s="310">
        <f>IF(Y34=0,"-",(Y33/Y34)*AA33)</f>
        <v>29.301651695780212</v>
      </c>
      <c r="AC33" s="304"/>
      <c r="AD33" s="10">
        <f>+BS!P13</f>
        <v>40745.342958707173</v>
      </c>
      <c r="AE33" s="306" t="s">
        <v>111</v>
      </c>
      <c r="AF33" s="308">
        <v>365</v>
      </c>
      <c r="AG33" s="310">
        <f>IF(AD34=0,"-",(AD33/AD34)*AF33)</f>
        <v>34.145505448319618</v>
      </c>
      <c r="AH33" s="304"/>
      <c r="AI33" s="10">
        <f>+BS!Q13</f>
        <v>47148.743742733153</v>
      </c>
      <c r="AJ33" s="306" t="s">
        <v>111</v>
      </c>
      <c r="AK33" s="308">
        <v>365</v>
      </c>
      <c r="AL33" s="310">
        <f>IF(AI34=0,"-",(AI33/AI34)*AK33)</f>
        <v>38.464099185841768</v>
      </c>
      <c r="AM33" s="304"/>
      <c r="AN33" s="10">
        <f>+BS!R13</f>
        <v>36360.768962914946</v>
      </c>
      <c r="AO33" s="306" t="s">
        <v>141</v>
      </c>
      <c r="AP33" s="308">
        <v>365</v>
      </c>
      <c r="AQ33" s="310">
        <f>IF(AN34=0,"-",(AN33/AN34)*AP33)</f>
        <v>38.523725707802669</v>
      </c>
      <c r="AR33" s="304"/>
      <c r="AS33" s="10">
        <f>+BS!S13</f>
        <v>42103.672583234329</v>
      </c>
      <c r="AT33" s="306" t="s">
        <v>111</v>
      </c>
      <c r="AU33" s="308">
        <v>365</v>
      </c>
      <c r="AV33" s="310">
        <f>IF(AS34=0,"-",(AS33/AS34)*AU33)</f>
        <v>36.608719657121611</v>
      </c>
      <c r="AW33" s="304"/>
      <c r="AX33" s="10">
        <f>+BS!T13</f>
        <v>29670.492519739917</v>
      </c>
      <c r="AY33" s="306" t="s">
        <v>111</v>
      </c>
      <c r="AZ33" s="308">
        <v>365</v>
      </c>
      <c r="BA33" s="310">
        <f>IF(AX34=0,"-",(AX33/AX34)*AZ33)</f>
        <v>28.625970111683248</v>
      </c>
      <c r="BB33" s="304"/>
      <c r="BC33" s="10">
        <f>+BS!U13</f>
        <v>41840.793216325379</v>
      </c>
      <c r="BD33" s="306" t="s">
        <v>111</v>
      </c>
      <c r="BE33" s="308">
        <v>365</v>
      </c>
      <c r="BF33" s="310">
        <f>IF(BC34=0,"-",(BC33/BC34)*BE33)</f>
        <v>33.676885061061562</v>
      </c>
      <c r="BG33" s="304"/>
      <c r="BH33" s="10">
        <f>+BS!V13</f>
        <v>66966.71848150903</v>
      </c>
      <c r="BI33" s="306" t="s">
        <v>111</v>
      </c>
      <c r="BJ33" s="308">
        <v>365</v>
      </c>
      <c r="BK33" s="310">
        <f>IF(BH34=0,"-",(BH33/BH34)*BJ33)</f>
        <v>45.868656449792091</v>
      </c>
      <c r="BL33" s="304"/>
      <c r="BM33" s="10">
        <f>+BS!W13</f>
        <v>50210.634976573267</v>
      </c>
      <c r="BN33" s="306" t="s">
        <v>111</v>
      </c>
      <c r="BO33" s="308">
        <v>365</v>
      </c>
      <c r="BP33" s="310">
        <f>IF(BM34=0,"-",(BM33/BM34)*BO33)</f>
        <v>38.384358825678433</v>
      </c>
      <c r="BQ33" s="304"/>
      <c r="BR33" s="10">
        <f>+BS!X13</f>
        <v>46581.337341519196</v>
      </c>
      <c r="BS33" s="306" t="s">
        <v>111</v>
      </c>
      <c r="BT33" s="308">
        <v>365</v>
      </c>
      <c r="BU33" s="310">
        <f>IF(BR34=0,"-",(BR33/BR34)*BT33)</f>
        <v>34.427464794610735</v>
      </c>
      <c r="BV33" s="304"/>
      <c r="BW33" s="10">
        <f>+BS!Y13</f>
        <v>54774.806786077999</v>
      </c>
      <c r="BX33" s="306" t="s">
        <v>111</v>
      </c>
      <c r="BY33" s="308">
        <v>365</v>
      </c>
      <c r="BZ33" s="310">
        <f>IF(BW34=0,"-",(BW33/BW34)*BY33)</f>
        <v>40.234966908677031</v>
      </c>
      <c r="CA33" s="304"/>
      <c r="CB33" s="10">
        <f>+BS!Z13</f>
        <v>52826.787361151655</v>
      </c>
      <c r="CC33" s="306" t="s">
        <v>111</v>
      </c>
      <c r="CD33" s="308">
        <v>365</v>
      </c>
      <c r="CE33" s="310">
        <f>IF(CB34=0,"-",(CB33/CB34)*CD33)</f>
        <v>39.482006328627662</v>
      </c>
      <c r="CF33" s="304"/>
      <c r="CG33" s="10">
        <f>+BS!AA13</f>
        <v>61397.64994288727</v>
      </c>
      <c r="CH33" s="306" t="s">
        <v>126</v>
      </c>
      <c r="CI33" s="308">
        <v>365</v>
      </c>
      <c r="CJ33" s="310">
        <f>IF(CG34=0,"-",(CG33/CG34)*CI33)</f>
        <v>41.394339990548303</v>
      </c>
      <c r="CK33" s="304"/>
      <c r="CL33" s="10">
        <f>+BS!AB13</f>
        <v>70492.818040435464</v>
      </c>
      <c r="CM33" s="306" t="s">
        <v>111</v>
      </c>
      <c r="CN33" s="308">
        <v>365</v>
      </c>
      <c r="CO33" s="310">
        <f>IF(CL34=0,"-",(CL33/CL34)*CN33)</f>
        <v>48.780629988660785</v>
      </c>
      <c r="CP33" s="304"/>
      <c r="CQ33" s="10">
        <f>+BS!AC13</f>
        <v>78244.371169320322</v>
      </c>
      <c r="CR33" s="306" t="s">
        <v>111</v>
      </c>
      <c r="CS33" s="308">
        <v>365</v>
      </c>
      <c r="CT33" s="310">
        <f>IF(CQ34=0,"-",(CQ33/CQ34)*CS33)</f>
        <v>52.652770420938815</v>
      </c>
    </row>
    <row r="34" spans="1:98" ht="18" customHeight="1" x14ac:dyDescent="0.2">
      <c r="A34" s="17"/>
      <c r="B34" s="321"/>
      <c r="C34" s="323"/>
      <c r="D34" s="305"/>
      <c r="E34" s="12">
        <f>+E12</f>
        <v>406109.61253936804</v>
      </c>
      <c r="F34" s="307"/>
      <c r="G34" s="309"/>
      <c r="H34" s="311"/>
      <c r="I34" s="305"/>
      <c r="J34" s="12">
        <f>+J12</f>
        <v>484288.20845762413</v>
      </c>
      <c r="K34" s="307"/>
      <c r="L34" s="309"/>
      <c r="M34" s="311"/>
      <c r="N34" s="305"/>
      <c r="O34" s="12">
        <f>+O12</f>
        <v>416426.79832610243</v>
      </c>
      <c r="P34" s="307"/>
      <c r="Q34" s="309"/>
      <c r="R34" s="311"/>
      <c r="S34" s="305"/>
      <c r="T34" s="12">
        <f>+T12</f>
        <v>733864.73974775011</v>
      </c>
      <c r="U34" s="307"/>
      <c r="V34" s="309"/>
      <c r="W34" s="311"/>
      <c r="X34" s="305"/>
      <c r="Y34" s="12">
        <f>+Y12</f>
        <v>548635.41173829371</v>
      </c>
      <c r="Z34" s="307"/>
      <c r="AA34" s="309"/>
      <c r="AB34" s="311"/>
      <c r="AC34" s="305"/>
      <c r="AD34" s="12">
        <f>+AD12</f>
        <v>435549.2760954285</v>
      </c>
      <c r="AE34" s="307"/>
      <c r="AF34" s="309"/>
      <c r="AG34" s="311"/>
      <c r="AH34" s="305"/>
      <c r="AI34" s="12">
        <f>+AI12</f>
        <v>447411.78996418981</v>
      </c>
      <c r="AJ34" s="307"/>
      <c r="AK34" s="309"/>
      <c r="AL34" s="311"/>
      <c r="AM34" s="305"/>
      <c r="AN34" s="12">
        <f>+AN12</f>
        <v>344506.67549986951</v>
      </c>
      <c r="AO34" s="307"/>
      <c r="AP34" s="309"/>
      <c r="AQ34" s="311"/>
      <c r="AR34" s="305"/>
      <c r="AS34" s="12">
        <f>+AS12</f>
        <v>419786.34152781614</v>
      </c>
      <c r="AT34" s="307"/>
      <c r="AU34" s="309"/>
      <c r="AV34" s="311"/>
      <c r="AW34" s="305"/>
      <c r="AX34" s="12">
        <f>+AX12</f>
        <v>378318.34964730439</v>
      </c>
      <c r="AY34" s="307"/>
      <c r="AZ34" s="309"/>
      <c r="BA34" s="311"/>
      <c r="BB34" s="305"/>
      <c r="BC34" s="12">
        <f>+BC12</f>
        <v>453482.84130994877</v>
      </c>
      <c r="BD34" s="307"/>
      <c r="BE34" s="309"/>
      <c r="BF34" s="311"/>
      <c r="BG34" s="305"/>
      <c r="BH34" s="12">
        <f>+BH12</f>
        <v>532887.90511023544</v>
      </c>
      <c r="BI34" s="307"/>
      <c r="BJ34" s="309"/>
      <c r="BK34" s="311"/>
      <c r="BL34" s="305"/>
      <c r="BM34" s="12">
        <f>+BM12</f>
        <v>477457.02486995549</v>
      </c>
      <c r="BN34" s="307"/>
      <c r="BO34" s="309"/>
      <c r="BP34" s="311"/>
      <c r="BQ34" s="305"/>
      <c r="BR34" s="12">
        <f>+BR12</f>
        <v>493855.36318422219</v>
      </c>
      <c r="BS34" s="307"/>
      <c r="BT34" s="309"/>
      <c r="BU34" s="311"/>
      <c r="BV34" s="305"/>
      <c r="BW34" s="12">
        <f>+BW12</f>
        <v>496901.22828476451</v>
      </c>
      <c r="BX34" s="307"/>
      <c r="BY34" s="309"/>
      <c r="BZ34" s="311"/>
      <c r="CA34" s="305"/>
      <c r="CB34" s="12">
        <f>+CB12</f>
        <v>488368.73248863994</v>
      </c>
      <c r="CC34" s="307"/>
      <c r="CD34" s="309"/>
      <c r="CE34" s="311"/>
      <c r="CF34" s="305"/>
      <c r="CG34" s="12">
        <f>+CG12</f>
        <v>541381.79843598977</v>
      </c>
      <c r="CH34" s="307"/>
      <c r="CI34" s="309"/>
      <c r="CJ34" s="311"/>
      <c r="CK34" s="305"/>
      <c r="CL34" s="12">
        <f>+CL12</f>
        <v>527460.97356143082</v>
      </c>
      <c r="CM34" s="307"/>
      <c r="CN34" s="309"/>
      <c r="CO34" s="311"/>
      <c r="CP34" s="305"/>
      <c r="CQ34" s="12">
        <f>+CQ12</f>
        <v>542406.32066426985</v>
      </c>
      <c r="CR34" s="307"/>
      <c r="CS34" s="309"/>
      <c r="CT34" s="311"/>
    </row>
    <row r="35" spans="1:98" ht="18" customHeight="1" x14ac:dyDescent="0.2">
      <c r="A35" s="17"/>
      <c r="B35" s="320" t="s">
        <v>142</v>
      </c>
      <c r="C35" s="322" t="s">
        <v>139</v>
      </c>
      <c r="D35" s="304"/>
      <c r="E35" s="10">
        <f>+BS!K32</f>
        <v>58835.933494470097</v>
      </c>
      <c r="F35" s="306" t="s">
        <v>143</v>
      </c>
      <c r="G35" s="308">
        <v>365</v>
      </c>
      <c r="H35" s="310">
        <f>IF(E36=0,"-",(E35/E36)*G35)</f>
        <v>52.880097053599783</v>
      </c>
      <c r="I35" s="304"/>
      <c r="J35" s="10">
        <f>+BS!L32</f>
        <v>63581.856466046673</v>
      </c>
      <c r="K35" s="306" t="s">
        <v>111</v>
      </c>
      <c r="L35" s="308">
        <v>365</v>
      </c>
      <c r="M35" s="310">
        <f>IF(J36=0,"-",(J35/J36)*L35)</f>
        <v>47.920591921943753</v>
      </c>
      <c r="N35" s="304"/>
      <c r="O35" s="10">
        <f>+BS!M32</f>
        <v>53670.388044204628</v>
      </c>
      <c r="P35" s="306" t="s">
        <v>111</v>
      </c>
      <c r="Q35" s="308">
        <v>365</v>
      </c>
      <c r="R35" s="310">
        <f>IF(O36=0,"-",(O35/O36)*Q35)</f>
        <v>47.042341450835416</v>
      </c>
      <c r="S35" s="304"/>
      <c r="T35" s="10">
        <f>+BS!N32</f>
        <v>106544.72294139687</v>
      </c>
      <c r="U35" s="306" t="s">
        <v>111</v>
      </c>
      <c r="V35" s="308">
        <v>365</v>
      </c>
      <c r="W35" s="310">
        <f>IF(T36=0,"-",(T35/T36)*V35)</f>
        <v>52.991814114106425</v>
      </c>
      <c r="X35" s="304"/>
      <c r="Y35" s="10">
        <f>+BS!O32</f>
        <v>70194.474148613765</v>
      </c>
      <c r="Z35" s="306" t="s">
        <v>111</v>
      </c>
      <c r="AA35" s="308">
        <v>365</v>
      </c>
      <c r="AB35" s="310">
        <f>IF(Y36=0,"-",(Y35/Y36)*AA35)</f>
        <v>46.69947020566287</v>
      </c>
      <c r="AC35" s="304"/>
      <c r="AD35" s="10">
        <f>+BS!P32</f>
        <v>60786.117249184383</v>
      </c>
      <c r="AE35" s="306" t="s">
        <v>111</v>
      </c>
      <c r="AF35" s="308">
        <v>365</v>
      </c>
      <c r="AG35" s="310">
        <f>IF(AD36=0,"-",(AD35/AD36)*AF35)</f>
        <v>50.940120931554844</v>
      </c>
      <c r="AH35" s="304"/>
      <c r="AI35" s="10">
        <f>+BS!Q32</f>
        <v>71918.183487442962</v>
      </c>
      <c r="AJ35" s="306" t="s">
        <v>143</v>
      </c>
      <c r="AK35" s="308">
        <v>365</v>
      </c>
      <c r="AL35" s="310">
        <f>IF(AI36=0,"-",(AI35/AI36)*AK35)</f>
        <v>58.671089054264094</v>
      </c>
      <c r="AM35" s="304"/>
      <c r="AN35" s="10">
        <f>+BS!R32</f>
        <v>47811.972860396207</v>
      </c>
      <c r="AO35" s="306" t="s">
        <v>143</v>
      </c>
      <c r="AP35" s="308">
        <v>365</v>
      </c>
      <c r="AQ35" s="310">
        <f>IF(AN36=0,"-",(AN35/AN36)*AP35)</f>
        <v>50.656115933669987</v>
      </c>
      <c r="AR35" s="304"/>
      <c r="AS35" s="10">
        <f>+BS!S32</f>
        <v>54743.309465107515</v>
      </c>
      <c r="AT35" s="306" t="s">
        <v>111</v>
      </c>
      <c r="AU35" s="308">
        <v>365</v>
      </c>
      <c r="AV35" s="310">
        <f>IF(AS36=0,"-",(AS35/AS36)*AU35)</f>
        <v>47.598756743828524</v>
      </c>
      <c r="AW35" s="304"/>
      <c r="AX35" s="10">
        <f>+BS!T32</f>
        <v>37799.357418395455</v>
      </c>
      <c r="AY35" s="306" t="s">
        <v>111</v>
      </c>
      <c r="AZ35" s="308">
        <v>365</v>
      </c>
      <c r="BA35" s="310">
        <f>IF(AX36=0,"-",(AX35/AX36)*AZ35)</f>
        <v>36.468665795821643</v>
      </c>
      <c r="BB35" s="304"/>
      <c r="BC35" s="10">
        <f>+BS!U32</f>
        <v>41531.890965300932</v>
      </c>
      <c r="BD35" s="306" t="s">
        <v>111</v>
      </c>
      <c r="BE35" s="308">
        <v>365</v>
      </c>
      <c r="BF35" s="310">
        <f>IF(BC36=0,"-",(BC35/BC36)*BE35)</f>
        <v>33.428255319529931</v>
      </c>
      <c r="BG35" s="304"/>
      <c r="BH35" s="10">
        <f>+BS!V32</f>
        <v>82051.451367190923</v>
      </c>
      <c r="BI35" s="306" t="s">
        <v>111</v>
      </c>
      <c r="BJ35" s="308">
        <v>365</v>
      </c>
      <c r="BK35" s="310">
        <f>IF(BH36=0,"-",(BH35/BH36)*BJ35)</f>
        <v>56.200899779906536</v>
      </c>
      <c r="BL35" s="304"/>
      <c r="BM35" s="10">
        <f>+BS!W32</f>
        <v>62932.724077380932</v>
      </c>
      <c r="BN35" s="306" t="s">
        <v>111</v>
      </c>
      <c r="BO35" s="308">
        <v>365</v>
      </c>
      <c r="BP35" s="310">
        <f>IF(BM36=0,"-",(BM35/BM36)*BO35)</f>
        <v>48.109972399087603</v>
      </c>
      <c r="BQ35" s="304"/>
      <c r="BR35" s="10">
        <f>+BS!X32</f>
        <v>57692.896381345956</v>
      </c>
      <c r="BS35" s="306" t="s">
        <v>111</v>
      </c>
      <c r="BT35" s="308">
        <v>365</v>
      </c>
      <c r="BU35" s="310">
        <f>IF(BR36=0,"-",(BR35/BR36)*BT35)</f>
        <v>42.639826858245684</v>
      </c>
      <c r="BV35" s="304"/>
      <c r="BW35" s="10">
        <f>+BS!Y32</f>
        <v>57242.562438133871</v>
      </c>
      <c r="BX35" s="306" t="s">
        <v>111</v>
      </c>
      <c r="BY35" s="308">
        <v>365</v>
      </c>
      <c r="BZ35" s="310">
        <f>IF(BW36=0,"-",(BW35/BW36)*BY35)</f>
        <v>42.047662796166769</v>
      </c>
      <c r="CA35" s="304"/>
      <c r="CB35" s="10">
        <f>+BS!Z32</f>
        <v>62868.15698306261</v>
      </c>
      <c r="CC35" s="306" t="s">
        <v>111</v>
      </c>
      <c r="CD35" s="308">
        <v>365</v>
      </c>
      <c r="CE35" s="310">
        <f>IF(CB36=0,"-",(CB35/CB36)*CD35)</f>
        <v>46.986786360962661</v>
      </c>
      <c r="CF35" s="304"/>
      <c r="CG35" s="10">
        <f>+BS!AA32</f>
        <v>67186.431245057553</v>
      </c>
      <c r="CH35" s="306" t="s">
        <v>143</v>
      </c>
      <c r="CI35" s="308">
        <v>365</v>
      </c>
      <c r="CJ35" s="310">
        <f>IF(CG36=0,"-",(CG35/CG36)*CI35)</f>
        <v>45.297140530566779</v>
      </c>
      <c r="CK35" s="304"/>
      <c r="CL35" s="10">
        <f>+BS!AB32</f>
        <v>62541.701226887853</v>
      </c>
      <c r="CM35" s="306" t="s">
        <v>111</v>
      </c>
      <c r="CN35" s="308">
        <v>365</v>
      </c>
      <c r="CO35" s="310">
        <f>IF(CL36=0,"-",(CL35/CL36)*CN35)</f>
        <v>43.278502281753042</v>
      </c>
      <c r="CP35" s="304"/>
      <c r="CQ35" s="10">
        <f>+BS!AC32</f>
        <v>80835.662300975862</v>
      </c>
      <c r="CR35" s="306" t="s">
        <v>111</v>
      </c>
      <c r="CS35" s="308">
        <v>365</v>
      </c>
      <c r="CT35" s="310">
        <f>IF(CQ36=0,"-",(CQ35/CQ36)*CS35)</f>
        <v>54.39652086598516</v>
      </c>
    </row>
    <row r="36" spans="1:98" ht="18" customHeight="1" x14ac:dyDescent="0.2">
      <c r="A36" s="21"/>
      <c r="B36" s="321"/>
      <c r="C36" s="323"/>
      <c r="D36" s="305"/>
      <c r="E36" s="12">
        <f>+E12</f>
        <v>406109.61253936804</v>
      </c>
      <c r="F36" s="307"/>
      <c r="G36" s="309"/>
      <c r="H36" s="311"/>
      <c r="I36" s="305"/>
      <c r="J36" s="12">
        <f>+J12</f>
        <v>484288.20845762413</v>
      </c>
      <c r="K36" s="307"/>
      <c r="L36" s="309"/>
      <c r="M36" s="311"/>
      <c r="N36" s="305"/>
      <c r="O36" s="12">
        <f>+O12</f>
        <v>416426.79832610243</v>
      </c>
      <c r="P36" s="307"/>
      <c r="Q36" s="309"/>
      <c r="R36" s="311"/>
      <c r="S36" s="305"/>
      <c r="T36" s="12">
        <f>+T12</f>
        <v>733864.73974775011</v>
      </c>
      <c r="U36" s="307"/>
      <c r="V36" s="309"/>
      <c r="W36" s="311"/>
      <c r="X36" s="305"/>
      <c r="Y36" s="12">
        <f>+Y12</f>
        <v>548635.41173829371</v>
      </c>
      <c r="Z36" s="307"/>
      <c r="AA36" s="309"/>
      <c r="AB36" s="311"/>
      <c r="AC36" s="305"/>
      <c r="AD36" s="12">
        <f>+AD12</f>
        <v>435549.2760954285</v>
      </c>
      <c r="AE36" s="307"/>
      <c r="AF36" s="309"/>
      <c r="AG36" s="311"/>
      <c r="AH36" s="305"/>
      <c r="AI36" s="12">
        <f>+AI12</f>
        <v>447411.78996418981</v>
      </c>
      <c r="AJ36" s="307"/>
      <c r="AK36" s="309"/>
      <c r="AL36" s="311"/>
      <c r="AM36" s="305"/>
      <c r="AN36" s="12">
        <f>+AN12</f>
        <v>344506.67549986951</v>
      </c>
      <c r="AO36" s="307"/>
      <c r="AP36" s="309"/>
      <c r="AQ36" s="311"/>
      <c r="AR36" s="305"/>
      <c r="AS36" s="12">
        <f>+AS12</f>
        <v>419786.34152781614</v>
      </c>
      <c r="AT36" s="307"/>
      <c r="AU36" s="309"/>
      <c r="AV36" s="311"/>
      <c r="AW36" s="305"/>
      <c r="AX36" s="12">
        <f>+AX12</f>
        <v>378318.34964730439</v>
      </c>
      <c r="AY36" s="307"/>
      <c r="AZ36" s="309"/>
      <c r="BA36" s="311"/>
      <c r="BB36" s="305"/>
      <c r="BC36" s="12">
        <f>+BC12</f>
        <v>453482.84130994877</v>
      </c>
      <c r="BD36" s="307"/>
      <c r="BE36" s="309"/>
      <c r="BF36" s="311"/>
      <c r="BG36" s="305"/>
      <c r="BH36" s="12">
        <f>+BH12</f>
        <v>532887.90511023544</v>
      </c>
      <c r="BI36" s="307"/>
      <c r="BJ36" s="309"/>
      <c r="BK36" s="311"/>
      <c r="BL36" s="305"/>
      <c r="BM36" s="12">
        <f>+BM12</f>
        <v>477457.02486995549</v>
      </c>
      <c r="BN36" s="307"/>
      <c r="BO36" s="309"/>
      <c r="BP36" s="311"/>
      <c r="BQ36" s="305"/>
      <c r="BR36" s="12">
        <f>+BR12</f>
        <v>493855.36318422219</v>
      </c>
      <c r="BS36" s="307"/>
      <c r="BT36" s="309"/>
      <c r="BU36" s="311"/>
      <c r="BV36" s="305"/>
      <c r="BW36" s="12">
        <f>+BW12</f>
        <v>496901.22828476451</v>
      </c>
      <c r="BX36" s="307"/>
      <c r="BY36" s="309"/>
      <c r="BZ36" s="311"/>
      <c r="CA36" s="305"/>
      <c r="CB36" s="12">
        <f>+CB12</f>
        <v>488368.73248863994</v>
      </c>
      <c r="CC36" s="307"/>
      <c r="CD36" s="309"/>
      <c r="CE36" s="311"/>
      <c r="CF36" s="305"/>
      <c r="CG36" s="12">
        <f>+CG12</f>
        <v>541381.79843598977</v>
      </c>
      <c r="CH36" s="307"/>
      <c r="CI36" s="309"/>
      <c r="CJ36" s="311"/>
      <c r="CK36" s="305"/>
      <c r="CL36" s="12">
        <f>+CL12</f>
        <v>527460.97356143082</v>
      </c>
      <c r="CM36" s="307"/>
      <c r="CN36" s="309"/>
      <c r="CO36" s="311"/>
      <c r="CP36" s="305"/>
      <c r="CQ36" s="12">
        <f>+CQ12</f>
        <v>542406.32066426985</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406109.61253936804</v>
      </c>
      <c r="F38" s="306"/>
      <c r="G38" s="308"/>
      <c r="H38" s="312">
        <f>IF(E39=0,"-",(E38/E39))</f>
        <v>14965.261822569024</v>
      </c>
      <c r="I38" s="304"/>
      <c r="J38" s="10">
        <f>+J12</f>
        <v>484288.20845762413</v>
      </c>
      <c r="K38" s="306"/>
      <c r="L38" s="308"/>
      <c r="M38" s="312">
        <f>IF(J39=0,"-",(J38/J39))</f>
        <v>16777.863221884498</v>
      </c>
      <c r="N38" s="304"/>
      <c r="O38" s="10">
        <f>+O12</f>
        <v>416426.79832610243</v>
      </c>
      <c r="P38" s="306"/>
      <c r="Q38" s="308"/>
      <c r="R38" s="312">
        <f>IF(O39=0,"-",(O38/O39))</f>
        <v>15284.395553994324</v>
      </c>
      <c r="S38" s="304"/>
      <c r="T38" s="10">
        <f>+T12</f>
        <v>733864.73974775011</v>
      </c>
      <c r="U38" s="306"/>
      <c r="V38" s="308"/>
      <c r="W38" s="312">
        <f>IF(T39=0,"-",(T38/T39))</f>
        <v>16485.885720255101</v>
      </c>
      <c r="X38" s="304"/>
      <c r="Y38" s="10">
        <f>+Y12</f>
        <v>548635.41173829371</v>
      </c>
      <c r="Z38" s="306"/>
      <c r="AA38" s="308"/>
      <c r="AB38" s="312">
        <f>IF(Y39=0,"-",(Y38/Y39))</f>
        <v>17220.43721468962</v>
      </c>
      <c r="AC38" s="304"/>
      <c r="AD38" s="10">
        <f>+AD12</f>
        <v>435549.2760954285</v>
      </c>
      <c r="AE38" s="306"/>
      <c r="AF38" s="308"/>
      <c r="AG38" s="312">
        <f>IF(AD39=0,"-",(AD38/AD39))</f>
        <v>17343.188241751039</v>
      </c>
      <c r="AH38" s="304"/>
      <c r="AI38" s="10">
        <f>+AI12</f>
        <v>447411.78996418981</v>
      </c>
      <c r="AJ38" s="306"/>
      <c r="AK38" s="308"/>
      <c r="AL38" s="312">
        <f>IF(AI39=0,"-",(AI38/AI39))</f>
        <v>14944.539143234482</v>
      </c>
      <c r="AM38" s="304"/>
      <c r="AN38" s="10">
        <f>+AN12</f>
        <v>344506.67549986951</v>
      </c>
      <c r="AO38" s="306"/>
      <c r="AP38" s="308"/>
      <c r="AQ38" s="312">
        <f>IF(AN39=0,"-",(AN38/AN39))</f>
        <v>14598.540179184063</v>
      </c>
      <c r="AR38" s="304"/>
      <c r="AS38" s="10">
        <f>+AS12</f>
        <v>419786.34152781614</v>
      </c>
      <c r="AT38" s="306"/>
      <c r="AU38" s="308"/>
      <c r="AV38" s="312">
        <f>IF(AS39=0,"-",(AS38/AS39))</f>
        <v>17413.638707029873</v>
      </c>
      <c r="AW38" s="304"/>
      <c r="AX38" s="10">
        <f>+AX12</f>
        <v>378318.34964730439</v>
      </c>
      <c r="AY38" s="306"/>
      <c r="AZ38" s="308"/>
      <c r="BA38" s="312">
        <f>IF(AX39=0,"-",(AX38/AX39))</f>
        <v>13595.927838792228</v>
      </c>
      <c r="BB38" s="304"/>
      <c r="BC38" s="10">
        <f>+BC12</f>
        <v>453482.84130994877</v>
      </c>
      <c r="BD38" s="306"/>
      <c r="BE38" s="308"/>
      <c r="BF38" s="312">
        <f>IF(BC39=0,"-",(BC38/BC39))</f>
        <v>16259.202951577685</v>
      </c>
      <c r="BG38" s="304"/>
      <c r="BH38" s="10">
        <f>+BH12</f>
        <v>532887.90511023544</v>
      </c>
      <c r="BI38" s="306"/>
      <c r="BJ38" s="308"/>
      <c r="BK38" s="312">
        <f>IF(BH39=0,"-",(BH38/BH39))</f>
        <v>17812.845487461094</v>
      </c>
      <c r="BL38" s="304"/>
      <c r="BM38" s="10">
        <f>+BM12</f>
        <v>477457.02486995549</v>
      </c>
      <c r="BN38" s="306"/>
      <c r="BO38" s="308"/>
      <c r="BP38" s="312">
        <f>IF(BM39=0,"-",(BM38/BM39))</f>
        <v>16457.152421597504</v>
      </c>
      <c r="BQ38" s="304"/>
      <c r="BR38" s="10">
        <f>+BR12</f>
        <v>493855.36318422219</v>
      </c>
      <c r="BS38" s="306"/>
      <c r="BT38" s="308"/>
      <c r="BU38" s="312">
        <f>IF(BR39=0,"-",(BR38/BR39))</f>
        <v>17531.358936601177</v>
      </c>
      <c r="BV38" s="304"/>
      <c r="BW38" s="10">
        <f>+BW12</f>
        <v>496901.22828476451</v>
      </c>
      <c r="BX38" s="306"/>
      <c r="BY38" s="308"/>
      <c r="BZ38" s="312">
        <f>IF(BW39=0,"-",(BW38/BW39))</f>
        <v>18343.13697279034</v>
      </c>
      <c r="CA38" s="304"/>
      <c r="CB38" s="10">
        <f>+CB12</f>
        <v>488368.73248863994</v>
      </c>
      <c r="CC38" s="306"/>
      <c r="CD38" s="308"/>
      <c r="CE38" s="312">
        <f>IF(CB39=0,"-",(CB38/CB39))</f>
        <v>16897.956323225157</v>
      </c>
      <c r="CF38" s="304"/>
      <c r="CG38" s="10">
        <f>+CG12</f>
        <v>541381.79843598977</v>
      </c>
      <c r="CH38" s="306"/>
      <c r="CI38" s="308"/>
      <c r="CJ38" s="312">
        <f>IF(CG39=0,"-",(CG38/CG39))</f>
        <v>18863.51772320089</v>
      </c>
      <c r="CK38" s="304"/>
      <c r="CL38" s="10">
        <f>+CL12</f>
        <v>527460.97356143082</v>
      </c>
      <c r="CM38" s="306"/>
      <c r="CN38" s="308"/>
      <c r="CO38" s="312">
        <f>IF(CL39=0,"-",(CL38/CL39))</f>
        <v>18992.612148137086</v>
      </c>
      <c r="CP38" s="304"/>
      <c r="CQ38" s="10">
        <f>+CQ12</f>
        <v>542406.32066426985</v>
      </c>
      <c r="CR38" s="306"/>
      <c r="CS38" s="308"/>
      <c r="CT38" s="312">
        <f>IF(CQ39=0,"-",(CQ38/CQ39))</f>
        <v>17665.219666957539</v>
      </c>
    </row>
    <row r="39" spans="1:98" ht="18" customHeight="1" x14ac:dyDescent="0.2">
      <c r="A39" s="20"/>
      <c r="B39" s="321"/>
      <c r="C39" s="323"/>
      <c r="D39" s="305"/>
      <c r="E39" s="12">
        <f>+PL!K5</f>
        <v>27.136819746575799</v>
      </c>
      <c r="F39" s="307"/>
      <c r="G39" s="309"/>
      <c r="H39" s="313"/>
      <c r="I39" s="305"/>
      <c r="J39" s="12">
        <f>+PL!L5</f>
        <v>28.864713107562729</v>
      </c>
      <c r="K39" s="307"/>
      <c r="L39" s="309"/>
      <c r="M39" s="313"/>
      <c r="N39" s="305"/>
      <c r="O39" s="12">
        <f>+PL!M5</f>
        <v>27.245225161506383</v>
      </c>
      <c r="P39" s="307"/>
      <c r="Q39" s="309"/>
      <c r="R39" s="313"/>
      <c r="S39" s="305"/>
      <c r="T39" s="12">
        <f>+PL!N5</f>
        <v>44.514729278154569</v>
      </c>
      <c r="U39" s="307"/>
      <c r="V39" s="309"/>
      <c r="W39" s="313"/>
      <c r="X39" s="305"/>
      <c r="Y39" s="12">
        <f>+PL!O5</f>
        <v>31.859551816157666</v>
      </c>
      <c r="Z39" s="307"/>
      <c r="AA39" s="309"/>
      <c r="AB39" s="313"/>
      <c r="AC39" s="305"/>
      <c r="AD39" s="12">
        <f>+PL!P5</f>
        <v>25.113564474086207</v>
      </c>
      <c r="AE39" s="307"/>
      <c r="AF39" s="309"/>
      <c r="AG39" s="313"/>
      <c r="AH39" s="305"/>
      <c r="AI39" s="12">
        <f>+PL!Q5</f>
        <v>29.938145678231695</v>
      </c>
      <c r="AJ39" s="307"/>
      <c r="AK39" s="309"/>
      <c r="AL39" s="313"/>
      <c r="AM39" s="305"/>
      <c r="AN39" s="12">
        <f>+PL!R5</f>
        <v>23.598707218075045</v>
      </c>
      <c r="AO39" s="307"/>
      <c r="AP39" s="309"/>
      <c r="AQ39" s="313"/>
      <c r="AR39" s="305"/>
      <c r="AS39" s="12">
        <f>+PL!S5</f>
        <v>24.10675612319605</v>
      </c>
      <c r="AT39" s="307"/>
      <c r="AU39" s="309"/>
      <c r="AV39" s="313"/>
      <c r="AW39" s="305"/>
      <c r="AX39" s="12">
        <f>+PL!T5</f>
        <v>27.825857428271824</v>
      </c>
      <c r="AY39" s="307"/>
      <c r="AZ39" s="309"/>
      <c r="BA39" s="313"/>
      <c r="BB39" s="305"/>
      <c r="BC39" s="12">
        <f>+PL!U5</f>
        <v>27.890840815536151</v>
      </c>
      <c r="BD39" s="307"/>
      <c r="BE39" s="309"/>
      <c r="BF39" s="313"/>
      <c r="BG39" s="305"/>
      <c r="BH39" s="12">
        <f>+PL!V5</f>
        <v>29.91593372801378</v>
      </c>
      <c r="BI39" s="307"/>
      <c r="BJ39" s="309"/>
      <c r="BK39" s="313"/>
      <c r="BL39" s="305"/>
      <c r="BM39" s="12">
        <f>+PL!W5</f>
        <v>29.012128747338206</v>
      </c>
      <c r="BN39" s="307"/>
      <c r="BO39" s="309"/>
      <c r="BP39" s="313"/>
      <c r="BQ39" s="305"/>
      <c r="BR39" s="12">
        <f>+PL!X5</f>
        <v>28.169827847924175</v>
      </c>
      <c r="BS39" s="307"/>
      <c r="BT39" s="309"/>
      <c r="BU39" s="313"/>
      <c r="BV39" s="305"/>
      <c r="BW39" s="12">
        <f>+PL!Y5</f>
        <v>27.089217565231777</v>
      </c>
      <c r="BX39" s="307"/>
      <c r="BY39" s="309"/>
      <c r="BZ39" s="313"/>
      <c r="CA39" s="305"/>
      <c r="CB39" s="12">
        <f>+PL!Z5</f>
        <v>28.901053070980453</v>
      </c>
      <c r="CC39" s="307"/>
      <c r="CD39" s="309"/>
      <c r="CE39" s="313"/>
      <c r="CF39" s="305"/>
      <c r="CG39" s="12">
        <f>+PL!AA5</f>
        <v>28.699938493981197</v>
      </c>
      <c r="CH39" s="307"/>
      <c r="CI39" s="309"/>
      <c r="CJ39" s="313"/>
      <c r="CK39" s="305"/>
      <c r="CL39" s="12">
        <f>+PL!AB5</f>
        <v>27.771902540176256</v>
      </c>
      <c r="CM39" s="307"/>
      <c r="CN39" s="309"/>
      <c r="CO39" s="313"/>
      <c r="CP39" s="305"/>
      <c r="CQ39" s="12">
        <f>+PL!AC5</f>
        <v>30.704759458996747</v>
      </c>
      <c r="CR39" s="307"/>
      <c r="CS39" s="309"/>
      <c r="CT39" s="313"/>
    </row>
    <row r="40" spans="1:98" ht="18" customHeight="1" x14ac:dyDescent="0.2">
      <c r="A40" s="20"/>
      <c r="B40" s="336" t="s">
        <v>146</v>
      </c>
      <c r="C40" s="322" t="s">
        <v>130</v>
      </c>
      <c r="D40" s="304"/>
      <c r="E40" s="10">
        <f>+E6</f>
        <v>5517.7470153079903</v>
      </c>
      <c r="F40" s="306"/>
      <c r="G40" s="308"/>
      <c r="H40" s="312">
        <f>IF(E41=0,"-",(E40/E41))</f>
        <v>203.33064326759347</v>
      </c>
      <c r="I40" s="304"/>
      <c r="J40" s="10">
        <f>+J6</f>
        <v>9127.4785050008759</v>
      </c>
      <c r="K40" s="306"/>
      <c r="L40" s="308"/>
      <c r="M40" s="312">
        <f>IF(J41=0,"-",(J40/J41))</f>
        <v>316.21580547112461</v>
      </c>
      <c r="N40" s="304"/>
      <c r="O40" s="10">
        <f>+O6</f>
        <v>3577.1446193826596</v>
      </c>
      <c r="P40" s="306"/>
      <c r="Q40" s="308"/>
      <c r="R40" s="312">
        <f>IF(O41=0,"-",(O40/O41))</f>
        <v>131.2943680288117</v>
      </c>
      <c r="S40" s="304"/>
      <c r="T40" s="10">
        <f>+T6</f>
        <v>17079.226625996056</v>
      </c>
      <c r="U40" s="306"/>
      <c r="V40" s="308"/>
      <c r="W40" s="312">
        <f>IF(T41=0,"-",(T40/T41))</f>
        <v>383.67585073414386</v>
      </c>
      <c r="X40" s="304"/>
      <c r="Y40" s="10">
        <f>+Y6</f>
        <v>6659.4918801793892</v>
      </c>
      <c r="Z40" s="306"/>
      <c r="AA40" s="308"/>
      <c r="AB40" s="312">
        <f>IF(Y41=0,"-",(Y40/Y41))</f>
        <v>209.02653994027651</v>
      </c>
      <c r="AC40" s="304"/>
      <c r="AD40" s="10">
        <f>+AD6</f>
        <v>2463.6837859254802</v>
      </c>
      <c r="AE40" s="306"/>
      <c r="AF40" s="308"/>
      <c r="AG40" s="312">
        <f>IF(AD41=0,"-",(AD40/AD41))</f>
        <v>98.101716642719822</v>
      </c>
      <c r="AH40" s="304"/>
      <c r="AI40" s="10">
        <f>+AI6</f>
        <v>-1797.7817804879176</v>
      </c>
      <c r="AJ40" s="306"/>
      <c r="AK40" s="308"/>
      <c r="AL40" s="312">
        <f>IF(AI41=0,"-",(AI40/AI41))</f>
        <v>-60.049870817319906</v>
      </c>
      <c r="AM40" s="304"/>
      <c r="AN40" s="10">
        <f>+AN6</f>
        <v>4677.0994597093013</v>
      </c>
      <c r="AO40" s="306"/>
      <c r="AP40" s="308"/>
      <c r="AQ40" s="312">
        <f>IF(AN41=0,"-",(AN40/AN41))</f>
        <v>198.19303729176119</v>
      </c>
      <c r="AR40" s="304"/>
      <c r="AS40" s="10">
        <f>+AS6</f>
        <v>18330.605961998706</v>
      </c>
      <c r="AT40" s="306"/>
      <c r="AU40" s="308"/>
      <c r="AV40" s="312">
        <f>IF(AS41=0,"-",(AS40/AS41))</f>
        <v>760.39289020560489</v>
      </c>
      <c r="AW40" s="304"/>
      <c r="AX40" s="10">
        <f>+AX6</f>
        <v>12258.669644283404</v>
      </c>
      <c r="AY40" s="306"/>
      <c r="AZ40" s="308"/>
      <c r="BA40" s="312">
        <f>IF(AX41=0,"-",(AX40/AX41))</f>
        <v>440.54957429014439</v>
      </c>
      <c r="BB40" s="304"/>
      <c r="BC40" s="10">
        <f>+BC6</f>
        <v>11457.792954600152</v>
      </c>
      <c r="BD40" s="306"/>
      <c r="BE40" s="308"/>
      <c r="BF40" s="312">
        <f>IF(BC41=0,"-",(BC40/BC41))</f>
        <v>410.80844533800393</v>
      </c>
      <c r="BG40" s="304"/>
      <c r="BH40" s="10">
        <f>+BH6</f>
        <v>17642.907715193411</v>
      </c>
      <c r="BI40" s="306"/>
      <c r="BJ40" s="308"/>
      <c r="BK40" s="312">
        <f>IF(BH41=0,"-",(BH40/BH41))</f>
        <v>589.74952530638541</v>
      </c>
      <c r="BL40" s="304"/>
      <c r="BM40" s="10">
        <f>+BM6</f>
        <v>13084.615362251294</v>
      </c>
      <c r="BN40" s="306"/>
      <c r="BO40" s="308"/>
      <c r="BP40" s="312">
        <f>IF(BM41=0,"-",(BM40/BM41))</f>
        <v>451.00500815376313</v>
      </c>
      <c r="BQ40" s="304"/>
      <c r="BR40" s="10">
        <f>+BR6</f>
        <v>14263.983767058991</v>
      </c>
      <c r="BS40" s="306"/>
      <c r="BT40" s="308"/>
      <c r="BU40" s="312">
        <f>IF(BR41=0,"-",(BR40/BR41))</f>
        <v>506.35679579100088</v>
      </c>
      <c r="BV40" s="304"/>
      <c r="BW40" s="10">
        <f>+BW6</f>
        <v>9870.8653483552771</v>
      </c>
      <c r="BX40" s="306"/>
      <c r="BY40" s="308"/>
      <c r="BZ40" s="312">
        <f>IF(BW41=0,"-",(BW40/BW41))</f>
        <v>364.38355314567099</v>
      </c>
      <c r="CA40" s="304"/>
      <c r="CB40" s="10">
        <f>+CB6</f>
        <v>14249.19386772373</v>
      </c>
      <c r="CC40" s="306"/>
      <c r="CD40" s="308"/>
      <c r="CE40" s="312">
        <f>IF(CB41=0,"-",(CB40/CB41))</f>
        <v>493.0337255437708</v>
      </c>
      <c r="CF40" s="304"/>
      <c r="CG40" s="10">
        <f>+CG6</f>
        <v>16846.532554257094</v>
      </c>
      <c r="CH40" s="306"/>
      <c r="CI40" s="308"/>
      <c r="CJ40" s="312">
        <f>IF(CG41=0,"-",(CG40/CG41))</f>
        <v>586.9884549679457</v>
      </c>
      <c r="CK40" s="304"/>
      <c r="CL40" s="10">
        <f>+CL6</f>
        <v>17523.236305512357</v>
      </c>
      <c r="CM40" s="306"/>
      <c r="CN40" s="308"/>
      <c r="CO40" s="312">
        <f>IF(CL41=0,"-",(CL40/CL41))</f>
        <v>630.96996254262183</v>
      </c>
      <c r="CP40" s="304"/>
      <c r="CQ40" s="10">
        <f>+CQ6</f>
        <v>18128.290960451977</v>
      </c>
      <c r="CR40" s="306"/>
      <c r="CS40" s="308"/>
      <c r="CT40" s="312">
        <f>IF(CQ41=0,"-",(CQ40/CQ41))</f>
        <v>590.40654543021469</v>
      </c>
    </row>
    <row r="41" spans="1:98" ht="18" customHeight="1" x14ac:dyDescent="0.2">
      <c r="A41" s="22"/>
      <c r="B41" s="337"/>
      <c r="C41" s="323"/>
      <c r="D41" s="305"/>
      <c r="E41" s="12">
        <f>+E39</f>
        <v>27.136819746575799</v>
      </c>
      <c r="F41" s="307"/>
      <c r="G41" s="309"/>
      <c r="H41" s="313"/>
      <c r="I41" s="305"/>
      <c r="J41" s="12">
        <f>+J39</f>
        <v>28.864713107562729</v>
      </c>
      <c r="K41" s="307"/>
      <c r="L41" s="309"/>
      <c r="M41" s="313"/>
      <c r="N41" s="305"/>
      <c r="O41" s="12">
        <f>+O39</f>
        <v>27.245225161506383</v>
      </c>
      <c r="P41" s="307"/>
      <c r="Q41" s="309"/>
      <c r="R41" s="313"/>
      <c r="S41" s="305"/>
      <c r="T41" s="12">
        <f>+T39</f>
        <v>44.514729278154569</v>
      </c>
      <c r="U41" s="307"/>
      <c r="V41" s="309"/>
      <c r="W41" s="313"/>
      <c r="X41" s="305"/>
      <c r="Y41" s="12">
        <f>+Y39</f>
        <v>31.859551816157666</v>
      </c>
      <c r="Z41" s="307"/>
      <c r="AA41" s="309"/>
      <c r="AB41" s="313"/>
      <c r="AC41" s="305"/>
      <c r="AD41" s="12">
        <f>+AD39</f>
        <v>25.113564474086207</v>
      </c>
      <c r="AE41" s="307"/>
      <c r="AF41" s="309"/>
      <c r="AG41" s="313"/>
      <c r="AH41" s="305"/>
      <c r="AI41" s="12">
        <f>+AI39</f>
        <v>29.938145678231695</v>
      </c>
      <c r="AJ41" s="307"/>
      <c r="AK41" s="309"/>
      <c r="AL41" s="313"/>
      <c r="AM41" s="305"/>
      <c r="AN41" s="12">
        <f>+AN39</f>
        <v>23.598707218075045</v>
      </c>
      <c r="AO41" s="307"/>
      <c r="AP41" s="309"/>
      <c r="AQ41" s="313"/>
      <c r="AR41" s="305"/>
      <c r="AS41" s="12">
        <f>+AS39</f>
        <v>24.10675612319605</v>
      </c>
      <c r="AT41" s="307"/>
      <c r="AU41" s="309"/>
      <c r="AV41" s="313"/>
      <c r="AW41" s="305"/>
      <c r="AX41" s="12">
        <f>+AX39</f>
        <v>27.825857428271824</v>
      </c>
      <c r="AY41" s="307"/>
      <c r="AZ41" s="309"/>
      <c r="BA41" s="313"/>
      <c r="BB41" s="305"/>
      <c r="BC41" s="12">
        <f>+BC39</f>
        <v>27.890840815536151</v>
      </c>
      <c r="BD41" s="307"/>
      <c r="BE41" s="309"/>
      <c r="BF41" s="313"/>
      <c r="BG41" s="305"/>
      <c r="BH41" s="12">
        <f>+BH39</f>
        <v>29.91593372801378</v>
      </c>
      <c r="BI41" s="307"/>
      <c r="BJ41" s="309"/>
      <c r="BK41" s="313"/>
      <c r="BL41" s="305"/>
      <c r="BM41" s="12">
        <f>+BM39</f>
        <v>29.012128747338206</v>
      </c>
      <c r="BN41" s="307"/>
      <c r="BO41" s="309"/>
      <c r="BP41" s="313"/>
      <c r="BQ41" s="305"/>
      <c r="BR41" s="12">
        <f>+BR39</f>
        <v>28.169827847924175</v>
      </c>
      <c r="BS41" s="307"/>
      <c r="BT41" s="309"/>
      <c r="BU41" s="313"/>
      <c r="BV41" s="305"/>
      <c r="BW41" s="12">
        <f>+BW39</f>
        <v>27.089217565231777</v>
      </c>
      <c r="BX41" s="307"/>
      <c r="BY41" s="309"/>
      <c r="BZ41" s="313"/>
      <c r="CA41" s="305"/>
      <c r="CB41" s="12">
        <f>+CB39</f>
        <v>28.901053070980453</v>
      </c>
      <c r="CC41" s="307"/>
      <c r="CD41" s="309"/>
      <c r="CE41" s="313"/>
      <c r="CF41" s="305"/>
      <c r="CG41" s="12">
        <f>+CG39</f>
        <v>28.699938493981197</v>
      </c>
      <c r="CH41" s="307"/>
      <c r="CI41" s="309"/>
      <c r="CJ41" s="313"/>
      <c r="CK41" s="305"/>
      <c r="CL41" s="12">
        <f>+CL39</f>
        <v>27.771902540176256</v>
      </c>
      <c r="CM41" s="307"/>
      <c r="CN41" s="309"/>
      <c r="CO41" s="313"/>
      <c r="CP41" s="305"/>
      <c r="CQ41" s="12">
        <f>+CQ39</f>
        <v>30.704759458996747</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193409.72679997099</v>
      </c>
      <c r="F43" s="306" t="s">
        <v>150</v>
      </c>
      <c r="G43" s="308">
        <v>100</v>
      </c>
      <c r="H43" s="310">
        <f>IF(E44=0,"-",(E43/E44)*G43)</f>
        <v>144.45587175782654</v>
      </c>
      <c r="I43" s="304"/>
      <c r="J43" s="10">
        <f>+BS!L9</f>
        <v>257778.55764169153</v>
      </c>
      <c r="K43" s="306" t="s">
        <v>111</v>
      </c>
      <c r="L43" s="308">
        <v>100</v>
      </c>
      <c r="M43" s="310">
        <f>IF(J44=0,"-",(J43/J44)*L43)</f>
        <v>170.92352432328036</v>
      </c>
      <c r="N43" s="304"/>
      <c r="O43" s="10">
        <f>+BS!M9</f>
        <v>154839.62442458019</v>
      </c>
      <c r="P43" s="306" t="s">
        <v>111</v>
      </c>
      <c r="Q43" s="308">
        <v>100</v>
      </c>
      <c r="R43" s="310">
        <f>IF(O44=0,"-",(O43/O44)*Q43)</f>
        <v>129.90151899803939</v>
      </c>
      <c r="S43" s="304"/>
      <c r="T43" s="10">
        <f>+BS!N9</f>
        <v>263263.18402791483</v>
      </c>
      <c r="U43" s="306" t="s">
        <v>111</v>
      </c>
      <c r="V43" s="308">
        <v>100</v>
      </c>
      <c r="W43" s="310">
        <f>IF(T44=0,"-",(T43/T44)*V43)</f>
        <v>134.96448742598645</v>
      </c>
      <c r="X43" s="304"/>
      <c r="Y43" s="10">
        <f>+BS!O9</f>
        <v>242785.98009825882</v>
      </c>
      <c r="Z43" s="306" t="s">
        <v>111</v>
      </c>
      <c r="AA43" s="308">
        <v>100</v>
      </c>
      <c r="AB43" s="310">
        <f>IF(Y44=0,"-",(Y43/Y44)*AA43)</f>
        <v>177.41489442273169</v>
      </c>
      <c r="AC43" s="304"/>
      <c r="AD43" s="10">
        <f>+BS!P9</f>
        <v>237314.61141043369</v>
      </c>
      <c r="AE43" s="306" t="s">
        <v>111</v>
      </c>
      <c r="AF43" s="308">
        <v>100</v>
      </c>
      <c r="AG43" s="310">
        <f>IF(AD44=0,"-",(AD43/AD44)*AF43)</f>
        <v>189.01130615211892</v>
      </c>
      <c r="AH43" s="304"/>
      <c r="AI43" s="10">
        <f>+BS!Q9</f>
        <v>293317.87266084732</v>
      </c>
      <c r="AJ43" s="306" t="s">
        <v>150</v>
      </c>
      <c r="AK43" s="308">
        <v>100</v>
      </c>
      <c r="AL43" s="310">
        <f>IF(AI44=0,"-",(AI43/AI44)*AK43)</f>
        <v>206.1726041611393</v>
      </c>
      <c r="AM43" s="304"/>
      <c r="AN43" s="10">
        <f>+BS!R9</f>
        <v>221243.48239326297</v>
      </c>
      <c r="AO43" s="306" t="s">
        <v>126</v>
      </c>
      <c r="AP43" s="308">
        <v>100</v>
      </c>
      <c r="AQ43" s="310">
        <f>IF(AN44=0,"-",(AN43/AN44)*AP43)</f>
        <v>197.96265184716415</v>
      </c>
      <c r="AR43" s="304"/>
      <c r="AS43" s="10">
        <f>+BS!S9</f>
        <v>244834.35591527296</v>
      </c>
      <c r="AT43" s="306" t="s">
        <v>111</v>
      </c>
      <c r="AU43" s="308">
        <v>100</v>
      </c>
      <c r="AV43" s="310">
        <f>IF(AS44=0,"-",(AS43/AS44)*AU43)</f>
        <v>226.62386614110224</v>
      </c>
      <c r="AW43" s="304"/>
      <c r="AX43" s="10">
        <f>+BS!T9</f>
        <v>186045.67045341473</v>
      </c>
      <c r="AY43" s="306" t="s">
        <v>111</v>
      </c>
      <c r="AZ43" s="308">
        <v>100</v>
      </c>
      <c r="BA43" s="310">
        <f>IF(AX44=0,"-",(AX43/AX44)*AZ43)</f>
        <v>195.6831751006352</v>
      </c>
      <c r="BB43" s="304"/>
      <c r="BC43" s="10">
        <f>+BS!U9</f>
        <v>281012.13835993927</v>
      </c>
      <c r="BD43" s="306" t="s">
        <v>111</v>
      </c>
      <c r="BE43" s="308">
        <v>100</v>
      </c>
      <c r="BF43" s="310">
        <f>IF(BC44=0,"-",(BC43/BC44)*BE43)</f>
        <v>287.31582408593977</v>
      </c>
      <c r="BG43" s="304"/>
      <c r="BH43" s="10">
        <f>+BS!V9</f>
        <v>322831.19111882587</v>
      </c>
      <c r="BI43" s="306" t="s">
        <v>111</v>
      </c>
      <c r="BJ43" s="308">
        <v>100</v>
      </c>
      <c r="BK43" s="310">
        <f>IF(BH44=0,"-",(BH43/BH44)*BJ43)</f>
        <v>192.20737463284624</v>
      </c>
      <c r="BL43" s="304"/>
      <c r="BM43" s="10">
        <f>+BS!W9</f>
        <v>254649.85018438409</v>
      </c>
      <c r="BN43" s="306" t="s">
        <v>111</v>
      </c>
      <c r="BO43" s="308">
        <v>100</v>
      </c>
      <c r="BP43" s="310">
        <f>IF(BM44=0,"-",(BM43/BM44)*BO43)</f>
        <v>189.99601023336425</v>
      </c>
      <c r="BQ43" s="304"/>
      <c r="BR43" s="10">
        <f>+BS!X9</f>
        <v>276132.9326386762</v>
      </c>
      <c r="BS43" s="306" t="s">
        <v>111</v>
      </c>
      <c r="BT43" s="308">
        <v>100</v>
      </c>
      <c r="BU43" s="310">
        <f>IF(BR44=0,"-",(BR43/BR44)*BT43)</f>
        <v>204.33919385390865</v>
      </c>
      <c r="BV43" s="304"/>
      <c r="BW43" s="10">
        <f>+BS!Y9</f>
        <v>276753.70178473729</v>
      </c>
      <c r="BX43" s="306" t="s">
        <v>111</v>
      </c>
      <c r="BY43" s="308">
        <v>100</v>
      </c>
      <c r="BZ43" s="310">
        <f>IF(BW44=0,"-",(BW43/BW44)*BY43)</f>
        <v>221.82191045693048</v>
      </c>
      <c r="CA43" s="304"/>
      <c r="CB43" s="10">
        <f>+BS!Z9</f>
        <v>300126.60015887808</v>
      </c>
      <c r="CC43" s="306" t="s">
        <v>111</v>
      </c>
      <c r="CD43" s="308">
        <v>100</v>
      </c>
      <c r="CE43" s="310">
        <f>IF(CB44=0,"-",(CB43/CB44)*CD43)</f>
        <v>185.27684217115595</v>
      </c>
      <c r="CF43" s="304"/>
      <c r="CG43" s="10">
        <f>+BS!AA9</f>
        <v>312301.07811264391</v>
      </c>
      <c r="CH43" s="306" t="s">
        <v>126</v>
      </c>
      <c r="CI43" s="308">
        <v>100</v>
      </c>
      <c r="CJ43" s="310">
        <f>IF(CG44=0,"-",(CG43/CG44)*CI43)</f>
        <v>209.13529311651732</v>
      </c>
      <c r="CK43" s="304"/>
      <c r="CL43" s="10">
        <f>+BS!AB9</f>
        <v>333026.05719716608</v>
      </c>
      <c r="CM43" s="306" t="s">
        <v>111</v>
      </c>
      <c r="CN43" s="308">
        <v>100</v>
      </c>
      <c r="CO43" s="310">
        <f>IF(CL44=0,"-",(CL43/CL44)*CN43)</f>
        <v>237.40855714808308</v>
      </c>
      <c r="CP43" s="304"/>
      <c r="CQ43" s="10">
        <f>+BS!AC9</f>
        <v>352638.21357644239</v>
      </c>
      <c r="CR43" s="306" t="s">
        <v>111</v>
      </c>
      <c r="CS43" s="308">
        <v>100</v>
      </c>
      <c r="CT43" s="310">
        <f>IF(CQ44=0,"-",(CQ43/CQ44)*CS43)</f>
        <v>213.11649198309991</v>
      </c>
    </row>
    <row r="44" spans="1:98" ht="18" customHeight="1" x14ac:dyDescent="0.2">
      <c r="A44" s="17"/>
      <c r="B44" s="321"/>
      <c r="C44" s="323"/>
      <c r="D44" s="305"/>
      <c r="E44" s="12">
        <f>+BS!K31</f>
        <v>133888.44942503498</v>
      </c>
      <c r="F44" s="307"/>
      <c r="G44" s="309"/>
      <c r="H44" s="311"/>
      <c r="I44" s="305"/>
      <c r="J44" s="12">
        <f>+BS!L31</f>
        <v>150815.14300754518</v>
      </c>
      <c r="K44" s="307"/>
      <c r="L44" s="309"/>
      <c r="M44" s="311"/>
      <c r="N44" s="305"/>
      <c r="O44" s="12">
        <f>+BS!M31</f>
        <v>119197.70116538607</v>
      </c>
      <c r="P44" s="307"/>
      <c r="Q44" s="309"/>
      <c r="R44" s="311"/>
      <c r="S44" s="305"/>
      <c r="T44" s="12">
        <f>+BS!N31</f>
        <v>195061.07795377393</v>
      </c>
      <c r="U44" s="307"/>
      <c r="V44" s="309"/>
      <c r="W44" s="311"/>
      <c r="X44" s="305"/>
      <c r="Y44" s="12">
        <f>+BS!O31</f>
        <v>136846.44735619859</v>
      </c>
      <c r="Z44" s="307"/>
      <c r="AA44" s="309"/>
      <c r="AB44" s="311"/>
      <c r="AC44" s="305"/>
      <c r="AD44" s="12">
        <f>+BS!P31</f>
        <v>125555.77559970916</v>
      </c>
      <c r="AE44" s="307"/>
      <c r="AF44" s="309"/>
      <c r="AG44" s="311"/>
      <c r="AH44" s="305"/>
      <c r="AI44" s="12">
        <f>+BS!Q31</f>
        <v>142268.11261092548</v>
      </c>
      <c r="AJ44" s="307"/>
      <c r="AK44" s="309"/>
      <c r="AL44" s="311"/>
      <c r="AM44" s="305"/>
      <c r="AN44" s="12">
        <f>+BS!R31</f>
        <v>111760.21351950399</v>
      </c>
      <c r="AO44" s="307"/>
      <c r="AP44" s="309"/>
      <c r="AQ44" s="311"/>
      <c r="AR44" s="305"/>
      <c r="AS44" s="12">
        <f>+BS!S31</f>
        <v>108035.55692710333</v>
      </c>
      <c r="AT44" s="307"/>
      <c r="AU44" s="309"/>
      <c r="AV44" s="311"/>
      <c r="AW44" s="305"/>
      <c r="AX44" s="12">
        <f>+BS!T31</f>
        <v>95074.944668971089</v>
      </c>
      <c r="AY44" s="307"/>
      <c r="AZ44" s="309"/>
      <c r="BA44" s="311"/>
      <c r="BB44" s="305"/>
      <c r="BC44" s="12">
        <f>+BS!U31</f>
        <v>97806.008163297345</v>
      </c>
      <c r="BD44" s="307"/>
      <c r="BE44" s="309"/>
      <c r="BF44" s="311"/>
      <c r="BG44" s="305"/>
      <c r="BH44" s="12">
        <f>+BS!V31</f>
        <v>167959.83595088206</v>
      </c>
      <c r="BI44" s="307"/>
      <c r="BJ44" s="309"/>
      <c r="BK44" s="311"/>
      <c r="BL44" s="305"/>
      <c r="BM44" s="12">
        <f>+BS!W31</f>
        <v>134029.05138460972</v>
      </c>
      <c r="BN44" s="307"/>
      <c r="BO44" s="309"/>
      <c r="BP44" s="311"/>
      <c r="BQ44" s="305"/>
      <c r="BR44" s="12">
        <f>+BS!X31</f>
        <v>135134.59039879355</v>
      </c>
      <c r="BS44" s="307"/>
      <c r="BT44" s="309"/>
      <c r="BU44" s="311"/>
      <c r="BV44" s="305"/>
      <c r="BW44" s="12">
        <f>+BS!Y31</f>
        <v>124763.91588849493</v>
      </c>
      <c r="BX44" s="307"/>
      <c r="BY44" s="309"/>
      <c r="BZ44" s="311"/>
      <c r="CA44" s="305"/>
      <c r="CB44" s="12">
        <f>+BS!Z31</f>
        <v>161988.1884005912</v>
      </c>
      <c r="CC44" s="307"/>
      <c r="CD44" s="309"/>
      <c r="CE44" s="311"/>
      <c r="CF44" s="305"/>
      <c r="CG44" s="12">
        <f>+BS!AA31</f>
        <v>149329.68675863283</v>
      </c>
      <c r="CH44" s="307"/>
      <c r="CI44" s="309"/>
      <c r="CJ44" s="311"/>
      <c r="CK44" s="305"/>
      <c r="CL44" s="12">
        <f>+BS!AB31</f>
        <v>140275.50699844479</v>
      </c>
      <c r="CM44" s="307"/>
      <c r="CN44" s="309"/>
      <c r="CO44" s="311"/>
      <c r="CP44" s="305"/>
      <c r="CQ44" s="12">
        <f>+BS!AC31</f>
        <v>165467.35088169834</v>
      </c>
      <c r="CR44" s="307"/>
      <c r="CS44" s="309"/>
      <c r="CT44" s="311"/>
    </row>
    <row r="45" spans="1:98" ht="18" customHeight="1" x14ac:dyDescent="0.2">
      <c r="A45" s="17"/>
      <c r="B45" s="320" t="s">
        <v>151</v>
      </c>
      <c r="C45" s="322" t="s">
        <v>152</v>
      </c>
      <c r="D45" s="304"/>
      <c r="E45" s="10">
        <f>+BS!K10+BS!K11+BS!K12</f>
        <v>144655.31385043575</v>
      </c>
      <c r="F45" s="306" t="s">
        <v>111</v>
      </c>
      <c r="G45" s="308">
        <v>100</v>
      </c>
      <c r="H45" s="310">
        <f>IF(E46=0,"-",(E45/E46)*G45)</f>
        <v>108.04166787474017</v>
      </c>
      <c r="I45" s="304"/>
      <c r="J45" s="10">
        <f>+BS!L10+BS!L11+BS!L12</f>
        <v>196790.57729426216</v>
      </c>
      <c r="K45" s="306" t="s">
        <v>111</v>
      </c>
      <c r="L45" s="308">
        <v>100</v>
      </c>
      <c r="M45" s="310">
        <f>IF(J46=0,"-",(J45/J46)*L45)</f>
        <v>130.48462731916572</v>
      </c>
      <c r="N45" s="304"/>
      <c r="O45" s="10">
        <f>+BS!M10+BS!M11+BS!M12</f>
        <v>120956.8019319111</v>
      </c>
      <c r="P45" s="306" t="s">
        <v>111</v>
      </c>
      <c r="Q45" s="308">
        <v>100</v>
      </c>
      <c r="R45" s="310">
        <f>IF(O46=0,"-",(O45/O46)*Q45)</f>
        <v>101.47578413788727</v>
      </c>
      <c r="S45" s="304"/>
      <c r="T45" s="10">
        <f>+BS!N10+BS!N11+BS!N12</f>
        <v>179804.98125883879</v>
      </c>
      <c r="U45" s="306" t="s">
        <v>111</v>
      </c>
      <c r="V45" s="308">
        <v>100</v>
      </c>
      <c r="W45" s="310">
        <f>IF(T46=0,"-",(T45/T46)*V45)</f>
        <v>92.178810424419694</v>
      </c>
      <c r="X45" s="304"/>
      <c r="Y45" s="10">
        <f>+BS!O10+BS!O11+BS!O12</f>
        <v>181180.21935743198</v>
      </c>
      <c r="Z45" s="306" t="s">
        <v>111</v>
      </c>
      <c r="AA45" s="308">
        <v>100</v>
      </c>
      <c r="AB45" s="310">
        <f>IF(Y46=0,"-",(Y45/Y46)*AA45)</f>
        <v>132.39672849221776</v>
      </c>
      <c r="AC45" s="304"/>
      <c r="AD45" s="10">
        <f>+BS!P10+BS!P11+BS!P12</f>
        <v>179106.35601579302</v>
      </c>
      <c r="AE45" s="306" t="s">
        <v>111</v>
      </c>
      <c r="AF45" s="308">
        <v>100</v>
      </c>
      <c r="AG45" s="310">
        <f>IF(AD46=0,"-",(AD45/AD46)*AF45)</f>
        <v>142.65083000786137</v>
      </c>
      <c r="AH45" s="304"/>
      <c r="AI45" s="10">
        <f>+BS!Q10+BS!Q11+BS!Q12</f>
        <v>211865.94134150495</v>
      </c>
      <c r="AJ45" s="306" t="s">
        <v>111</v>
      </c>
      <c r="AK45" s="308">
        <v>100</v>
      </c>
      <c r="AL45" s="310">
        <f>IF(AI46=0,"-",(AI45/AI46)*AK45)</f>
        <v>148.92018840575713</v>
      </c>
      <c r="AM45" s="304"/>
      <c r="AN45" s="10">
        <f>+BS!R10+BS!R11+BS!R12</f>
        <v>162996.41802014146</v>
      </c>
      <c r="AO45" s="306" t="s">
        <v>111</v>
      </c>
      <c r="AP45" s="308">
        <v>100</v>
      </c>
      <c r="AQ45" s="310">
        <f>IF(AN46=0,"-",(AN45/AN46)*AP45)</f>
        <v>145.84476253858975</v>
      </c>
      <c r="AR45" s="304"/>
      <c r="AS45" s="10">
        <f>+BS!S10+BS!S11+BS!S12</f>
        <v>178386.80555220079</v>
      </c>
      <c r="AT45" s="306" t="s">
        <v>111</v>
      </c>
      <c r="AU45" s="308">
        <v>100</v>
      </c>
      <c r="AV45" s="310">
        <f>IF(AS46=0,"-",(AS45/AS46)*AU45)</f>
        <v>165.11860597207524</v>
      </c>
      <c r="AW45" s="304"/>
      <c r="AX45" s="10">
        <f>+BS!T10+BS!T11+BS!T12</f>
        <v>143324.18844578144</v>
      </c>
      <c r="AY45" s="306" t="s">
        <v>111</v>
      </c>
      <c r="AZ45" s="308">
        <v>100</v>
      </c>
      <c r="BA45" s="310">
        <f>IF(AX46=0,"-",(AX45/AX46)*AZ45)</f>
        <v>150.7486424996649</v>
      </c>
      <c r="BB45" s="304"/>
      <c r="BC45" s="10">
        <f>+BS!U10+BS!U11+BS!U12</f>
        <v>215140.76755744612</v>
      </c>
      <c r="BD45" s="306" t="s">
        <v>111</v>
      </c>
      <c r="BE45" s="308">
        <v>100</v>
      </c>
      <c r="BF45" s="310">
        <f>IF(BC46=0,"-",(BC45/BC46)*BE45)</f>
        <v>219.96682166830297</v>
      </c>
      <c r="BG45" s="304"/>
      <c r="BH45" s="10">
        <f>+BS!V10+BS!V11+BS!V12</f>
        <v>222414.83377073149</v>
      </c>
      <c r="BI45" s="306" t="s">
        <v>111</v>
      </c>
      <c r="BJ45" s="308">
        <v>100</v>
      </c>
      <c r="BK45" s="310">
        <f>IF(BH46=0,"-",(BH45/BH46)*BJ45)</f>
        <v>132.42144022799246</v>
      </c>
      <c r="BL45" s="304"/>
      <c r="BM45" s="10">
        <f>+BS!W10+BS!W11+BS!W12</f>
        <v>186125.13413084639</v>
      </c>
      <c r="BN45" s="306" t="s">
        <v>111</v>
      </c>
      <c r="BO45" s="308">
        <v>100</v>
      </c>
      <c r="BP45" s="310">
        <f>IF(BM46=0,"-",(BM45/BM46)*BO45)</f>
        <v>138.86924678496885</v>
      </c>
      <c r="BQ45" s="304"/>
      <c r="BR45" s="10">
        <f>+BS!X10+BS!X11+BS!X12</f>
        <v>195024.79338721381</v>
      </c>
      <c r="BS45" s="306" t="s">
        <v>111</v>
      </c>
      <c r="BT45" s="308">
        <v>100</v>
      </c>
      <c r="BU45" s="310">
        <f>IF(BR46=0,"-",(BR45/BR46)*BT45)</f>
        <v>144.31892886320168</v>
      </c>
      <c r="BV45" s="304"/>
      <c r="BW45" s="10">
        <f>+BS!Y10+BS!Y11+BS!Y12</f>
        <v>199995.36050203914</v>
      </c>
      <c r="BX45" s="306" t="s">
        <v>111</v>
      </c>
      <c r="BY45" s="308">
        <v>100</v>
      </c>
      <c r="BZ45" s="310">
        <f>IF(BW46=0,"-",(BW45/BW46)*BY45)</f>
        <v>160.29904085471372</v>
      </c>
      <c r="CA45" s="304"/>
      <c r="CB45" s="10">
        <f>+BS!Z10+BS!Z11+BS!Z12</f>
        <v>209683.48519995995</v>
      </c>
      <c r="CC45" s="306" t="s">
        <v>111</v>
      </c>
      <c r="CD45" s="308">
        <v>100</v>
      </c>
      <c r="CE45" s="310">
        <f>IF(CB46=0,"-",(CB45/CB46)*CD45)</f>
        <v>129.44368800607853</v>
      </c>
      <c r="CF45" s="304"/>
      <c r="CG45" s="10">
        <f>+BS!AA10+BS!AA11+BS!AA12</f>
        <v>206232.33599859418</v>
      </c>
      <c r="CH45" s="306" t="s">
        <v>111</v>
      </c>
      <c r="CI45" s="308">
        <v>100</v>
      </c>
      <c r="CJ45" s="310">
        <f>IF(CG46=0,"-",(CG45/CG46)*CI45)</f>
        <v>138.10538311242507</v>
      </c>
      <c r="CK45" s="304"/>
      <c r="CL45" s="10">
        <f>+BS!AB10+BS!AB11+BS!AB12</f>
        <v>220974.8451702091</v>
      </c>
      <c r="CM45" s="306" t="s">
        <v>111</v>
      </c>
      <c r="CN45" s="308">
        <v>100</v>
      </c>
      <c r="CO45" s="310">
        <f>IF(CL46=0,"-",(CL45/CL46)*CN45)</f>
        <v>157.52917233987185</v>
      </c>
      <c r="CP45" s="304"/>
      <c r="CQ45" s="10">
        <f>+BS!AC10+BS!AC11+BS!AC12</f>
        <v>225729.18772470468</v>
      </c>
      <c r="CR45" s="306" t="s">
        <v>111</v>
      </c>
      <c r="CS45" s="308">
        <v>100</v>
      </c>
      <c r="CT45" s="310">
        <f>IF(CQ46=0,"-",(CQ45/CQ46)*CS45)</f>
        <v>136.41917062302571</v>
      </c>
    </row>
    <row r="46" spans="1:98" ht="18" customHeight="1" x14ac:dyDescent="0.2">
      <c r="A46" s="17"/>
      <c r="B46" s="321"/>
      <c r="C46" s="323"/>
      <c r="D46" s="305"/>
      <c r="E46" s="12">
        <f>+E44</f>
        <v>133888.44942503498</v>
      </c>
      <c r="F46" s="307"/>
      <c r="G46" s="309"/>
      <c r="H46" s="311"/>
      <c r="I46" s="305"/>
      <c r="J46" s="12">
        <f>+J44</f>
        <v>150815.14300754518</v>
      </c>
      <c r="K46" s="307"/>
      <c r="L46" s="309"/>
      <c r="M46" s="311"/>
      <c r="N46" s="305"/>
      <c r="O46" s="12">
        <f>+O44</f>
        <v>119197.70116538607</v>
      </c>
      <c r="P46" s="307"/>
      <c r="Q46" s="309"/>
      <c r="R46" s="311"/>
      <c r="S46" s="305"/>
      <c r="T46" s="12">
        <f>+T44</f>
        <v>195061.07795377393</v>
      </c>
      <c r="U46" s="307"/>
      <c r="V46" s="309"/>
      <c r="W46" s="311"/>
      <c r="X46" s="305"/>
      <c r="Y46" s="12">
        <f>+Y44</f>
        <v>136846.44735619859</v>
      </c>
      <c r="Z46" s="307"/>
      <c r="AA46" s="309"/>
      <c r="AB46" s="311"/>
      <c r="AC46" s="305"/>
      <c r="AD46" s="12">
        <f>+AD44</f>
        <v>125555.77559970916</v>
      </c>
      <c r="AE46" s="307"/>
      <c r="AF46" s="309"/>
      <c r="AG46" s="311"/>
      <c r="AH46" s="305"/>
      <c r="AI46" s="12">
        <f>+AI44</f>
        <v>142268.11261092548</v>
      </c>
      <c r="AJ46" s="307"/>
      <c r="AK46" s="309"/>
      <c r="AL46" s="311"/>
      <c r="AM46" s="305"/>
      <c r="AN46" s="12">
        <f>+AN44</f>
        <v>111760.21351950399</v>
      </c>
      <c r="AO46" s="307"/>
      <c r="AP46" s="309"/>
      <c r="AQ46" s="311"/>
      <c r="AR46" s="305"/>
      <c r="AS46" s="12">
        <f>+AS44</f>
        <v>108035.55692710333</v>
      </c>
      <c r="AT46" s="307"/>
      <c r="AU46" s="309"/>
      <c r="AV46" s="311"/>
      <c r="AW46" s="305"/>
      <c r="AX46" s="12">
        <f>+AX44</f>
        <v>95074.944668971089</v>
      </c>
      <c r="AY46" s="307"/>
      <c r="AZ46" s="309"/>
      <c r="BA46" s="311"/>
      <c r="BB46" s="305"/>
      <c r="BC46" s="12">
        <f>+BC44</f>
        <v>97806.008163297345</v>
      </c>
      <c r="BD46" s="307"/>
      <c r="BE46" s="309"/>
      <c r="BF46" s="311"/>
      <c r="BG46" s="305"/>
      <c r="BH46" s="12">
        <f>+BH44</f>
        <v>167959.83595088206</v>
      </c>
      <c r="BI46" s="307"/>
      <c r="BJ46" s="309"/>
      <c r="BK46" s="311"/>
      <c r="BL46" s="305"/>
      <c r="BM46" s="12">
        <f>+BM44</f>
        <v>134029.05138460972</v>
      </c>
      <c r="BN46" s="307"/>
      <c r="BO46" s="309"/>
      <c r="BP46" s="311"/>
      <c r="BQ46" s="305"/>
      <c r="BR46" s="12">
        <f>+BR44</f>
        <v>135134.59039879355</v>
      </c>
      <c r="BS46" s="307"/>
      <c r="BT46" s="309"/>
      <c r="BU46" s="311"/>
      <c r="BV46" s="305"/>
      <c r="BW46" s="12">
        <f>+BW44</f>
        <v>124763.91588849493</v>
      </c>
      <c r="BX46" s="307"/>
      <c r="BY46" s="309"/>
      <c r="BZ46" s="311"/>
      <c r="CA46" s="305"/>
      <c r="CB46" s="12">
        <f>+CB44</f>
        <v>161988.1884005912</v>
      </c>
      <c r="CC46" s="307"/>
      <c r="CD46" s="309"/>
      <c r="CE46" s="311"/>
      <c r="CF46" s="305"/>
      <c r="CG46" s="12">
        <f>+CG44</f>
        <v>149329.68675863283</v>
      </c>
      <c r="CH46" s="307"/>
      <c r="CI46" s="309"/>
      <c r="CJ46" s="311"/>
      <c r="CK46" s="305"/>
      <c r="CL46" s="12">
        <f>+CL44</f>
        <v>140275.50699844479</v>
      </c>
      <c r="CM46" s="307"/>
      <c r="CN46" s="309"/>
      <c r="CO46" s="311"/>
      <c r="CP46" s="305"/>
      <c r="CQ46" s="12">
        <f>+CQ44</f>
        <v>165467.35088169834</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102294.807002124</v>
      </c>
      <c r="F48" s="306" t="s">
        <v>150</v>
      </c>
      <c r="G48" s="308">
        <v>100</v>
      </c>
      <c r="H48" s="310">
        <f>IF(E49=0,"-",(E48/E49)*G48)</f>
        <v>30.561736137673996</v>
      </c>
      <c r="I48" s="304"/>
      <c r="J48" s="10">
        <f>+J9</f>
        <v>160090.80540445691</v>
      </c>
      <c r="K48" s="306" t="s">
        <v>111</v>
      </c>
      <c r="L48" s="308">
        <v>100</v>
      </c>
      <c r="M48" s="310">
        <f>IF(J49=0,"-",(J48/J49)*L48)</f>
        <v>40.036567323171454</v>
      </c>
      <c r="N48" s="304"/>
      <c r="O48" s="10">
        <f>+O9</f>
        <v>108550.90494610141</v>
      </c>
      <c r="P48" s="306" t="s">
        <v>111</v>
      </c>
      <c r="Q48" s="308">
        <v>100</v>
      </c>
      <c r="R48" s="310">
        <f>IF(O49=0,"-",(O48/O49)*Q48)</f>
        <v>33.937809665007862</v>
      </c>
      <c r="S48" s="304"/>
      <c r="T48" s="10">
        <f>+T9</f>
        <v>139106.15880287433</v>
      </c>
      <c r="U48" s="306" t="s">
        <v>111</v>
      </c>
      <c r="V48" s="308">
        <v>100</v>
      </c>
      <c r="W48" s="310">
        <f>IF(T49=0,"-",(T48/T49)*V48)</f>
        <v>31.682778049596806</v>
      </c>
      <c r="X48" s="304"/>
      <c r="Y48" s="10">
        <f>+Y9</f>
        <v>191574.64771048079</v>
      </c>
      <c r="Z48" s="306" t="s">
        <v>111</v>
      </c>
      <c r="AA48" s="308">
        <v>100</v>
      </c>
      <c r="AB48" s="310">
        <f>IF(Y49=0,"-",(Y48/Y49)*AA48)</f>
        <v>46.552964495669727</v>
      </c>
      <c r="AC48" s="304"/>
      <c r="AD48" s="10">
        <f>+AD9</f>
        <v>140407.80308647518</v>
      </c>
      <c r="AE48" s="306" t="s">
        <v>111</v>
      </c>
      <c r="AF48" s="308">
        <v>100</v>
      </c>
      <c r="AG48" s="310">
        <f>IF(AD49=0,"-",(AD48/AD49)*AF48)</f>
        <v>37.949163971036953</v>
      </c>
      <c r="AH48" s="304"/>
      <c r="AI48" s="10">
        <f>+AI9</f>
        <v>194526.15780704789</v>
      </c>
      <c r="AJ48" s="306" t="s">
        <v>150</v>
      </c>
      <c r="AK48" s="308">
        <v>100</v>
      </c>
      <c r="AL48" s="310">
        <f>IF(AI49=0,"-",(AI48/AI49)*AK48)</f>
        <v>43.560084577134397</v>
      </c>
      <c r="AM48" s="304"/>
      <c r="AN48" s="10">
        <f>+AN9</f>
        <v>137261.67614876965</v>
      </c>
      <c r="AO48" s="306" t="s">
        <v>111</v>
      </c>
      <c r="AP48" s="308">
        <v>100</v>
      </c>
      <c r="AQ48" s="310">
        <f>IF(AN49=0,"-",(AN48/AN49)*AP48)</f>
        <v>41.532459506932739</v>
      </c>
      <c r="AR48" s="304"/>
      <c r="AS48" s="10">
        <f>+AS9</f>
        <v>132903.12845135876</v>
      </c>
      <c r="AT48" s="306" t="s">
        <v>111</v>
      </c>
      <c r="AU48" s="308">
        <v>100</v>
      </c>
      <c r="AV48" s="310">
        <f>IF(AS49=0,"-",(AS48/AS49)*AU48)</f>
        <v>38.181955953201474</v>
      </c>
      <c r="AW48" s="304"/>
      <c r="AX48" s="10">
        <f>+AX9</f>
        <v>104424.86700869461</v>
      </c>
      <c r="AY48" s="306" t="s">
        <v>111</v>
      </c>
      <c r="AZ48" s="308">
        <v>100</v>
      </c>
      <c r="BA48" s="310">
        <f>IF(AX49=0,"-",(AX48/AX49)*AZ48)</f>
        <v>34.289137355610229</v>
      </c>
      <c r="BB48" s="304"/>
      <c r="BC48" s="10">
        <f>+BC9</f>
        <v>229402.06154112416</v>
      </c>
      <c r="BD48" s="306" t="s">
        <v>111</v>
      </c>
      <c r="BE48" s="308">
        <v>100</v>
      </c>
      <c r="BF48" s="310">
        <f>IF(BC49=0,"-",(BC48/BC49)*BE48)</f>
        <v>51.203992781782624</v>
      </c>
      <c r="BG48" s="304"/>
      <c r="BH48" s="10">
        <f>+BH9</f>
        <v>247628.38913046109</v>
      </c>
      <c r="BI48" s="306" t="s">
        <v>111</v>
      </c>
      <c r="BJ48" s="308">
        <v>100</v>
      </c>
      <c r="BK48" s="310">
        <f>IF(BH49=0,"-",(BH48/BH49)*BJ48)</f>
        <v>47.882963041082512</v>
      </c>
      <c r="BL48" s="304"/>
      <c r="BM48" s="10">
        <f>+BM9</f>
        <v>174566.53855215071</v>
      </c>
      <c r="BN48" s="306" t="s">
        <v>111</v>
      </c>
      <c r="BO48" s="308">
        <v>100</v>
      </c>
      <c r="BP48" s="310">
        <f>IF(BM49=0,"-",(BM48/BM49)*BO48)</f>
        <v>43.452874565137293</v>
      </c>
      <c r="BQ48" s="304"/>
      <c r="BR48" s="10">
        <f>+BR9</f>
        <v>233062.78406444282</v>
      </c>
      <c r="BS48" s="306" t="s">
        <v>111</v>
      </c>
      <c r="BT48" s="308">
        <v>100</v>
      </c>
      <c r="BU48" s="310">
        <f>IF(BR49=0,"-",(BR48/BR49)*BT48)</f>
        <v>48.344292079044607</v>
      </c>
      <c r="BV48" s="304"/>
      <c r="BW48" s="10">
        <f>+BW9</f>
        <v>199056.17467008712</v>
      </c>
      <c r="BX48" s="306" t="s">
        <v>111</v>
      </c>
      <c r="BY48" s="308">
        <v>100</v>
      </c>
      <c r="BZ48" s="310">
        <f>IF(BW49=0,"-",(BW48/BW49)*BY48)</f>
        <v>46.994790344233991</v>
      </c>
      <c r="CA48" s="304"/>
      <c r="CB48" s="10">
        <f>+CB9</f>
        <v>192911.29688865112</v>
      </c>
      <c r="CC48" s="306" t="s">
        <v>111</v>
      </c>
      <c r="CD48" s="308">
        <v>100</v>
      </c>
      <c r="CE48" s="310">
        <f>IF(CB49=0,"-",(CB48/CB49)*CD48)</f>
        <v>42.857732494081326</v>
      </c>
      <c r="CF48" s="304"/>
      <c r="CG48" s="10">
        <f>+CG9</f>
        <v>266758.76979175821</v>
      </c>
      <c r="CH48" s="306" t="s">
        <v>111</v>
      </c>
      <c r="CI48" s="308">
        <v>100</v>
      </c>
      <c r="CJ48" s="310">
        <f>IF(CG49=0,"-",(CG48/CG49)*CI48)</f>
        <v>52.967618667420965</v>
      </c>
      <c r="CK48" s="304"/>
      <c r="CL48" s="10">
        <f>+CL9</f>
        <v>265925.07249006396</v>
      </c>
      <c r="CM48" s="306" t="s">
        <v>111</v>
      </c>
      <c r="CN48" s="308">
        <v>100</v>
      </c>
      <c r="CO48" s="310">
        <f>IF(CL49=0,"-",(CL48/CL49)*CN48)</f>
        <v>49.777357878488488</v>
      </c>
      <c r="CP48" s="304"/>
      <c r="CQ48" s="10">
        <f>+CQ9</f>
        <v>200080.09964047253</v>
      </c>
      <c r="CR48" s="306" t="s">
        <v>111</v>
      </c>
      <c r="CS48" s="308">
        <v>100</v>
      </c>
      <c r="CT48" s="310">
        <f>IF(CQ49=0,"-",(CQ48/CQ49)*CS48)</f>
        <v>37.504494002018077</v>
      </c>
    </row>
    <row r="49" spans="1:98" ht="18" customHeight="1" x14ac:dyDescent="0.2">
      <c r="A49" s="20"/>
      <c r="B49" s="321"/>
      <c r="C49" s="323"/>
      <c r="D49" s="305"/>
      <c r="E49" s="12">
        <f>+E7</f>
        <v>334715.30066651996</v>
      </c>
      <c r="F49" s="307"/>
      <c r="G49" s="309"/>
      <c r="H49" s="311"/>
      <c r="I49" s="305"/>
      <c r="J49" s="12">
        <f>+J7</f>
        <v>399861.46692402178</v>
      </c>
      <c r="K49" s="307"/>
      <c r="L49" s="309"/>
      <c r="M49" s="311"/>
      <c r="N49" s="305"/>
      <c r="O49" s="12">
        <f>+O7</f>
        <v>319852.41834279191</v>
      </c>
      <c r="P49" s="307"/>
      <c r="Q49" s="309"/>
      <c r="R49" s="311"/>
      <c r="S49" s="305"/>
      <c r="T49" s="12">
        <f>+T7</f>
        <v>439059.22196947178</v>
      </c>
      <c r="U49" s="307"/>
      <c r="V49" s="309"/>
      <c r="W49" s="311"/>
      <c r="X49" s="305"/>
      <c r="Y49" s="12">
        <f>+Y7</f>
        <v>411519.75988188828</v>
      </c>
      <c r="Z49" s="307"/>
      <c r="AA49" s="309"/>
      <c r="AB49" s="311"/>
      <c r="AC49" s="305"/>
      <c r="AD49" s="12">
        <f>+AD7</f>
        <v>369989.18656978931</v>
      </c>
      <c r="AE49" s="307"/>
      <c r="AF49" s="309"/>
      <c r="AG49" s="311"/>
      <c r="AH49" s="305"/>
      <c r="AI49" s="12">
        <f>+AI7</f>
        <v>446569.74313855846</v>
      </c>
      <c r="AJ49" s="307"/>
      <c r="AK49" s="309"/>
      <c r="AL49" s="311"/>
      <c r="AM49" s="305"/>
      <c r="AN49" s="12">
        <f>+AN7</f>
        <v>330492.52988703322</v>
      </c>
      <c r="AO49" s="307"/>
      <c r="AP49" s="309"/>
      <c r="AQ49" s="311"/>
      <c r="AR49" s="305"/>
      <c r="AS49" s="12">
        <f>+AS7</f>
        <v>348078.36616399197</v>
      </c>
      <c r="AT49" s="307"/>
      <c r="AU49" s="309"/>
      <c r="AV49" s="311"/>
      <c r="AW49" s="305"/>
      <c r="AX49" s="12">
        <f>+AX7</f>
        <v>304542.12343026209</v>
      </c>
      <c r="AY49" s="307"/>
      <c r="AZ49" s="309"/>
      <c r="BA49" s="311"/>
      <c r="BB49" s="305"/>
      <c r="BC49" s="12">
        <f>+BC7</f>
        <v>448015.96336202306</v>
      </c>
      <c r="BD49" s="307"/>
      <c r="BE49" s="309"/>
      <c r="BF49" s="311"/>
      <c r="BG49" s="305"/>
      <c r="BH49" s="12">
        <f>+BH7</f>
        <v>517153.43705443095</v>
      </c>
      <c r="BI49" s="307"/>
      <c r="BJ49" s="309"/>
      <c r="BK49" s="311"/>
      <c r="BL49" s="305"/>
      <c r="BM49" s="12">
        <f>+BM7</f>
        <v>401737.60723348631</v>
      </c>
      <c r="BN49" s="307"/>
      <c r="BO49" s="309"/>
      <c r="BP49" s="311"/>
      <c r="BQ49" s="305"/>
      <c r="BR49" s="12">
        <f>+BR7</f>
        <v>482089.5581289659</v>
      </c>
      <c r="BS49" s="307"/>
      <c r="BT49" s="309"/>
      <c r="BU49" s="311"/>
      <c r="BV49" s="305"/>
      <c r="BW49" s="12">
        <f>+BW7</f>
        <v>423570.72605710692</v>
      </c>
      <c r="BX49" s="307"/>
      <c r="BY49" s="309"/>
      <c r="BZ49" s="311"/>
      <c r="CA49" s="305"/>
      <c r="CB49" s="12">
        <f>+CB7</f>
        <v>450120.16656572366</v>
      </c>
      <c r="CC49" s="307"/>
      <c r="CD49" s="309"/>
      <c r="CE49" s="311"/>
      <c r="CF49" s="305"/>
      <c r="CG49" s="12">
        <f>+CG7</f>
        <v>503626.13329232932</v>
      </c>
      <c r="CH49" s="307"/>
      <c r="CI49" s="309"/>
      <c r="CJ49" s="311"/>
      <c r="CK49" s="305"/>
      <c r="CL49" s="12">
        <f>+CL7</f>
        <v>534228.98246068764</v>
      </c>
      <c r="CM49" s="307"/>
      <c r="CN49" s="309"/>
      <c r="CO49" s="311"/>
      <c r="CP49" s="305"/>
      <c r="CQ49" s="12">
        <f>+CQ7</f>
        <v>533482.99974319467</v>
      </c>
      <c r="CR49" s="307"/>
      <c r="CS49" s="309"/>
      <c r="CT49" s="311"/>
    </row>
    <row r="50" spans="1:98" ht="18" customHeight="1" x14ac:dyDescent="0.2">
      <c r="A50" s="20"/>
      <c r="B50" s="320" t="s">
        <v>154</v>
      </c>
      <c r="C50" s="322" t="s">
        <v>152</v>
      </c>
      <c r="D50" s="304"/>
      <c r="E50" s="10">
        <f>+BS!K30</f>
        <v>232420.49366439602</v>
      </c>
      <c r="F50" s="306" t="s">
        <v>111</v>
      </c>
      <c r="G50" s="308">
        <v>100</v>
      </c>
      <c r="H50" s="310">
        <f>IF(E51=0,"-",(E50/E51)*G50)</f>
        <v>227.20654202863901</v>
      </c>
      <c r="I50" s="304"/>
      <c r="J50" s="10">
        <f>+BS!L30</f>
        <v>239770.66151956483</v>
      </c>
      <c r="K50" s="306" t="s">
        <v>111</v>
      </c>
      <c r="L50" s="308">
        <v>100</v>
      </c>
      <c r="M50" s="310">
        <f>IF(J51=0,"-",(J50/J51)*L50)</f>
        <v>149.77166297202578</v>
      </c>
      <c r="N50" s="304"/>
      <c r="O50" s="10">
        <f>+BS!M30</f>
        <v>211301.51339668961</v>
      </c>
      <c r="P50" s="306" t="s">
        <v>111</v>
      </c>
      <c r="Q50" s="308">
        <v>100</v>
      </c>
      <c r="R50" s="310">
        <f>IF(O51=0,"-",(O50/O51)*Q50)</f>
        <v>194.65661157003416</v>
      </c>
      <c r="S50" s="304"/>
      <c r="T50" s="10">
        <f>+BS!N30</f>
        <v>299953.06316659745</v>
      </c>
      <c r="U50" s="306" t="s">
        <v>111</v>
      </c>
      <c r="V50" s="308">
        <v>100</v>
      </c>
      <c r="W50" s="310">
        <f>IF(T51=0,"-",(T50/T51)*V50)</f>
        <v>215.62888785654511</v>
      </c>
      <c r="X50" s="304"/>
      <c r="Y50" s="10">
        <f>+BS!O30</f>
        <v>219945.11217140753</v>
      </c>
      <c r="Z50" s="306" t="s">
        <v>111</v>
      </c>
      <c r="AA50" s="308">
        <v>100</v>
      </c>
      <c r="AB50" s="310">
        <f>IF(Y51=0,"-",(Y50/Y51)*AA50)</f>
        <v>114.80909128633863</v>
      </c>
      <c r="AC50" s="304"/>
      <c r="AD50" s="10">
        <f>+BS!P30</f>
        <v>229581.38348331413</v>
      </c>
      <c r="AE50" s="306" t="s">
        <v>111</v>
      </c>
      <c r="AF50" s="308">
        <v>100</v>
      </c>
      <c r="AG50" s="310">
        <f>IF(AD51=0,"-",(AD50/AD51)*AF50)</f>
        <v>163.51041639895055</v>
      </c>
      <c r="AH50" s="304"/>
      <c r="AI50" s="10">
        <f>+BS!Q30</f>
        <v>252043.5853315116</v>
      </c>
      <c r="AJ50" s="306" t="s">
        <v>111</v>
      </c>
      <c r="AK50" s="308">
        <v>100</v>
      </c>
      <c r="AL50" s="310">
        <f>IF(AI51=0,"-",(AI50/AI51)*AK50)</f>
        <v>129.56796565195913</v>
      </c>
      <c r="AM50" s="304"/>
      <c r="AN50" s="10">
        <f>+BS!R30</f>
        <v>193230.85373826348</v>
      </c>
      <c r="AO50" s="306" t="s">
        <v>155</v>
      </c>
      <c r="AP50" s="308">
        <v>100</v>
      </c>
      <c r="AQ50" s="310">
        <f>IF(AN51=0,"-",(AN50/AN51)*AP50)</f>
        <v>140.77553120423229</v>
      </c>
      <c r="AR50" s="304"/>
      <c r="AS50" s="10">
        <f>+BS!S30</f>
        <v>215175.23771263339</v>
      </c>
      <c r="AT50" s="306" t="s">
        <v>111</v>
      </c>
      <c r="AU50" s="308">
        <v>100</v>
      </c>
      <c r="AV50" s="310">
        <f>IF(AS51=0,"-",(AS50/AS51)*AU50)</f>
        <v>161.90381687770835</v>
      </c>
      <c r="AW50" s="304"/>
      <c r="AX50" s="10">
        <f>+BS!T30</f>
        <v>200117.25642156738</v>
      </c>
      <c r="AY50" s="306" t="s">
        <v>111</v>
      </c>
      <c r="AZ50" s="308">
        <v>100</v>
      </c>
      <c r="BA50" s="310">
        <f>IF(AX51=0,"-",(AX50/AX51)*AZ50)</f>
        <v>191.63754970825602</v>
      </c>
      <c r="BB50" s="304"/>
      <c r="BC50" s="10">
        <f>+BS!U30</f>
        <v>218613.90182089867</v>
      </c>
      <c r="BD50" s="306" t="s">
        <v>111</v>
      </c>
      <c r="BE50" s="308">
        <v>100</v>
      </c>
      <c r="BF50" s="310">
        <f>IF(BC51=0,"-",(BC50/BC51)*BE50)</f>
        <v>95.29726993395326</v>
      </c>
      <c r="BG50" s="304"/>
      <c r="BH50" s="10">
        <f>+BS!V30</f>
        <v>269525.04792397027</v>
      </c>
      <c r="BI50" s="306" t="s">
        <v>111</v>
      </c>
      <c r="BJ50" s="308">
        <v>100</v>
      </c>
      <c r="BK50" s="310">
        <f>IF(BH51=0,"-",(BH50/BH51)*BJ50)</f>
        <v>108.84254784776437</v>
      </c>
      <c r="BL50" s="304"/>
      <c r="BM50" s="10">
        <f>+BS!W30</f>
        <v>227171.06868133586</v>
      </c>
      <c r="BN50" s="306" t="s">
        <v>111</v>
      </c>
      <c r="BO50" s="308">
        <v>100</v>
      </c>
      <c r="BP50" s="310">
        <f>IF(BM51=0,"-",(BM50/BM51)*BO50)</f>
        <v>130.13437200822418</v>
      </c>
      <c r="BQ50" s="304"/>
      <c r="BR50" s="10">
        <f>+BS!X30</f>
        <v>249026.77406452302</v>
      </c>
      <c r="BS50" s="306" t="s">
        <v>111</v>
      </c>
      <c r="BT50" s="308">
        <v>100</v>
      </c>
      <c r="BU50" s="310">
        <f>IF(BR51=0,"-",(BR50/BR51)*BT50)</f>
        <v>106.84965215024039</v>
      </c>
      <c r="BV50" s="304"/>
      <c r="BW50" s="10">
        <f>+BS!Y30</f>
        <v>224514.55138701978</v>
      </c>
      <c r="BX50" s="306" t="s">
        <v>111</v>
      </c>
      <c r="BY50" s="308">
        <v>100</v>
      </c>
      <c r="BZ50" s="310">
        <f>IF(BW51=0,"-",(BW50/BW51)*BY50)</f>
        <v>112.78954383561677</v>
      </c>
      <c r="CA50" s="304"/>
      <c r="CB50" s="10">
        <f>+BS!Z30</f>
        <v>257208.86967707254</v>
      </c>
      <c r="CC50" s="306" t="s">
        <v>111</v>
      </c>
      <c r="CD50" s="308">
        <v>100</v>
      </c>
      <c r="CE50" s="310">
        <f>IF(CB51=0,"-",(CB50/CB51)*CD50)</f>
        <v>133.33012313194604</v>
      </c>
      <c r="CF50" s="304"/>
      <c r="CG50" s="10">
        <f>+BS!AA30</f>
        <v>236867.36350057114</v>
      </c>
      <c r="CH50" s="306" t="s">
        <v>155</v>
      </c>
      <c r="CI50" s="308">
        <v>100</v>
      </c>
      <c r="CJ50" s="310">
        <f>IF(CG51=0,"-",(CG50/CG51)*CI50)</f>
        <v>88.79459283962008</v>
      </c>
      <c r="CK50" s="304"/>
      <c r="CL50" s="10">
        <f>+BS!AB30</f>
        <v>268303.90997062379</v>
      </c>
      <c r="CM50" s="306" t="s">
        <v>111</v>
      </c>
      <c r="CN50" s="308">
        <v>100</v>
      </c>
      <c r="CO50" s="310">
        <f>IF(CL51=0,"-",(CL50/CL51)*CN50)</f>
        <v>100.89455178418676</v>
      </c>
      <c r="CP50" s="304"/>
      <c r="CQ50" s="10">
        <f>+BS!AC30</f>
        <v>333402.90010272211</v>
      </c>
      <c r="CR50" s="306" t="s">
        <v>111</v>
      </c>
      <c r="CS50" s="308">
        <v>100</v>
      </c>
      <c r="CT50" s="310">
        <f>IF(CQ51=0,"-",(CQ50/CQ51)*CS50)</f>
        <v>166.63471314829394</v>
      </c>
    </row>
    <row r="51" spans="1:98" ht="18" customHeight="1" x14ac:dyDescent="0.2">
      <c r="A51" s="23"/>
      <c r="B51" s="321"/>
      <c r="C51" s="323"/>
      <c r="D51" s="305"/>
      <c r="E51" s="12">
        <f>+E9</f>
        <v>102294.807002124</v>
      </c>
      <c r="F51" s="307"/>
      <c r="G51" s="309"/>
      <c r="H51" s="311"/>
      <c r="I51" s="305"/>
      <c r="J51" s="12">
        <f>+J9</f>
        <v>160090.80540445691</v>
      </c>
      <c r="K51" s="307"/>
      <c r="L51" s="309"/>
      <c r="M51" s="311"/>
      <c r="N51" s="305"/>
      <c r="O51" s="12">
        <f>+O9</f>
        <v>108550.90494610141</v>
      </c>
      <c r="P51" s="307"/>
      <c r="Q51" s="309"/>
      <c r="R51" s="311"/>
      <c r="S51" s="305"/>
      <c r="T51" s="12">
        <f>+T9</f>
        <v>139106.15880287433</v>
      </c>
      <c r="U51" s="307"/>
      <c r="V51" s="309"/>
      <c r="W51" s="311"/>
      <c r="X51" s="305"/>
      <c r="Y51" s="12">
        <f>+Y9</f>
        <v>191574.64771048079</v>
      </c>
      <c r="Z51" s="307"/>
      <c r="AA51" s="309"/>
      <c r="AB51" s="311"/>
      <c r="AC51" s="305"/>
      <c r="AD51" s="12">
        <f>+AD9</f>
        <v>140407.80308647518</v>
      </c>
      <c r="AE51" s="307"/>
      <c r="AF51" s="309"/>
      <c r="AG51" s="311"/>
      <c r="AH51" s="305"/>
      <c r="AI51" s="12">
        <f>+AI9</f>
        <v>194526.15780704789</v>
      </c>
      <c r="AJ51" s="307"/>
      <c r="AK51" s="309"/>
      <c r="AL51" s="311"/>
      <c r="AM51" s="305"/>
      <c r="AN51" s="12">
        <f>+AN9</f>
        <v>137261.67614876965</v>
      </c>
      <c r="AO51" s="307"/>
      <c r="AP51" s="309"/>
      <c r="AQ51" s="311"/>
      <c r="AR51" s="305"/>
      <c r="AS51" s="12">
        <f>+AS9</f>
        <v>132903.12845135876</v>
      </c>
      <c r="AT51" s="307"/>
      <c r="AU51" s="309"/>
      <c r="AV51" s="311"/>
      <c r="AW51" s="305"/>
      <c r="AX51" s="12">
        <f>+AX9</f>
        <v>104424.86700869461</v>
      </c>
      <c r="AY51" s="307"/>
      <c r="AZ51" s="309"/>
      <c r="BA51" s="311"/>
      <c r="BB51" s="305"/>
      <c r="BC51" s="12">
        <f>+BC9</f>
        <v>229402.06154112416</v>
      </c>
      <c r="BD51" s="307"/>
      <c r="BE51" s="309"/>
      <c r="BF51" s="311"/>
      <c r="BG51" s="305"/>
      <c r="BH51" s="12">
        <f>+BH9</f>
        <v>247628.38913046109</v>
      </c>
      <c r="BI51" s="307"/>
      <c r="BJ51" s="309"/>
      <c r="BK51" s="311"/>
      <c r="BL51" s="305"/>
      <c r="BM51" s="12">
        <f>+BM9</f>
        <v>174566.53855215071</v>
      </c>
      <c r="BN51" s="307"/>
      <c r="BO51" s="309"/>
      <c r="BP51" s="311"/>
      <c r="BQ51" s="305"/>
      <c r="BR51" s="12">
        <f>+BR9</f>
        <v>233062.78406444282</v>
      </c>
      <c r="BS51" s="307"/>
      <c r="BT51" s="309"/>
      <c r="BU51" s="311"/>
      <c r="BV51" s="305"/>
      <c r="BW51" s="12">
        <f>+BW9</f>
        <v>199056.17467008712</v>
      </c>
      <c r="BX51" s="307"/>
      <c r="BY51" s="309"/>
      <c r="BZ51" s="311"/>
      <c r="CA51" s="305"/>
      <c r="CB51" s="12">
        <f>+CB9</f>
        <v>192911.29688865112</v>
      </c>
      <c r="CC51" s="307"/>
      <c r="CD51" s="309"/>
      <c r="CE51" s="311"/>
      <c r="CF51" s="305"/>
      <c r="CG51" s="12">
        <f>+CG9</f>
        <v>266758.76979175821</v>
      </c>
      <c r="CH51" s="307"/>
      <c r="CI51" s="309"/>
      <c r="CJ51" s="311"/>
      <c r="CK51" s="305"/>
      <c r="CL51" s="12">
        <f>+CL9</f>
        <v>265925.07249006396</v>
      </c>
      <c r="CM51" s="307"/>
      <c r="CN51" s="309"/>
      <c r="CO51" s="311"/>
      <c r="CP51" s="305"/>
      <c r="CQ51" s="12">
        <f>+CQ9</f>
        <v>200080.09964047253</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139570.131106716</v>
      </c>
      <c r="F53" s="306" t="s">
        <v>111</v>
      </c>
      <c r="G53" s="308">
        <v>100</v>
      </c>
      <c r="H53" s="310">
        <f>IF(E54=0,"-",(E53/E54)*G53)</f>
        <v>69.497744073519925</v>
      </c>
      <c r="I53" s="304"/>
      <c r="J53" s="10">
        <f>+BS!L15</f>
        <v>131431.04053342692</v>
      </c>
      <c r="K53" s="306" t="s">
        <v>111</v>
      </c>
      <c r="L53" s="308">
        <v>100</v>
      </c>
      <c r="M53" s="310">
        <f>IF(J54=0,"-",(J53/J54)*L53)</f>
        <v>52.77373239907984</v>
      </c>
      <c r="N53" s="304"/>
      <c r="O53" s="10">
        <f>+BS!M15</f>
        <v>163980.23618194507</v>
      </c>
      <c r="P53" s="306" t="s">
        <v>111</v>
      </c>
      <c r="Q53" s="308">
        <v>100</v>
      </c>
      <c r="R53" s="310">
        <f>IF(O54=0,"-",(O53/O54)*Q53)</f>
        <v>81.722592166604855</v>
      </c>
      <c r="S53" s="304"/>
      <c r="T53" s="10">
        <f>+BS!N15</f>
        <v>175155.81656647174</v>
      </c>
      <c r="U53" s="306" t="s">
        <v>111</v>
      </c>
      <c r="V53" s="308">
        <v>100</v>
      </c>
      <c r="W53" s="310">
        <f>IF(T54=0,"-",(T53/T54)*V53)</f>
        <v>71.785716761518771</v>
      </c>
      <c r="X53" s="304"/>
      <c r="Y53" s="10">
        <f>+BS!O15</f>
        <v>167419.4828037424</v>
      </c>
      <c r="Z53" s="306" t="s">
        <v>111</v>
      </c>
      <c r="AA53" s="308">
        <v>100</v>
      </c>
      <c r="AB53" s="310">
        <f>IF(Y54=0,"-",(Y53/Y54)*AA53)</f>
        <v>60.95222039020792</v>
      </c>
      <c r="AC53" s="304"/>
      <c r="AD53" s="10">
        <f>+BS!P15</f>
        <v>132054.10942914442</v>
      </c>
      <c r="AE53" s="306" t="s">
        <v>111</v>
      </c>
      <c r="AF53" s="308">
        <v>100</v>
      </c>
      <c r="AG53" s="310">
        <f>IF(AD54=0,"-",(AD53/AD54)*AF53)</f>
        <v>54.024574179553532</v>
      </c>
      <c r="AH53" s="304"/>
      <c r="AI53" s="10">
        <f>+BS!Q15</f>
        <v>151272.83464229415</v>
      </c>
      <c r="AJ53" s="306" t="s">
        <v>111</v>
      </c>
      <c r="AK53" s="308">
        <v>100</v>
      </c>
      <c r="AL53" s="310">
        <f>IF(AI54=0,"-",(AI53/AI54)*AK53)</f>
        <v>49.711476859325224</v>
      </c>
      <c r="AM53" s="304"/>
      <c r="AN53" s="10">
        <f>+BS!R15</f>
        <v>108581.00350824046</v>
      </c>
      <c r="AO53" s="306" t="s">
        <v>111</v>
      </c>
      <c r="AP53" s="308">
        <v>100</v>
      </c>
      <c r="AQ53" s="310">
        <f>IF(AN54=0,"-",(AN53/AN54)*AP53)</f>
        <v>49.641043130451372</v>
      </c>
      <c r="AR53" s="304"/>
      <c r="AS53" s="10">
        <f>+BS!S15</f>
        <v>101939.93417601804</v>
      </c>
      <c r="AT53" s="306" t="s">
        <v>111</v>
      </c>
      <c r="AU53" s="308">
        <v>100</v>
      </c>
      <c r="AV53" s="310">
        <f>IF(AS54=0,"-",(AS53/AS54)*AU53)</f>
        <v>42.467397586327031</v>
      </c>
      <c r="AW53" s="304"/>
      <c r="AX53" s="10">
        <f>+BS!T15</f>
        <v>114893.74221280642</v>
      </c>
      <c r="AY53" s="306" t="s">
        <v>111</v>
      </c>
      <c r="AZ53" s="308">
        <v>100</v>
      </c>
      <c r="BA53" s="310">
        <f>IF(AX54=0,"-",(AX53/AX54)*AZ53)</f>
        <v>54.850474853504103</v>
      </c>
      <c r="BB53" s="304"/>
      <c r="BC53" s="10">
        <f>+BS!U15</f>
        <v>165950.60286300292</v>
      </c>
      <c r="BD53" s="306" t="s">
        <v>111</v>
      </c>
      <c r="BE53" s="308">
        <v>100</v>
      </c>
      <c r="BF53" s="310">
        <f>IF(BC54=0,"-",(BC53/BC54)*BE53)</f>
        <v>47.386032406998446</v>
      </c>
      <c r="BG53" s="304"/>
      <c r="BH53" s="10">
        <f>+BS!V15</f>
        <v>193224.9935587467</v>
      </c>
      <c r="BI53" s="306" t="s">
        <v>111</v>
      </c>
      <c r="BJ53" s="308">
        <v>100</v>
      </c>
      <c r="BK53" s="310">
        <f>IF(BH54=0,"-",(BH53/BH54)*BJ53)</f>
        <v>55.334631834060431</v>
      </c>
      <c r="BL53" s="304"/>
      <c r="BM53" s="10">
        <f>+BS!W15</f>
        <v>144375.36133145381</v>
      </c>
      <c r="BN53" s="306" t="s">
        <v>111</v>
      </c>
      <c r="BO53" s="308">
        <v>100</v>
      </c>
      <c r="BP53" s="310">
        <f>IF(BM54=0,"-",(BM53/BM54)*BO53)</f>
        <v>53.930051235626053</v>
      </c>
      <c r="BQ53" s="304"/>
      <c r="BR53" s="10">
        <f>+BS!X15</f>
        <v>203303.46635164876</v>
      </c>
      <c r="BS53" s="306" t="s">
        <v>111</v>
      </c>
      <c r="BT53" s="308">
        <v>100</v>
      </c>
      <c r="BU53" s="310">
        <f>IF(BR54=0,"-",(BR53/BR54)*BT53)</f>
        <v>58.596499621172285</v>
      </c>
      <c r="BV53" s="304"/>
      <c r="BW53" s="10">
        <f>+BS!Y15</f>
        <v>146609.20648573179</v>
      </c>
      <c r="BX53" s="306" t="s">
        <v>111</v>
      </c>
      <c r="BY53" s="308">
        <v>100</v>
      </c>
      <c r="BZ53" s="310">
        <f>IF(BW54=0,"-",(BW53/BW54)*BY53)</f>
        <v>49.064881219742766</v>
      </c>
      <c r="CA53" s="304"/>
      <c r="CB53" s="10">
        <f>+BS!Z15</f>
        <v>149032.44284491224</v>
      </c>
      <c r="CC53" s="306" t="s">
        <v>111</v>
      </c>
      <c r="CD53" s="308">
        <v>100</v>
      </c>
      <c r="CE53" s="310">
        <f>IF(CB54=0,"-",(CB53/CB54)*CD53)</f>
        <v>51.723673225711849</v>
      </c>
      <c r="CF53" s="304"/>
      <c r="CG53" s="10">
        <f>+BS!AA15</f>
        <v>189701.32958439505</v>
      </c>
      <c r="CH53" s="306" t="s">
        <v>155</v>
      </c>
      <c r="CI53" s="308">
        <v>100</v>
      </c>
      <c r="CJ53" s="310">
        <f>IF(CG54=0,"-",(CG53/CG54)*CI53)</f>
        <v>53.543108162772079</v>
      </c>
      <c r="CK53" s="304"/>
      <c r="CL53" s="10">
        <f>+BS!AB15</f>
        <v>199671.22464143773</v>
      </c>
      <c r="CM53" s="306" t="s">
        <v>111</v>
      </c>
      <c r="CN53" s="308">
        <v>100</v>
      </c>
      <c r="CO53" s="310">
        <f>IF(CL54=0,"-",(CL53/CL54)*CN53)</f>
        <v>50.683960690321271</v>
      </c>
      <c r="CP53" s="304"/>
      <c r="CQ53" s="10">
        <f>+BS!AC15</f>
        <v>178433.71477486732</v>
      </c>
      <c r="CR53" s="306" t="s">
        <v>111</v>
      </c>
      <c r="CS53" s="308">
        <v>100</v>
      </c>
      <c r="CT53" s="310">
        <f>IF(CQ54=0,"-",(CQ53/CQ54)*CS53)</f>
        <v>48.485360697805895</v>
      </c>
    </row>
    <row r="54" spans="1:98" ht="18" customHeight="1" x14ac:dyDescent="0.2">
      <c r="A54" s="17"/>
      <c r="B54" s="321"/>
      <c r="C54" s="323"/>
      <c r="D54" s="305"/>
      <c r="E54" s="12">
        <f>+BS!K43+BS!K37</f>
        <v>200826.85124148527</v>
      </c>
      <c r="F54" s="307"/>
      <c r="G54" s="309"/>
      <c r="H54" s="311"/>
      <c r="I54" s="305"/>
      <c r="J54" s="12">
        <f>+BS!L43+BS!L37</f>
        <v>249046.32391647657</v>
      </c>
      <c r="K54" s="307"/>
      <c r="L54" s="309"/>
      <c r="M54" s="311"/>
      <c r="N54" s="305"/>
      <c r="O54" s="12">
        <f>+BS!M43+BS!M37</f>
        <v>200654.71717740496</v>
      </c>
      <c r="P54" s="307"/>
      <c r="Q54" s="309"/>
      <c r="R54" s="311"/>
      <c r="S54" s="305"/>
      <c r="T54" s="12">
        <f>+BS!N43+BS!N37</f>
        <v>243998.14401569817</v>
      </c>
      <c r="U54" s="307"/>
      <c r="V54" s="309"/>
      <c r="W54" s="311"/>
      <c r="X54" s="305"/>
      <c r="Y54" s="12">
        <f>+BS!O43+BS!O37</f>
        <v>274673.31252568879</v>
      </c>
      <c r="Z54" s="307"/>
      <c r="AA54" s="309"/>
      <c r="AB54" s="311"/>
      <c r="AC54" s="305"/>
      <c r="AD54" s="12">
        <f>+BS!P43+BS!P37</f>
        <v>244433.41097008111</v>
      </c>
      <c r="AE54" s="307"/>
      <c r="AF54" s="309"/>
      <c r="AG54" s="311"/>
      <c r="AH54" s="305"/>
      <c r="AI54" s="12">
        <f>+BS!Q43+BS!Q37</f>
        <v>304301.63052763406</v>
      </c>
      <c r="AJ54" s="307"/>
      <c r="AK54" s="309"/>
      <c r="AL54" s="311"/>
      <c r="AM54" s="305"/>
      <c r="AN54" s="12">
        <f>+BS!R43+BS!R37</f>
        <v>218732.3163675291</v>
      </c>
      <c r="AO54" s="307"/>
      <c r="AP54" s="309"/>
      <c r="AQ54" s="311"/>
      <c r="AR54" s="305"/>
      <c r="AS54" s="12">
        <f>+BS!S43+BS!S37</f>
        <v>240042.80923688863</v>
      </c>
      <c r="AT54" s="307"/>
      <c r="AU54" s="309"/>
      <c r="AV54" s="311"/>
      <c r="AW54" s="305"/>
      <c r="AX54" s="12">
        <f>+BS!T43+BS!T37</f>
        <v>209467.17876129103</v>
      </c>
      <c r="AY54" s="307"/>
      <c r="AZ54" s="309"/>
      <c r="BA54" s="311"/>
      <c r="BB54" s="305"/>
      <c r="BC54" s="12">
        <f>+BS!U43+BS!U37</f>
        <v>350209.95519872574</v>
      </c>
      <c r="BD54" s="307"/>
      <c r="BE54" s="309"/>
      <c r="BF54" s="311"/>
      <c r="BG54" s="305"/>
      <c r="BH54" s="12">
        <f>+BS!V43+BS!V37</f>
        <v>349193.60110354953</v>
      </c>
      <c r="BI54" s="307"/>
      <c r="BJ54" s="309"/>
      <c r="BK54" s="311"/>
      <c r="BL54" s="305"/>
      <c r="BM54" s="12">
        <f>+BS!W43+BS!W37</f>
        <v>267708.55584887671</v>
      </c>
      <c r="BN54" s="307"/>
      <c r="BO54" s="309"/>
      <c r="BP54" s="311"/>
      <c r="BQ54" s="305"/>
      <c r="BR54" s="12">
        <f>+BS!X43+BS!X37</f>
        <v>346954.96773017221</v>
      </c>
      <c r="BS54" s="307"/>
      <c r="BT54" s="309"/>
      <c r="BU54" s="311"/>
      <c r="BV54" s="305"/>
      <c r="BW54" s="12">
        <f>+BS!Y43+BS!Y37</f>
        <v>298806.81016861211</v>
      </c>
      <c r="BX54" s="307"/>
      <c r="BY54" s="309"/>
      <c r="BZ54" s="311"/>
      <c r="CA54" s="305"/>
      <c r="CB54" s="12">
        <f>+BS!Z43+BS!Z37</f>
        <v>288131.97816513188</v>
      </c>
      <c r="CC54" s="307"/>
      <c r="CD54" s="309"/>
      <c r="CE54" s="311"/>
      <c r="CF54" s="305"/>
      <c r="CG54" s="12">
        <f>+BS!AA43+BS!AA37</f>
        <v>354296.44653369649</v>
      </c>
      <c r="CH54" s="307"/>
      <c r="CI54" s="309"/>
      <c r="CJ54" s="311"/>
      <c r="CK54" s="305"/>
      <c r="CL54" s="12">
        <f>+BS!AB43+BS!AB37</f>
        <v>393953.47546224302</v>
      </c>
      <c r="CM54" s="307"/>
      <c r="CN54" s="309"/>
      <c r="CO54" s="311"/>
      <c r="CP54" s="305"/>
      <c r="CQ54" s="12">
        <f>+BS!AC43+BS!AC37</f>
        <v>368015.64886149636</v>
      </c>
      <c r="CR54" s="307"/>
      <c r="CS54" s="309"/>
      <c r="CT54" s="311"/>
    </row>
    <row r="55" spans="1:98" ht="18" customHeight="1" x14ac:dyDescent="0.2">
      <c r="A55" s="17"/>
      <c r="B55" s="320" t="s">
        <v>158</v>
      </c>
      <c r="C55" s="322" t="s">
        <v>152</v>
      </c>
      <c r="D55" s="304"/>
      <c r="E55" s="10">
        <f>+E53</f>
        <v>139570.131106716</v>
      </c>
      <c r="F55" s="306" t="s">
        <v>111</v>
      </c>
      <c r="G55" s="308">
        <v>100</v>
      </c>
      <c r="H55" s="310">
        <f>IF(E56=0,"-",(E55/E56)*G55)</f>
        <v>136.43911670297987</v>
      </c>
      <c r="I55" s="304"/>
      <c r="J55" s="10">
        <f>+J53</f>
        <v>131431.04053342692</v>
      </c>
      <c r="K55" s="306" t="s">
        <v>111</v>
      </c>
      <c r="L55" s="308">
        <v>100</v>
      </c>
      <c r="M55" s="310">
        <f>IF(J56=0,"-",(J55/J56)*L55)</f>
        <v>82.097807054800342</v>
      </c>
      <c r="N55" s="304"/>
      <c r="O55" s="10">
        <f>+O53</f>
        <v>163980.23618194507</v>
      </c>
      <c r="P55" s="306" t="s">
        <v>111</v>
      </c>
      <c r="Q55" s="308">
        <v>100</v>
      </c>
      <c r="R55" s="310">
        <f>IF(O56=0,"-",(O55/O56)*Q55)</f>
        <v>151.06298401046578</v>
      </c>
      <c r="S55" s="304"/>
      <c r="T55" s="10">
        <f>+T53</f>
        <v>175155.81656647174</v>
      </c>
      <c r="U55" s="306" t="s">
        <v>111</v>
      </c>
      <c r="V55" s="308">
        <v>100</v>
      </c>
      <c r="W55" s="310">
        <f>IF(T56=0,"-",(T55/T56)*V55)</f>
        <v>125.91521329740903</v>
      </c>
      <c r="X55" s="304"/>
      <c r="Y55" s="10">
        <f>+Y53</f>
        <v>167419.4828037424</v>
      </c>
      <c r="Z55" s="306" t="s">
        <v>111</v>
      </c>
      <c r="AA55" s="308">
        <v>100</v>
      </c>
      <c r="AB55" s="310">
        <f>IF(Y56=0,"-",(Y55/Y56)*AA55)</f>
        <v>87.391251819894705</v>
      </c>
      <c r="AC55" s="304"/>
      <c r="AD55" s="10">
        <f>+AD53</f>
        <v>132054.10942914442</v>
      </c>
      <c r="AE55" s="306" t="s">
        <v>111</v>
      </c>
      <c r="AF55" s="308">
        <v>100</v>
      </c>
      <c r="AG55" s="310">
        <f>IF(AD56=0,"-",(AD55/AD56)*AF55)</f>
        <v>94.050406406411867</v>
      </c>
      <c r="AH55" s="304"/>
      <c r="AI55" s="10">
        <f>+AI53</f>
        <v>151272.83464229415</v>
      </c>
      <c r="AJ55" s="306" t="s">
        <v>111</v>
      </c>
      <c r="AK55" s="308">
        <v>100</v>
      </c>
      <c r="AL55" s="310">
        <f>IF(AI56=0,"-",(AI55/AI56)*AK55)</f>
        <v>77.764777934051892</v>
      </c>
      <c r="AM55" s="304"/>
      <c r="AN55" s="10">
        <f>+AN53</f>
        <v>108581.00350824046</v>
      </c>
      <c r="AO55" s="306" t="s">
        <v>111</v>
      </c>
      <c r="AP55" s="308">
        <v>100</v>
      </c>
      <c r="AQ55" s="310">
        <f>IF(AN56=0,"-",(AN55/AN56)*AP55)</f>
        <v>79.105112624849539</v>
      </c>
      <c r="AR55" s="304"/>
      <c r="AS55" s="10">
        <f>+AS53</f>
        <v>101939.93417601804</v>
      </c>
      <c r="AT55" s="306" t="s">
        <v>111</v>
      </c>
      <c r="AU55" s="308">
        <v>100</v>
      </c>
      <c r="AV55" s="310">
        <f>IF(AS56=0,"-",(AS55/AS56)*AU55)</f>
        <v>76.702433843253786</v>
      </c>
      <c r="AW55" s="304"/>
      <c r="AX55" s="10">
        <f>+AX53</f>
        <v>114893.74221280642</v>
      </c>
      <c r="AY55" s="306" t="s">
        <v>111</v>
      </c>
      <c r="AZ55" s="308">
        <v>100</v>
      </c>
      <c r="BA55" s="310">
        <f>IF(AX56=0,"-",(AX55/AX56)*AZ55)</f>
        <v>110.02527032496978</v>
      </c>
      <c r="BB55" s="304"/>
      <c r="BC55" s="10">
        <f>+BC53</f>
        <v>165950.60286300292</v>
      </c>
      <c r="BD55" s="306" t="s">
        <v>111</v>
      </c>
      <c r="BE55" s="308">
        <v>100</v>
      </c>
      <c r="BF55" s="310">
        <f>IF(BC56=0,"-",(BC55/BC56)*BE55)</f>
        <v>72.340501976375435</v>
      </c>
      <c r="BG55" s="304"/>
      <c r="BH55" s="10">
        <f>+BH53</f>
        <v>193224.9935587467</v>
      </c>
      <c r="BI55" s="306" t="s">
        <v>111</v>
      </c>
      <c r="BJ55" s="308">
        <v>100</v>
      </c>
      <c r="BK55" s="310">
        <f>IF(BH56=0,"-",(BH55/BH56)*BJ55)</f>
        <v>78.030226759237863</v>
      </c>
      <c r="BL55" s="304"/>
      <c r="BM55" s="10">
        <f>+BM53</f>
        <v>144375.36133145381</v>
      </c>
      <c r="BN55" s="306" t="s">
        <v>111</v>
      </c>
      <c r="BO55" s="308">
        <v>100</v>
      </c>
      <c r="BP55" s="310">
        <f>IF(BM56=0,"-",(BM55/BM56)*BO55)</f>
        <v>82.70506050523683</v>
      </c>
      <c r="BQ55" s="304"/>
      <c r="BR55" s="10">
        <f>+BR53</f>
        <v>203303.46635164876</v>
      </c>
      <c r="BS55" s="306" t="s">
        <v>111</v>
      </c>
      <c r="BT55" s="308">
        <v>100</v>
      </c>
      <c r="BU55" s="310">
        <f>IF(BR56=0,"-",(BR55/BR56)*BT55)</f>
        <v>87.231201312447425</v>
      </c>
      <c r="BV55" s="304"/>
      <c r="BW55" s="10">
        <f>+BW53</f>
        <v>146609.20648573179</v>
      </c>
      <c r="BX55" s="306" t="s">
        <v>111</v>
      </c>
      <c r="BY55" s="308">
        <v>100</v>
      </c>
      <c r="BZ55" s="310">
        <f>IF(BW56=0,"-",(BW55/BW56)*BY55)</f>
        <v>73.652177195065576</v>
      </c>
      <c r="CA55" s="304"/>
      <c r="CB55" s="10">
        <f>+CB53</f>
        <v>149032.44284491224</v>
      </c>
      <c r="CC55" s="306" t="s">
        <v>111</v>
      </c>
      <c r="CD55" s="308">
        <v>100</v>
      </c>
      <c r="CE55" s="310">
        <f>IF(CB56=0,"-",(CB55/CB56)*CD55)</f>
        <v>77.254388544665758</v>
      </c>
      <c r="CF55" s="304"/>
      <c r="CG55" s="10">
        <f>+CG53</f>
        <v>189701.32958439505</v>
      </c>
      <c r="CH55" s="306" t="s">
        <v>111</v>
      </c>
      <c r="CI55" s="308">
        <v>100</v>
      </c>
      <c r="CJ55" s="310">
        <f>IF(CG56=0,"-",(CG55/CG56)*CI55)</f>
        <v>71.113436957473951</v>
      </c>
      <c r="CK55" s="304"/>
      <c r="CL55" s="10">
        <f>+CL53</f>
        <v>199671.22464143773</v>
      </c>
      <c r="CM55" s="306" t="s">
        <v>111</v>
      </c>
      <c r="CN55" s="308">
        <v>100</v>
      </c>
      <c r="CO55" s="310">
        <f>IF(CL56=0,"-",(CL55/CL56)*CN55)</f>
        <v>75.085520433165726</v>
      </c>
      <c r="CP55" s="304"/>
      <c r="CQ55" s="10">
        <f>+CQ53</f>
        <v>178433.71477486732</v>
      </c>
      <c r="CR55" s="306" t="s">
        <v>111</v>
      </c>
      <c r="CS55" s="308">
        <v>100</v>
      </c>
      <c r="CT55" s="310">
        <f>IF(CQ56=0,"-",(CQ55/CQ56)*CS55)</f>
        <v>89.181140500978358</v>
      </c>
    </row>
    <row r="56" spans="1:98" ht="18" customHeight="1" x14ac:dyDescent="0.2">
      <c r="A56" s="17"/>
      <c r="B56" s="321"/>
      <c r="C56" s="323"/>
      <c r="D56" s="305"/>
      <c r="E56" s="12">
        <f>+E9</f>
        <v>102294.807002124</v>
      </c>
      <c r="F56" s="307"/>
      <c r="G56" s="309"/>
      <c r="H56" s="311"/>
      <c r="I56" s="305"/>
      <c r="J56" s="12">
        <f>+J9</f>
        <v>160090.80540445691</v>
      </c>
      <c r="K56" s="307"/>
      <c r="L56" s="309"/>
      <c r="M56" s="311"/>
      <c r="N56" s="305"/>
      <c r="O56" s="12">
        <f>+O9</f>
        <v>108550.90494610141</v>
      </c>
      <c r="P56" s="307"/>
      <c r="Q56" s="309"/>
      <c r="R56" s="311"/>
      <c r="S56" s="305"/>
      <c r="T56" s="12">
        <f>+T9</f>
        <v>139106.15880287433</v>
      </c>
      <c r="U56" s="307"/>
      <c r="V56" s="309"/>
      <c r="W56" s="311"/>
      <c r="X56" s="305"/>
      <c r="Y56" s="12">
        <f>+Y9</f>
        <v>191574.64771048079</v>
      </c>
      <c r="Z56" s="307"/>
      <c r="AA56" s="309"/>
      <c r="AB56" s="311"/>
      <c r="AC56" s="305"/>
      <c r="AD56" s="12">
        <f>+AD9</f>
        <v>140407.80308647518</v>
      </c>
      <c r="AE56" s="307"/>
      <c r="AF56" s="309"/>
      <c r="AG56" s="311"/>
      <c r="AH56" s="305"/>
      <c r="AI56" s="12">
        <f>+AI9</f>
        <v>194526.15780704789</v>
      </c>
      <c r="AJ56" s="307"/>
      <c r="AK56" s="309"/>
      <c r="AL56" s="311"/>
      <c r="AM56" s="305"/>
      <c r="AN56" s="12">
        <f>+AN9</f>
        <v>137261.67614876965</v>
      </c>
      <c r="AO56" s="307"/>
      <c r="AP56" s="309"/>
      <c r="AQ56" s="311"/>
      <c r="AR56" s="305"/>
      <c r="AS56" s="12">
        <f>+AS9</f>
        <v>132903.12845135876</v>
      </c>
      <c r="AT56" s="307"/>
      <c r="AU56" s="309"/>
      <c r="AV56" s="311"/>
      <c r="AW56" s="305"/>
      <c r="AX56" s="12">
        <f>+AX9</f>
        <v>104424.86700869461</v>
      </c>
      <c r="AY56" s="307"/>
      <c r="AZ56" s="309"/>
      <c r="BA56" s="311"/>
      <c r="BB56" s="305"/>
      <c r="BC56" s="12">
        <f>+BC9</f>
        <v>229402.06154112416</v>
      </c>
      <c r="BD56" s="307"/>
      <c r="BE56" s="309"/>
      <c r="BF56" s="311"/>
      <c r="BG56" s="305"/>
      <c r="BH56" s="12">
        <f>+BH9</f>
        <v>247628.38913046109</v>
      </c>
      <c r="BI56" s="307"/>
      <c r="BJ56" s="309"/>
      <c r="BK56" s="311"/>
      <c r="BL56" s="305"/>
      <c r="BM56" s="12">
        <f>+BM9</f>
        <v>174566.53855215071</v>
      </c>
      <c r="BN56" s="307"/>
      <c r="BO56" s="309"/>
      <c r="BP56" s="311"/>
      <c r="BQ56" s="305"/>
      <c r="BR56" s="12">
        <f>+BR9</f>
        <v>233062.78406444282</v>
      </c>
      <c r="BS56" s="307"/>
      <c r="BT56" s="309"/>
      <c r="BU56" s="311"/>
      <c r="BV56" s="305"/>
      <c r="BW56" s="12">
        <f>+BW9</f>
        <v>199056.17467008712</v>
      </c>
      <c r="BX56" s="307"/>
      <c r="BY56" s="309"/>
      <c r="BZ56" s="311"/>
      <c r="CA56" s="305"/>
      <c r="CB56" s="12">
        <f>+CB9</f>
        <v>192911.29688865112</v>
      </c>
      <c r="CC56" s="307"/>
      <c r="CD56" s="309"/>
      <c r="CE56" s="311"/>
      <c r="CF56" s="305"/>
      <c r="CG56" s="12">
        <f>+CG9</f>
        <v>266758.76979175821</v>
      </c>
      <c r="CH56" s="307"/>
      <c r="CI56" s="309"/>
      <c r="CJ56" s="311"/>
      <c r="CK56" s="305"/>
      <c r="CL56" s="12">
        <f>+CL9</f>
        <v>265925.07249006396</v>
      </c>
      <c r="CM56" s="307"/>
      <c r="CN56" s="309"/>
      <c r="CO56" s="311"/>
      <c r="CP56" s="305"/>
      <c r="CQ56" s="12">
        <f>+CQ9</f>
        <v>200080.09964047253</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78178.595918256091</v>
      </c>
      <c r="K58" s="306" t="s">
        <v>111</v>
      </c>
      <c r="L58" s="308">
        <v>100</v>
      </c>
      <c r="M58" s="310">
        <f>IF(J59=0,"-",(J58/J59)*L58)</f>
        <v>19.250614490361883</v>
      </c>
      <c r="N58" s="304"/>
      <c r="O58" s="10">
        <f>+O12-J12</f>
        <v>-67861.410131521698</v>
      </c>
      <c r="P58" s="306" t="s">
        <v>111</v>
      </c>
      <c r="Q58" s="308">
        <v>100</v>
      </c>
      <c r="R58" s="310">
        <f>IF(O59=0,"-",(O58/O59)*Q58)</f>
        <v>-14.01260839029073</v>
      </c>
      <c r="S58" s="304"/>
      <c r="T58" s="10">
        <f>+T12-O12</f>
        <v>317437.94142164767</v>
      </c>
      <c r="U58" s="306" t="s">
        <v>111</v>
      </c>
      <c r="V58" s="308">
        <v>100</v>
      </c>
      <c r="W58" s="310">
        <f>IF(T59=0,"-",(T58/T59)*V58)</f>
        <v>76.228989752254876</v>
      </c>
      <c r="X58" s="304"/>
      <c r="Y58" s="10">
        <f>+Y12-T12</f>
        <v>-185229.3280094564</v>
      </c>
      <c r="Z58" s="306" t="s">
        <v>111</v>
      </c>
      <c r="AA58" s="308">
        <v>100</v>
      </c>
      <c r="AB58" s="310">
        <f>IF(Y59=0,"-",(Y58/Y59)*AA58)</f>
        <v>-25.240254501548186</v>
      </c>
      <c r="AC58" s="304"/>
      <c r="AD58" s="10">
        <f>+AD12-Y12</f>
        <v>-113086.13564286521</v>
      </c>
      <c r="AE58" s="306" t="s">
        <v>111</v>
      </c>
      <c r="AF58" s="308">
        <v>100</v>
      </c>
      <c r="AG58" s="310">
        <f>IF(AD59=0,"-",(AD58/AD59)*AF58)</f>
        <v>-20.612256012524536</v>
      </c>
      <c r="AH58" s="304"/>
      <c r="AI58" s="10">
        <f>+AI12-AD12</f>
        <v>11862.513868761307</v>
      </c>
      <c r="AJ58" s="306" t="s">
        <v>162</v>
      </c>
      <c r="AK58" s="308">
        <v>100</v>
      </c>
      <c r="AL58" s="310">
        <f>IF(AI59=0,"-",(AI58/AI59)*AK58)</f>
        <v>2.723575613557498</v>
      </c>
      <c r="AM58" s="304"/>
      <c r="AN58" s="10">
        <f>+AN12-AI12</f>
        <v>-102905.1144643203</v>
      </c>
      <c r="AO58" s="306" t="s">
        <v>162</v>
      </c>
      <c r="AP58" s="308">
        <v>100</v>
      </c>
      <c r="AQ58" s="310">
        <f>IF(AN59=0,"-",(AN58/AN59)*AP58)</f>
        <v>-23.000090022785649</v>
      </c>
      <c r="AR58" s="304"/>
      <c r="AS58" s="10">
        <f>+AS12-AN12</f>
        <v>75279.66602794663</v>
      </c>
      <c r="AT58" s="306" t="s">
        <v>111</v>
      </c>
      <c r="AU58" s="308">
        <v>100</v>
      </c>
      <c r="AV58" s="310">
        <f>IF(AS59=0,"-",(AS58/AS59)*AU58)</f>
        <v>21.851438994242407</v>
      </c>
      <c r="AW58" s="304"/>
      <c r="AX58" s="10">
        <f>+AX12-AS12</f>
        <v>-41467.991880511749</v>
      </c>
      <c r="AY58" s="306" t="s">
        <v>111</v>
      </c>
      <c r="AZ58" s="308">
        <v>100</v>
      </c>
      <c r="BA58" s="310">
        <f>IF(AX59=0,"-",(AX58/AX59)*AZ58)</f>
        <v>-9.8783566253224482</v>
      </c>
      <c r="BB58" s="304"/>
      <c r="BC58" s="10">
        <f>+BC12-AX12</f>
        <v>75164.491662644374</v>
      </c>
      <c r="BD58" s="306" t="s">
        <v>111</v>
      </c>
      <c r="BE58" s="308">
        <v>100</v>
      </c>
      <c r="BF58" s="310">
        <f>IF(BC59=0,"-",(BC58/BC59)*BE58)</f>
        <v>19.86805338221583</v>
      </c>
      <c r="BG58" s="304"/>
      <c r="BH58" s="10">
        <f>+BH12-BC12</f>
        <v>79405.063800286676</v>
      </c>
      <c r="BI58" s="306" t="s">
        <v>111</v>
      </c>
      <c r="BJ58" s="308">
        <v>100</v>
      </c>
      <c r="BK58" s="310">
        <f>IF(BH59=0,"-",(BH58/BH59)*BJ58)</f>
        <v>17.510048135650297</v>
      </c>
      <c r="BL58" s="304"/>
      <c r="BM58" s="10">
        <f>+BM12-BH12</f>
        <v>-55430.880240279948</v>
      </c>
      <c r="BN58" s="306" t="s">
        <v>111</v>
      </c>
      <c r="BO58" s="308">
        <v>100</v>
      </c>
      <c r="BP58" s="310">
        <f>IF(BM59=0,"-",(BM58/BM59)*BO58)</f>
        <v>-10.401977547006492</v>
      </c>
      <c r="BQ58" s="304"/>
      <c r="BR58" s="10">
        <f>+BR12-BM12</f>
        <v>16398.338314266701</v>
      </c>
      <c r="BS58" s="306" t="s">
        <v>111</v>
      </c>
      <c r="BT58" s="308">
        <v>100</v>
      </c>
      <c r="BU58" s="310">
        <f>IF(BR59=0,"-",(BR58/BR59)*BT58)</f>
        <v>3.4345160841927291</v>
      </c>
      <c r="BV58" s="304"/>
      <c r="BW58" s="10">
        <f>+BW12-BR12</f>
        <v>3045.8651005423162</v>
      </c>
      <c r="BX58" s="306" t="s">
        <v>111</v>
      </c>
      <c r="BY58" s="308">
        <v>100</v>
      </c>
      <c r="BZ58" s="310">
        <f>IF(BW59=0,"-",(BW58/BW59)*BY58)</f>
        <v>0.61675245985050109</v>
      </c>
      <c r="CA58" s="304"/>
      <c r="CB58" s="10">
        <f>+CB12-BW12</f>
        <v>-8532.4957961245673</v>
      </c>
      <c r="CC58" s="306" t="s">
        <v>111</v>
      </c>
      <c r="CD58" s="308">
        <v>100</v>
      </c>
      <c r="CE58" s="310">
        <f>IF(CB59=0,"-",(CB58/CB59)*CD58)</f>
        <v>-1.7171412164903643</v>
      </c>
      <c r="CF58" s="304"/>
      <c r="CG58" s="10">
        <f>+CG12-CB12</f>
        <v>53013.065947349824</v>
      </c>
      <c r="CH58" s="306" t="s">
        <v>155</v>
      </c>
      <c r="CI58" s="308">
        <v>100</v>
      </c>
      <c r="CJ58" s="310">
        <f>IF(CG59=0,"-",(CG58/CG59)*CI58)</f>
        <v>10.855131055832484</v>
      </c>
      <c r="CK58" s="304"/>
      <c r="CL58" s="10">
        <f>+CL12-CG12</f>
        <v>-13920.824874558952</v>
      </c>
      <c r="CM58" s="306" t="s">
        <v>111</v>
      </c>
      <c r="CN58" s="308">
        <v>100</v>
      </c>
      <c r="CO58" s="310">
        <f>IF(CL59=0,"-",(CL58/CL59)*CN58)</f>
        <v>-2.5713507389378698</v>
      </c>
      <c r="CP58" s="304"/>
      <c r="CQ58" s="10">
        <f>+CQ12-CL12</f>
        <v>14945.347102839034</v>
      </c>
      <c r="CR58" s="306" t="s">
        <v>111</v>
      </c>
      <c r="CS58" s="308">
        <v>100</v>
      </c>
      <c r="CT58" s="310">
        <f>IF(CQ59=0,"-",(CQ58/CQ59)*CS58)</f>
        <v>2.8334507863070217</v>
      </c>
    </row>
    <row r="59" spans="1:98" ht="18" customHeight="1" x14ac:dyDescent="0.2">
      <c r="A59" s="20"/>
      <c r="B59" s="321"/>
      <c r="C59" s="323"/>
      <c r="D59" s="333"/>
      <c r="E59" s="334"/>
      <c r="F59" s="334"/>
      <c r="G59" s="334"/>
      <c r="H59" s="335"/>
      <c r="I59" s="305"/>
      <c r="J59" s="12">
        <f>+E12</f>
        <v>406109.61253936804</v>
      </c>
      <c r="K59" s="307"/>
      <c r="L59" s="309"/>
      <c r="M59" s="311"/>
      <c r="N59" s="305"/>
      <c r="O59" s="12">
        <f>+J12</f>
        <v>484288.20845762413</v>
      </c>
      <c r="P59" s="307"/>
      <c r="Q59" s="309"/>
      <c r="R59" s="311"/>
      <c r="S59" s="305"/>
      <c r="T59" s="12">
        <f>+O12</f>
        <v>416426.79832610243</v>
      </c>
      <c r="U59" s="307"/>
      <c r="V59" s="309"/>
      <c r="W59" s="311"/>
      <c r="X59" s="305"/>
      <c r="Y59" s="12">
        <f>+T12</f>
        <v>733864.73974775011</v>
      </c>
      <c r="Z59" s="307"/>
      <c r="AA59" s="309"/>
      <c r="AB59" s="311"/>
      <c r="AC59" s="305"/>
      <c r="AD59" s="12">
        <f>+Y12</f>
        <v>548635.41173829371</v>
      </c>
      <c r="AE59" s="307"/>
      <c r="AF59" s="309"/>
      <c r="AG59" s="311"/>
      <c r="AH59" s="305"/>
      <c r="AI59" s="12">
        <f>+AD12</f>
        <v>435549.2760954285</v>
      </c>
      <c r="AJ59" s="307"/>
      <c r="AK59" s="309"/>
      <c r="AL59" s="311"/>
      <c r="AM59" s="305"/>
      <c r="AN59" s="12">
        <f>+AI12</f>
        <v>447411.78996418981</v>
      </c>
      <c r="AO59" s="307"/>
      <c r="AP59" s="309"/>
      <c r="AQ59" s="311"/>
      <c r="AR59" s="305"/>
      <c r="AS59" s="12">
        <f>+AN12</f>
        <v>344506.67549986951</v>
      </c>
      <c r="AT59" s="307"/>
      <c r="AU59" s="309"/>
      <c r="AV59" s="311"/>
      <c r="AW59" s="305"/>
      <c r="AX59" s="12">
        <f>+AS12</f>
        <v>419786.34152781614</v>
      </c>
      <c r="AY59" s="307"/>
      <c r="AZ59" s="309"/>
      <c r="BA59" s="311"/>
      <c r="BB59" s="305"/>
      <c r="BC59" s="12">
        <f>+AX12</f>
        <v>378318.34964730439</v>
      </c>
      <c r="BD59" s="307"/>
      <c r="BE59" s="309"/>
      <c r="BF59" s="311"/>
      <c r="BG59" s="305"/>
      <c r="BH59" s="12">
        <f>+BC12</f>
        <v>453482.84130994877</v>
      </c>
      <c r="BI59" s="307"/>
      <c r="BJ59" s="309"/>
      <c r="BK59" s="311"/>
      <c r="BL59" s="305"/>
      <c r="BM59" s="12">
        <f>+BH12</f>
        <v>532887.90511023544</v>
      </c>
      <c r="BN59" s="307"/>
      <c r="BO59" s="309"/>
      <c r="BP59" s="311"/>
      <c r="BQ59" s="305"/>
      <c r="BR59" s="12">
        <f>+BM12</f>
        <v>477457.02486995549</v>
      </c>
      <c r="BS59" s="307"/>
      <c r="BT59" s="309"/>
      <c r="BU59" s="311"/>
      <c r="BV59" s="305"/>
      <c r="BW59" s="12">
        <f>+BR12</f>
        <v>493855.36318422219</v>
      </c>
      <c r="BX59" s="307"/>
      <c r="BY59" s="309"/>
      <c r="BZ59" s="311"/>
      <c r="CA59" s="305"/>
      <c r="CB59" s="12">
        <f>+BW12</f>
        <v>496901.22828476451</v>
      </c>
      <c r="CC59" s="307"/>
      <c r="CD59" s="309"/>
      <c r="CE59" s="311"/>
      <c r="CF59" s="305"/>
      <c r="CG59" s="12">
        <f>+CB12</f>
        <v>488368.73248863994</v>
      </c>
      <c r="CH59" s="307"/>
      <c r="CI59" s="309"/>
      <c r="CJ59" s="311"/>
      <c r="CK59" s="305"/>
      <c r="CL59" s="12">
        <f>+CG12</f>
        <v>541381.79843598977</v>
      </c>
      <c r="CM59" s="307"/>
      <c r="CN59" s="309"/>
      <c r="CO59" s="311"/>
      <c r="CP59" s="305"/>
      <c r="CQ59" s="12">
        <f>+CL12</f>
        <v>527460.97356143082</v>
      </c>
      <c r="CR59" s="307"/>
      <c r="CS59" s="309"/>
      <c r="CT59" s="311"/>
    </row>
    <row r="60" spans="1:98" ht="18" customHeight="1" x14ac:dyDescent="0.2">
      <c r="A60" s="20"/>
      <c r="B60" s="320" t="s">
        <v>163</v>
      </c>
      <c r="C60" s="322" t="s">
        <v>164</v>
      </c>
      <c r="D60" s="330"/>
      <c r="E60" s="331"/>
      <c r="F60" s="331"/>
      <c r="G60" s="331"/>
      <c r="H60" s="332"/>
      <c r="I60" s="304"/>
      <c r="J60" s="10">
        <f>+J15-E15</f>
        <v>2935.9971640354288</v>
      </c>
      <c r="K60" s="306" t="s">
        <v>111</v>
      </c>
      <c r="L60" s="308">
        <v>100</v>
      </c>
      <c r="M60" s="310">
        <f>IF(J61=0,"-",(J60/J61)*L60)</f>
        <v>21.988123490712859</v>
      </c>
      <c r="N60" s="304"/>
      <c r="O60" s="10">
        <f>+O15-J15</f>
        <v>-2072.7352972462777</v>
      </c>
      <c r="P60" s="306" t="s">
        <v>111</v>
      </c>
      <c r="Q60" s="308">
        <v>100</v>
      </c>
      <c r="R60" s="310">
        <f>IF(O61=0,"-",(O60/O61)*Q60)</f>
        <v>-12.725030388140061</v>
      </c>
      <c r="S60" s="304"/>
      <c r="T60" s="10">
        <f>+T15-O15</f>
        <v>16566.365436695014</v>
      </c>
      <c r="U60" s="306" t="s">
        <v>111</v>
      </c>
      <c r="V60" s="308">
        <v>100</v>
      </c>
      <c r="W60" s="310">
        <f>IF(T61=0,"-",(T60/T61)*V60)</f>
        <v>116.53396300103896</v>
      </c>
      <c r="X60" s="304"/>
      <c r="Y60" s="10">
        <f>+Y15-T15</f>
        <v>-14881.690659673512</v>
      </c>
      <c r="Z60" s="306" t="s">
        <v>111</v>
      </c>
      <c r="AA60" s="308">
        <v>100</v>
      </c>
      <c r="AB60" s="310">
        <f>IF(Y61=0,"-",(Y60/Y61)*AA60)</f>
        <v>-48.344995819797596</v>
      </c>
      <c r="AC60" s="304"/>
      <c r="AD60" s="10">
        <f>+AD15-Y15</f>
        <v>-5580.8878881964647</v>
      </c>
      <c r="AE60" s="306" t="s">
        <v>111</v>
      </c>
      <c r="AF60" s="308">
        <v>100</v>
      </c>
      <c r="AG60" s="310">
        <f>IF(AD61=0,"-",(AD60/AD61)*AF60)</f>
        <v>-35.098628904596282</v>
      </c>
      <c r="AH60" s="304"/>
      <c r="AI60" s="10">
        <f>+AI15-AD15</f>
        <v>-6597.892975734092</v>
      </c>
      <c r="AJ60" s="306" t="s">
        <v>111</v>
      </c>
      <c r="AK60" s="308">
        <v>100</v>
      </c>
      <c r="AL60" s="310">
        <f>IF(AI61=0,"-",(AI60/AI61)*AK60)</f>
        <v>-63.934937957539617</v>
      </c>
      <c r="AM60" s="304"/>
      <c r="AN60" s="10">
        <f>+AN15-AI15</f>
        <v>9739.9251291212295</v>
      </c>
      <c r="AO60" s="306" t="s">
        <v>111</v>
      </c>
      <c r="AP60" s="308">
        <v>100</v>
      </c>
      <c r="AQ60" s="310">
        <f>IF(AN61=0,"-",(AN60/AN61)*AP60)</f>
        <v>261.69891153456297</v>
      </c>
      <c r="AR60" s="304"/>
      <c r="AS60" s="10">
        <f>+AS15-AN15</f>
        <v>1712.9808618487878</v>
      </c>
      <c r="AT60" s="306" t="s">
        <v>111</v>
      </c>
      <c r="AU60" s="308">
        <v>100</v>
      </c>
      <c r="AV60" s="310">
        <f>IF(AS61=0,"-",(AS60/AS61)*AU60)</f>
        <v>12.724818803928549</v>
      </c>
      <c r="AW60" s="304"/>
      <c r="AX60" s="10">
        <f>+AX15-AN15</f>
        <v>7273.2463465963647</v>
      </c>
      <c r="AY60" s="306" t="s">
        <v>111</v>
      </c>
      <c r="AZ60" s="308">
        <v>100</v>
      </c>
      <c r="BA60" s="310">
        <f>IF(AX61=0,"-",(AX60/AX61)*AZ60)</f>
        <v>54.02905773091112</v>
      </c>
      <c r="BB60" s="304"/>
      <c r="BC60" s="10">
        <f>+BC15-AX15</f>
        <v>-1053.4690523456738</v>
      </c>
      <c r="BD60" s="306" t="s">
        <v>111</v>
      </c>
      <c r="BE60" s="308">
        <v>100</v>
      </c>
      <c r="BF60" s="310">
        <f>IF(BC61=0,"-",(BC60/BC61)*BE60)</f>
        <v>-5.080637615533643</v>
      </c>
      <c r="BG60" s="304"/>
      <c r="BH60" s="10">
        <f>+BH15-BC15</f>
        <v>8389.2578620531713</v>
      </c>
      <c r="BI60" s="306" t="s">
        <v>111</v>
      </c>
      <c r="BJ60" s="308">
        <v>100</v>
      </c>
      <c r="BK60" s="310">
        <f>IF(BH61=0,"-",(BH60/BH61)*BJ60)</f>
        <v>42.625076236363512</v>
      </c>
      <c r="BL60" s="304"/>
      <c r="BM60" s="10">
        <f>+BM15-BH15</f>
        <v>-5303.1855292360997</v>
      </c>
      <c r="BN60" s="306" t="s">
        <v>111</v>
      </c>
      <c r="BO60" s="308">
        <v>100</v>
      </c>
      <c r="BP60" s="310">
        <f>IF(BM61=0,"-",(BM60/BM61)*BO60)</f>
        <v>-18.892200957841133</v>
      </c>
      <c r="BQ60" s="304"/>
      <c r="BR60" s="10">
        <f>+BR15-BM15</f>
        <v>-3030.351570913379</v>
      </c>
      <c r="BS60" s="306" t="s">
        <v>111</v>
      </c>
      <c r="BT60" s="308">
        <v>100</v>
      </c>
      <c r="BU60" s="310">
        <f>IF(BR61=0,"-",(BR60/BR61)*BT60)</f>
        <v>-13.309941170514513</v>
      </c>
      <c r="BV60" s="304"/>
      <c r="BW60" s="10">
        <f>+BW15-BR15</f>
        <v>6689.383380136107</v>
      </c>
      <c r="BX60" s="306" t="s">
        <v>111</v>
      </c>
      <c r="BY60" s="308">
        <v>100</v>
      </c>
      <c r="BZ60" s="310">
        <f>IF(BW61=0,"-",(BW60/BW61)*BY60)</f>
        <v>33.892211531397912</v>
      </c>
      <c r="CA60" s="304"/>
      <c r="CB60" s="10">
        <f>+CB15-BW15</f>
        <v>-4938.2662269947214</v>
      </c>
      <c r="CC60" s="306" t="s">
        <v>111</v>
      </c>
      <c r="CD60" s="308">
        <v>100</v>
      </c>
      <c r="CE60" s="310">
        <f>IF(CB61=0,"-",(CB60/CB61)*CD60)</f>
        <v>-18.686716892162043</v>
      </c>
      <c r="CF60" s="304"/>
      <c r="CG60" s="10">
        <f>+CG15-CB15</f>
        <v>5967.5162290463268</v>
      </c>
      <c r="CH60" s="306" t="s">
        <v>111</v>
      </c>
      <c r="CI60" s="308">
        <v>100</v>
      </c>
      <c r="CJ60" s="310">
        <f>IF(CG61=0,"-",(CG60/CG61)*CI60)</f>
        <v>27.770942469687316</v>
      </c>
      <c r="CK60" s="304"/>
      <c r="CL60" s="10">
        <f>+CL15-CG15</f>
        <v>-1141.9332492376052</v>
      </c>
      <c r="CM60" s="306" t="s">
        <v>111</v>
      </c>
      <c r="CN60" s="308">
        <v>100</v>
      </c>
      <c r="CO60" s="310">
        <f>IF(CL61=0,"-",(CL60/CL61)*CN60)</f>
        <v>-4.159160022591486</v>
      </c>
      <c r="CP60" s="304"/>
      <c r="CQ60" s="10">
        <f>+CQ15-CL15</f>
        <v>-1597.8177828313419</v>
      </c>
      <c r="CR60" s="306" t="s">
        <v>111</v>
      </c>
      <c r="CS60" s="308">
        <v>100</v>
      </c>
      <c r="CT60" s="310">
        <f>IF(CQ61=0,"-",(CQ60/CQ61)*CS60)</f>
        <v>-6.0721368476580846</v>
      </c>
    </row>
    <row r="61" spans="1:98" ht="18" customHeight="1" x14ac:dyDescent="0.2">
      <c r="A61" s="20"/>
      <c r="B61" s="321"/>
      <c r="C61" s="323"/>
      <c r="D61" s="333"/>
      <c r="E61" s="334"/>
      <c r="F61" s="334"/>
      <c r="G61" s="334"/>
      <c r="H61" s="335"/>
      <c r="I61" s="305"/>
      <c r="J61" s="12">
        <f>+E15</f>
        <v>13352.649967040199</v>
      </c>
      <c r="K61" s="307"/>
      <c r="L61" s="309"/>
      <c r="M61" s="311"/>
      <c r="N61" s="305"/>
      <c r="O61" s="12">
        <f>+J15</f>
        <v>16288.647131075628</v>
      </c>
      <c r="P61" s="307"/>
      <c r="Q61" s="309"/>
      <c r="R61" s="311"/>
      <c r="S61" s="305"/>
      <c r="T61" s="12">
        <f>+O15</f>
        <v>14215.91183382935</v>
      </c>
      <c r="U61" s="307"/>
      <c r="V61" s="309"/>
      <c r="W61" s="311"/>
      <c r="X61" s="305"/>
      <c r="Y61" s="12">
        <f>+T15</f>
        <v>30782.277270524366</v>
      </c>
      <c r="Z61" s="307"/>
      <c r="AA61" s="309"/>
      <c r="AB61" s="311"/>
      <c r="AC61" s="305"/>
      <c r="AD61" s="12">
        <f>+Y15</f>
        <v>15900.586610850854</v>
      </c>
      <c r="AE61" s="307"/>
      <c r="AF61" s="309"/>
      <c r="AG61" s="311"/>
      <c r="AH61" s="305"/>
      <c r="AI61" s="12">
        <f>+AD15</f>
        <v>10319.69872265439</v>
      </c>
      <c r="AJ61" s="307"/>
      <c r="AK61" s="309"/>
      <c r="AL61" s="311"/>
      <c r="AM61" s="305"/>
      <c r="AN61" s="12">
        <f>+AI15</f>
        <v>3721.8057469202972</v>
      </c>
      <c r="AO61" s="307"/>
      <c r="AP61" s="309"/>
      <c r="AQ61" s="311"/>
      <c r="AR61" s="305"/>
      <c r="AS61" s="12">
        <f>+AN15</f>
        <v>13461.730876041527</v>
      </c>
      <c r="AT61" s="307"/>
      <c r="AU61" s="309"/>
      <c r="AV61" s="311"/>
      <c r="AW61" s="305"/>
      <c r="AX61" s="12">
        <f>+AN15</f>
        <v>13461.730876041527</v>
      </c>
      <c r="AY61" s="307"/>
      <c r="AZ61" s="309"/>
      <c r="BA61" s="311"/>
      <c r="BB61" s="305"/>
      <c r="BC61" s="12">
        <f>+AX15</f>
        <v>20734.977222637892</v>
      </c>
      <c r="BD61" s="307"/>
      <c r="BE61" s="309"/>
      <c r="BF61" s="311"/>
      <c r="BG61" s="305"/>
      <c r="BH61" s="12">
        <f>+BC15</f>
        <v>19681.508170292218</v>
      </c>
      <c r="BI61" s="307"/>
      <c r="BJ61" s="309"/>
      <c r="BK61" s="311"/>
      <c r="BL61" s="305"/>
      <c r="BM61" s="12">
        <f>+BH15</f>
        <v>28070.766032345389</v>
      </c>
      <c r="BN61" s="307"/>
      <c r="BO61" s="309"/>
      <c r="BP61" s="311"/>
      <c r="BQ61" s="305"/>
      <c r="BR61" s="12">
        <f>+BM15</f>
        <v>22767.58050310929</v>
      </c>
      <c r="BS61" s="307"/>
      <c r="BT61" s="309"/>
      <c r="BU61" s="311"/>
      <c r="BV61" s="305"/>
      <c r="BW61" s="12">
        <f>+BR15</f>
        <v>19737.228932195911</v>
      </c>
      <c r="BX61" s="307"/>
      <c r="BY61" s="309"/>
      <c r="BZ61" s="311"/>
      <c r="CA61" s="305"/>
      <c r="CB61" s="12">
        <f>+BW15</f>
        <v>26426.612312332018</v>
      </c>
      <c r="CC61" s="307"/>
      <c r="CD61" s="309"/>
      <c r="CE61" s="311"/>
      <c r="CF61" s="305"/>
      <c r="CG61" s="12">
        <f>+CB15</f>
        <v>21488.346085337296</v>
      </c>
      <c r="CH61" s="307"/>
      <c r="CI61" s="309"/>
      <c r="CJ61" s="311"/>
      <c r="CK61" s="305"/>
      <c r="CL61" s="12">
        <f>+CG15</f>
        <v>27455.862314383623</v>
      </c>
      <c r="CM61" s="307"/>
      <c r="CN61" s="309"/>
      <c r="CO61" s="311"/>
      <c r="CP61" s="305"/>
      <c r="CQ61" s="12">
        <f>+CL15</f>
        <v>26313.929065146018</v>
      </c>
      <c r="CR61" s="307"/>
      <c r="CS61" s="309"/>
      <c r="CT61" s="311"/>
    </row>
    <row r="62" spans="1:98" ht="18" customHeight="1" x14ac:dyDescent="0.2">
      <c r="A62" s="20"/>
      <c r="B62" s="320" t="s">
        <v>165</v>
      </c>
      <c r="C62" s="322" t="s">
        <v>149</v>
      </c>
      <c r="D62" s="330"/>
      <c r="E62" s="331"/>
      <c r="F62" s="331"/>
      <c r="G62" s="331"/>
      <c r="H62" s="332"/>
      <c r="I62" s="304"/>
      <c r="J62" s="10">
        <f>+J19-E19</f>
        <v>17885.349676751634</v>
      </c>
      <c r="K62" s="306" t="s">
        <v>111</v>
      </c>
      <c r="L62" s="308">
        <v>100</v>
      </c>
      <c r="M62" s="310">
        <f>IF(J63=0,"-",(J62/J63)*L62)</f>
        <v>25.821289269233144</v>
      </c>
      <c r="N62" s="304"/>
      <c r="O62" s="10">
        <f>+O19-J19</f>
        <v>-13268.679225296306</v>
      </c>
      <c r="P62" s="306" t="s">
        <v>111</v>
      </c>
      <c r="Q62" s="308">
        <v>100</v>
      </c>
      <c r="R62" s="310">
        <f>IF(O63=0,"-",(O62/O63)*Q62)</f>
        <v>-15.224886073380711</v>
      </c>
      <c r="S62" s="304"/>
      <c r="T62" s="10">
        <f>+T19-O19</f>
        <v>97.837534549544216</v>
      </c>
      <c r="U62" s="306" t="s">
        <v>111</v>
      </c>
      <c r="V62" s="308">
        <v>100</v>
      </c>
      <c r="W62" s="310">
        <f>IF(T63=0,"-",(T62/T63)*V62)</f>
        <v>0.1324230159077571</v>
      </c>
      <c r="X62" s="304"/>
      <c r="Y62" s="10">
        <f>+Y19-T19</f>
        <v>8350.1995532387518</v>
      </c>
      <c r="Z62" s="306" t="s">
        <v>111</v>
      </c>
      <c r="AA62" s="308">
        <v>100</v>
      </c>
      <c r="AB62" s="310">
        <f>IF(Y63=0,"-",(Y62/Y63)*AA62)</f>
        <v>11.287041020974179</v>
      </c>
      <c r="AC62" s="304"/>
      <c r="AD62" s="10">
        <f>+AD19-Y19</f>
        <v>-8089.4748419373063</v>
      </c>
      <c r="AE62" s="306" t="s">
        <v>111</v>
      </c>
      <c r="AF62" s="308">
        <v>100</v>
      </c>
      <c r="AG62" s="310">
        <f>IF(AD63=0,"-",(AD62/AD63)*AF62)</f>
        <v>-9.8255977933191705</v>
      </c>
      <c r="AH62" s="304"/>
      <c r="AI62" s="10">
        <f>+AI19-AD19</f>
        <v>2924.4735927201255</v>
      </c>
      <c r="AJ62" s="306" t="s">
        <v>150</v>
      </c>
      <c r="AK62" s="308">
        <v>100</v>
      </c>
      <c r="AL62" s="310">
        <f>IF(AI63=0,"-",(AI62/AI63)*AK62)</f>
        <v>3.9391551452617954</v>
      </c>
      <c r="AM62" s="304"/>
      <c r="AN62" s="10">
        <f>+AN19-AI19</f>
        <v>-8546.8158447133901</v>
      </c>
      <c r="AO62" s="306" t="s">
        <v>150</v>
      </c>
      <c r="AP62" s="308">
        <v>100</v>
      </c>
      <c r="AQ62" s="310">
        <f>IF(AN63=0,"-",(AN62/AN63)*AP62)</f>
        <v>-11.075938762953301</v>
      </c>
      <c r="AR62" s="304"/>
      <c r="AS62" s="10">
        <f>+AS19-AN19</f>
        <v>4437.8287337508955</v>
      </c>
      <c r="AT62" s="306" t="s">
        <v>111</v>
      </c>
      <c r="AU62" s="308">
        <v>100</v>
      </c>
      <c r="AV62" s="310">
        <f>IF(AS63=0,"-",(AS62/AS63)*AU62)</f>
        <v>6.4673661341940356</v>
      </c>
      <c r="AW62" s="304"/>
      <c r="AX62" s="10">
        <f>+AX19-AS19</f>
        <v>-10021.449967387765</v>
      </c>
      <c r="AY62" s="306" t="s">
        <v>111</v>
      </c>
      <c r="AZ62" s="308">
        <v>100</v>
      </c>
      <c r="BA62" s="310">
        <f>IF(AX63=0,"-",(AX62/AX63)*AZ62)</f>
        <v>-13.717373461604781</v>
      </c>
      <c r="BB62" s="304"/>
      <c r="BC62" s="10">
        <f>+BC19-AX19</f>
        <v>15359.111187395152</v>
      </c>
      <c r="BD62" s="306" t="s">
        <v>111</v>
      </c>
      <c r="BE62" s="308">
        <v>100</v>
      </c>
      <c r="BF62" s="310">
        <f>IF(BC63=0,"-",(BC62/BC63)*BE62)</f>
        <v>24.365937584371874</v>
      </c>
      <c r="BG62" s="304"/>
      <c r="BH62" s="10">
        <f>+BH19-BC19</f>
        <v>15319.662334405293</v>
      </c>
      <c r="BI62" s="306" t="s">
        <v>111</v>
      </c>
      <c r="BJ62" s="308">
        <v>100</v>
      </c>
      <c r="BK62" s="310">
        <f>IF(BH63=0,"-",(BH62/BH63)*BJ62)</f>
        <v>19.541810056985355</v>
      </c>
      <c r="BL62" s="304"/>
      <c r="BM62" s="10">
        <f>+BM19-BH19</f>
        <v>-15995.770442111156</v>
      </c>
      <c r="BN62" s="306" t="s">
        <v>111</v>
      </c>
      <c r="BO62" s="308">
        <v>100</v>
      </c>
      <c r="BP62" s="310">
        <f>IF(BM63=0,"-",(BM62/BM63)*BO62)</f>
        <v>-17.06871905521206</v>
      </c>
      <c r="BQ62" s="304"/>
      <c r="BR62" s="10">
        <f>+BR19-BM19</f>
        <v>3195.4500272882287</v>
      </c>
      <c r="BS62" s="306" t="s">
        <v>111</v>
      </c>
      <c r="BT62" s="308">
        <v>100</v>
      </c>
      <c r="BU62" s="310">
        <f>IF(BR63=0,"-",(BR62/BR63)*BT62)</f>
        <v>4.1115864287637258</v>
      </c>
      <c r="BV62" s="304"/>
      <c r="BW62" s="10">
        <f>+BW19-BR19</f>
        <v>-723.12966182806122</v>
      </c>
      <c r="BX62" s="306" t="s">
        <v>111</v>
      </c>
      <c r="BY62" s="308">
        <v>100</v>
      </c>
      <c r="BZ62" s="310">
        <f>IF(BW63=0,"-",(BW62/BW63)*BY62)</f>
        <v>-0.89370565431692961</v>
      </c>
      <c r="CA62" s="304"/>
      <c r="CB62" s="10">
        <f>+CB19-BW19</f>
        <v>-1502.5258969425922</v>
      </c>
      <c r="CC62" s="306" t="s">
        <v>111</v>
      </c>
      <c r="CD62" s="308">
        <v>100</v>
      </c>
      <c r="CE62" s="310">
        <f>IF(CB63=0,"-",(CB62/CB63)*CD62)</f>
        <v>-1.8736956898521457</v>
      </c>
      <c r="CF62" s="304"/>
      <c r="CG62" s="10">
        <f>+CG19-CB19</f>
        <v>10888.775784657293</v>
      </c>
      <c r="CH62" s="306" t="s">
        <v>150</v>
      </c>
      <c r="CI62" s="308">
        <v>100</v>
      </c>
      <c r="CJ62" s="310">
        <f>IF(CG63=0,"-",(CG62/CG63)*CI62)</f>
        <v>13.83791645775948</v>
      </c>
      <c r="CK62" s="304"/>
      <c r="CL62" s="10">
        <f>+CL19-CG19</f>
        <v>-753.82834477751749</v>
      </c>
      <c r="CM62" s="306" t="s">
        <v>111</v>
      </c>
      <c r="CN62" s="308">
        <v>100</v>
      </c>
      <c r="CO62" s="310">
        <f>IF(CL63=0,"-",(CL62/CL63)*CN62)</f>
        <v>-0.84154467095101637</v>
      </c>
      <c r="CP62" s="304"/>
      <c r="CQ62" s="10">
        <f>+CQ19-CL19</f>
        <v>-397.51115099647723</v>
      </c>
      <c r="CR62" s="306" t="s">
        <v>111</v>
      </c>
      <c r="CS62" s="308">
        <v>100</v>
      </c>
      <c r="CT62" s="310">
        <f>IF(CQ63=0,"-",(CQ62/CQ63)*CS62)</f>
        <v>-0.44753218526717398</v>
      </c>
    </row>
    <row r="63" spans="1:98" ht="18" customHeight="1" x14ac:dyDescent="0.2">
      <c r="A63" s="20"/>
      <c r="B63" s="321"/>
      <c r="C63" s="323"/>
      <c r="D63" s="333"/>
      <c r="E63" s="334"/>
      <c r="F63" s="334"/>
      <c r="G63" s="334"/>
      <c r="H63" s="335"/>
      <c r="I63" s="305"/>
      <c r="J63" s="12">
        <f>+E19</f>
        <v>69265.9049293196</v>
      </c>
      <c r="K63" s="307"/>
      <c r="L63" s="309"/>
      <c r="M63" s="311"/>
      <c r="N63" s="305"/>
      <c r="O63" s="12">
        <f>+J19</f>
        <v>87151.254606071234</v>
      </c>
      <c r="P63" s="307"/>
      <c r="Q63" s="309"/>
      <c r="R63" s="311"/>
      <c r="S63" s="305"/>
      <c r="T63" s="12">
        <f>+O19</f>
        <v>73882.575380774928</v>
      </c>
      <c r="U63" s="307"/>
      <c r="V63" s="309"/>
      <c r="W63" s="311"/>
      <c r="X63" s="305"/>
      <c r="Y63" s="12">
        <f>+T19</f>
        <v>73980.412915324472</v>
      </c>
      <c r="Z63" s="307"/>
      <c r="AA63" s="309"/>
      <c r="AB63" s="311"/>
      <c r="AC63" s="305"/>
      <c r="AD63" s="12">
        <f>+Y19</f>
        <v>82330.612468563224</v>
      </c>
      <c r="AE63" s="307"/>
      <c r="AF63" s="309"/>
      <c r="AG63" s="311"/>
      <c r="AH63" s="305"/>
      <c r="AI63" s="12">
        <f>+AD19</f>
        <v>74241.137626625918</v>
      </c>
      <c r="AJ63" s="307"/>
      <c r="AK63" s="309"/>
      <c r="AL63" s="311"/>
      <c r="AM63" s="305"/>
      <c r="AN63" s="12">
        <f>+AI19</f>
        <v>77165.611219346043</v>
      </c>
      <c r="AO63" s="307"/>
      <c r="AP63" s="309"/>
      <c r="AQ63" s="311"/>
      <c r="AR63" s="305"/>
      <c r="AS63" s="12">
        <f>+AN19</f>
        <v>68618.795374632653</v>
      </c>
      <c r="AT63" s="307"/>
      <c r="AU63" s="309"/>
      <c r="AV63" s="311"/>
      <c r="AW63" s="305"/>
      <c r="AX63" s="12">
        <f>+AS19</f>
        <v>73056.624108383548</v>
      </c>
      <c r="AY63" s="307"/>
      <c r="AZ63" s="309"/>
      <c r="BA63" s="311"/>
      <c r="BB63" s="305"/>
      <c r="BC63" s="12">
        <f>+AX19</f>
        <v>63035.174140995783</v>
      </c>
      <c r="BD63" s="307"/>
      <c r="BE63" s="309"/>
      <c r="BF63" s="311"/>
      <c r="BG63" s="305"/>
      <c r="BH63" s="12">
        <f>+BC19</f>
        <v>78394.285328390935</v>
      </c>
      <c r="BI63" s="307"/>
      <c r="BJ63" s="309"/>
      <c r="BK63" s="311"/>
      <c r="BL63" s="305"/>
      <c r="BM63" s="12">
        <f>+BH19</f>
        <v>93713.947662796229</v>
      </c>
      <c r="BN63" s="307"/>
      <c r="BO63" s="309"/>
      <c r="BP63" s="311"/>
      <c r="BQ63" s="305"/>
      <c r="BR63" s="12">
        <f>+BM19</f>
        <v>77718.177220685073</v>
      </c>
      <c r="BS63" s="307"/>
      <c r="BT63" s="309"/>
      <c r="BU63" s="311"/>
      <c r="BV63" s="305"/>
      <c r="BW63" s="12">
        <f>+BR19</f>
        <v>80913.627247973302</v>
      </c>
      <c r="BX63" s="307"/>
      <c r="BY63" s="309"/>
      <c r="BZ63" s="311"/>
      <c r="CA63" s="305"/>
      <c r="CB63" s="12">
        <f>+BW19</f>
        <v>80190.49758614524</v>
      </c>
      <c r="CC63" s="307"/>
      <c r="CD63" s="309"/>
      <c r="CE63" s="311"/>
      <c r="CF63" s="305"/>
      <c r="CG63" s="12">
        <f>+CB19</f>
        <v>78687.971689202648</v>
      </c>
      <c r="CH63" s="307"/>
      <c r="CI63" s="309"/>
      <c r="CJ63" s="311"/>
      <c r="CK63" s="305"/>
      <c r="CL63" s="12">
        <f>+CG19</f>
        <v>89576.747473859941</v>
      </c>
      <c r="CM63" s="307"/>
      <c r="CN63" s="309"/>
      <c r="CO63" s="311"/>
      <c r="CP63" s="305"/>
      <c r="CQ63" s="12">
        <f>+CL19</f>
        <v>88822.919129082424</v>
      </c>
      <c r="CR63" s="307"/>
      <c r="CS63" s="309"/>
      <c r="CT63" s="311"/>
    </row>
    <row r="64" spans="1:98" ht="18" customHeight="1" x14ac:dyDescent="0.2">
      <c r="A64" s="20"/>
      <c r="B64" s="320" t="s">
        <v>166</v>
      </c>
      <c r="C64" s="322" t="s">
        <v>167</v>
      </c>
      <c r="D64" s="330"/>
      <c r="E64" s="331"/>
      <c r="F64" s="331"/>
      <c r="G64" s="331"/>
      <c r="H64" s="332"/>
      <c r="I64" s="304"/>
      <c r="J64" s="237">
        <f>+BS!L5-BS!K5</f>
        <v>1.7278933609869291</v>
      </c>
      <c r="K64" s="306" t="s">
        <v>111</v>
      </c>
      <c r="L64" s="308">
        <v>100</v>
      </c>
      <c r="M64" s="310">
        <f>IF(J65=0,"-",(J64/J65)*L64)</f>
        <v>6.3673391986360501</v>
      </c>
      <c r="N64" s="304"/>
      <c r="O64" s="237">
        <f>+BS!M5-BS!L5</f>
        <v>-1.6194879460563456</v>
      </c>
      <c r="P64" s="306" t="s">
        <v>111</v>
      </c>
      <c r="Q64" s="308">
        <v>100</v>
      </c>
      <c r="R64" s="310">
        <f>IF(O65=0,"-",(O64/O65)*Q64)</f>
        <v>-5.6106150787690661</v>
      </c>
      <c r="S64" s="304"/>
      <c r="T64" s="237">
        <f>+BS!N5-BS!M5</f>
        <v>17.269504116648186</v>
      </c>
      <c r="U64" s="306" t="s">
        <v>111</v>
      </c>
      <c r="V64" s="308">
        <v>100</v>
      </c>
      <c r="W64" s="310">
        <f>IF(T65=0,"-",(T64/T65)*V64)</f>
        <v>63.385433646727698</v>
      </c>
      <c r="X64" s="304"/>
      <c r="Y64" s="237">
        <f>+BS!O5-BS!N5</f>
        <v>-12.655177461996903</v>
      </c>
      <c r="Z64" s="306" t="s">
        <v>111</v>
      </c>
      <c r="AA64" s="308">
        <v>100</v>
      </c>
      <c r="AB64" s="310">
        <f>IF(Y65=0,"-",(Y64/Y65)*AA64)</f>
        <v>-28.429191117663123</v>
      </c>
      <c r="AC64" s="304"/>
      <c r="AD64" s="237">
        <f>+BS!P5-BS!O5</f>
        <v>-6.7459873420714587</v>
      </c>
      <c r="AE64" s="306" t="s">
        <v>111</v>
      </c>
      <c r="AF64" s="308">
        <v>100</v>
      </c>
      <c r="AG64" s="310">
        <f>IF(AD65=0,"-",(AD64/AD65)*AF64)</f>
        <v>-21.174143883123339</v>
      </c>
      <c r="AH64" s="304"/>
      <c r="AI64" s="237">
        <f>+BS!Q5-BS!P5</f>
        <v>4.8245812041454883</v>
      </c>
      <c r="AJ64" s="306" t="s">
        <v>168</v>
      </c>
      <c r="AK64" s="308">
        <v>100</v>
      </c>
      <c r="AL64" s="310">
        <f>IF(AI65=0,"-",(AI64/AI65)*AK64)</f>
        <v>19.211057072857187</v>
      </c>
      <c r="AM64" s="304"/>
      <c r="AN64" s="237">
        <f>+BS!R5-BS!Q5</f>
        <v>-6.33943846015665</v>
      </c>
      <c r="AO64" s="306" t="s">
        <v>168</v>
      </c>
      <c r="AP64" s="308">
        <v>100</v>
      </c>
      <c r="AQ64" s="310">
        <f>IF(AN65=0,"-",(AN64/AN65)*AP64)</f>
        <v>-21.175120624675543</v>
      </c>
      <c r="AR64" s="304"/>
      <c r="AS64" s="237">
        <f>+BS!S5-BS!R5</f>
        <v>0.50804890512102574</v>
      </c>
      <c r="AT64" s="306" t="s">
        <v>111</v>
      </c>
      <c r="AU64" s="308">
        <v>100</v>
      </c>
      <c r="AV64" s="310">
        <f>IF(AS65=0,"-",(AS64/AS65)*AU64)</f>
        <v>2.1528675296750746</v>
      </c>
      <c r="AW64" s="304"/>
      <c r="AX64" s="237">
        <f>+BS!T5-BS!S5</f>
        <v>3.7191013050756965</v>
      </c>
      <c r="AY64" s="306" t="s">
        <v>111</v>
      </c>
      <c r="AZ64" s="308">
        <v>100</v>
      </c>
      <c r="BA64" s="310">
        <f>IF(AX65=0,"-",(AX64/AX65)*AZ64)</f>
        <v>15.427630686059384</v>
      </c>
      <c r="BB64" s="304"/>
      <c r="BC64" s="237">
        <f>+BS!U5-BS!T5</f>
        <v>6.4983387264380355E-2</v>
      </c>
      <c r="BD64" s="306" t="s">
        <v>111</v>
      </c>
      <c r="BE64" s="308">
        <v>100</v>
      </c>
      <c r="BF64" s="310">
        <f>IF(BC65=0,"-",(BC64/BC65)*BE64)</f>
        <v>0.2335359743428988</v>
      </c>
      <c r="BG64" s="304"/>
      <c r="BH64" s="237">
        <f>+BS!V5-BS!U5</f>
        <v>2.0250929124776356</v>
      </c>
      <c r="BI64" s="306" t="s">
        <v>111</v>
      </c>
      <c r="BJ64" s="308">
        <v>100</v>
      </c>
      <c r="BK64" s="310">
        <f>IF(BH65=0,"-",(BH64/BH65)*BJ64)</f>
        <v>7.260781149880537</v>
      </c>
      <c r="BL64" s="304"/>
      <c r="BM64" s="237">
        <f>+BS!W5-BS!V5</f>
        <v>-0.90380498067565185</v>
      </c>
      <c r="BN64" s="306" t="s">
        <v>111</v>
      </c>
      <c r="BO64" s="308">
        <v>100</v>
      </c>
      <c r="BP64" s="310">
        <f>IF(BM65=0,"-",(BM64/BM65)*BO64)</f>
        <v>-3.0211491604867198</v>
      </c>
      <c r="BQ64" s="304"/>
      <c r="BR64" s="237">
        <f>+BS!X5-BS!W5</f>
        <v>-0.84230089941392805</v>
      </c>
      <c r="BS64" s="306" t="s">
        <v>111</v>
      </c>
      <c r="BT64" s="308">
        <v>100</v>
      </c>
      <c r="BU64" s="310">
        <f>IF(BR65=0,"-",(BR64/BR65)*BT64)</f>
        <v>-2.9032716170171047</v>
      </c>
      <c r="BV64" s="304"/>
      <c r="BW64" s="237">
        <f>+BS!Y5-BS!X5</f>
        <v>-1.080610282692426</v>
      </c>
      <c r="BX64" s="306" t="s">
        <v>111</v>
      </c>
      <c r="BY64" s="308">
        <v>100</v>
      </c>
      <c r="BZ64" s="310">
        <f>IF(BW65=0,"-",(BW64/BW65)*BY64)</f>
        <v>-3.8360556852748204</v>
      </c>
      <c r="CA64" s="304"/>
      <c r="CB64" s="237">
        <f>+BS!Z5-BS!Y5</f>
        <v>1.8118355057486752</v>
      </c>
      <c r="CC64" s="306" t="s">
        <v>111</v>
      </c>
      <c r="CD64" s="308">
        <v>100</v>
      </c>
      <c r="CE64" s="310">
        <f>IF(CB65=0,"-",(CB64/CB65)*CD64)</f>
        <v>6.688401026665729</v>
      </c>
      <c r="CF64" s="304"/>
      <c r="CG64" s="237">
        <f>+BS!AA5-BS!Z5</f>
        <v>-0.20111457699925595</v>
      </c>
      <c r="CH64" s="306" t="s">
        <v>169</v>
      </c>
      <c r="CI64" s="308">
        <v>100</v>
      </c>
      <c r="CJ64" s="310">
        <f>IF(CG65=0,"-",(CG64/CG65)*CI64)</f>
        <v>-0.69587283378679066</v>
      </c>
      <c r="CK64" s="304"/>
      <c r="CL64" s="237">
        <f>+BS!AB5-BS!AA5</f>
        <v>-0.92803595380494031</v>
      </c>
      <c r="CM64" s="306" t="s">
        <v>111</v>
      </c>
      <c r="CN64" s="308">
        <v>100</v>
      </c>
      <c r="CO64" s="310">
        <f>IF(CL65=0,"-",(CL64/CL65)*CN64)</f>
        <v>-3.2335816817153225</v>
      </c>
      <c r="CP64" s="304"/>
      <c r="CQ64" s="237">
        <f>+BS!AC5-BS!AB5</f>
        <v>2.9328569188204909</v>
      </c>
      <c r="CR64" s="306" t="s">
        <v>111</v>
      </c>
      <c r="CS64" s="308">
        <v>100</v>
      </c>
      <c r="CT64" s="310">
        <f>IF(CQ65=0,"-",(CQ64/CQ65)*CS64)</f>
        <v>10.560518547757649</v>
      </c>
    </row>
    <row r="65" spans="1:98" ht="18" customHeight="1" x14ac:dyDescent="0.2">
      <c r="A65" s="20"/>
      <c r="B65" s="321"/>
      <c r="C65" s="323"/>
      <c r="D65" s="333"/>
      <c r="E65" s="334"/>
      <c r="F65" s="334"/>
      <c r="G65" s="334"/>
      <c r="H65" s="335"/>
      <c r="I65" s="305"/>
      <c r="J65" s="238">
        <f>+BS!K5</f>
        <v>27.136819746575799</v>
      </c>
      <c r="K65" s="307"/>
      <c r="L65" s="309"/>
      <c r="M65" s="311"/>
      <c r="N65" s="305"/>
      <c r="O65" s="238">
        <f>+BS!L5</f>
        <v>28.864713107562729</v>
      </c>
      <c r="P65" s="307"/>
      <c r="Q65" s="309"/>
      <c r="R65" s="311"/>
      <c r="S65" s="305"/>
      <c r="T65" s="238">
        <f>+BS!M5</f>
        <v>27.245225161506383</v>
      </c>
      <c r="U65" s="307"/>
      <c r="V65" s="309"/>
      <c r="W65" s="311"/>
      <c r="X65" s="305"/>
      <c r="Y65" s="238">
        <f>+BS!N5</f>
        <v>44.514729278154569</v>
      </c>
      <c r="Z65" s="307"/>
      <c r="AA65" s="309"/>
      <c r="AB65" s="311"/>
      <c r="AC65" s="305"/>
      <c r="AD65" s="238">
        <f>+BS!O5</f>
        <v>31.859551816157666</v>
      </c>
      <c r="AE65" s="307"/>
      <c r="AF65" s="309"/>
      <c r="AG65" s="311"/>
      <c r="AH65" s="305"/>
      <c r="AI65" s="238">
        <f>+BS!P5</f>
        <v>25.113564474086207</v>
      </c>
      <c r="AJ65" s="307"/>
      <c r="AK65" s="309"/>
      <c r="AL65" s="311"/>
      <c r="AM65" s="305"/>
      <c r="AN65" s="238">
        <f>+BS!Q5</f>
        <v>29.938145678231695</v>
      </c>
      <c r="AO65" s="307"/>
      <c r="AP65" s="309"/>
      <c r="AQ65" s="311"/>
      <c r="AR65" s="305"/>
      <c r="AS65" s="238">
        <f>+BS!R5</f>
        <v>23.598707218075045</v>
      </c>
      <c r="AT65" s="307"/>
      <c r="AU65" s="309"/>
      <c r="AV65" s="311"/>
      <c r="AW65" s="305"/>
      <c r="AX65" s="238">
        <f>+BS!S5</f>
        <v>24.106756123196071</v>
      </c>
      <c r="AY65" s="307"/>
      <c r="AZ65" s="309"/>
      <c r="BA65" s="311"/>
      <c r="BB65" s="305"/>
      <c r="BC65" s="238">
        <f>+BS!T5</f>
        <v>27.825857428271767</v>
      </c>
      <c r="BD65" s="307"/>
      <c r="BE65" s="309"/>
      <c r="BF65" s="311"/>
      <c r="BG65" s="305"/>
      <c r="BH65" s="238">
        <f>+BS!U5</f>
        <v>27.890840815536148</v>
      </c>
      <c r="BI65" s="307"/>
      <c r="BJ65" s="309"/>
      <c r="BK65" s="311"/>
      <c r="BL65" s="305"/>
      <c r="BM65" s="238">
        <f>+BS!V5</f>
        <v>29.915933728013783</v>
      </c>
      <c r="BN65" s="307"/>
      <c r="BO65" s="309"/>
      <c r="BP65" s="311"/>
      <c r="BQ65" s="305"/>
      <c r="BR65" s="238">
        <f>+BS!W5</f>
        <v>29.012128747338132</v>
      </c>
      <c r="BS65" s="307"/>
      <c r="BT65" s="309"/>
      <c r="BU65" s="311"/>
      <c r="BV65" s="305"/>
      <c r="BW65" s="238">
        <f>+BS!X5</f>
        <v>28.169827847924203</v>
      </c>
      <c r="BX65" s="307"/>
      <c r="BY65" s="309"/>
      <c r="BZ65" s="311"/>
      <c r="CA65" s="305"/>
      <c r="CB65" s="238">
        <f>+BS!Y5</f>
        <v>27.089217565231777</v>
      </c>
      <c r="CC65" s="307"/>
      <c r="CD65" s="309"/>
      <c r="CE65" s="311"/>
      <c r="CF65" s="305"/>
      <c r="CG65" s="238">
        <f>+BS!Z5</f>
        <v>28.901053070980453</v>
      </c>
      <c r="CH65" s="307"/>
      <c r="CI65" s="309"/>
      <c r="CJ65" s="311"/>
      <c r="CK65" s="305"/>
      <c r="CL65" s="238">
        <f>+BS!AA5</f>
        <v>28.699938493981197</v>
      </c>
      <c r="CM65" s="307"/>
      <c r="CN65" s="309"/>
      <c r="CO65" s="311"/>
      <c r="CP65" s="305"/>
      <c r="CQ65" s="238">
        <f>+BS!AB5</f>
        <v>27.771902540176256</v>
      </c>
      <c r="CR65" s="307"/>
      <c r="CS65" s="309"/>
      <c r="CT65" s="311"/>
    </row>
    <row r="66" spans="1:98" ht="18" customHeight="1" x14ac:dyDescent="0.2">
      <c r="A66" s="20"/>
      <c r="B66" s="320" t="s">
        <v>303</v>
      </c>
      <c r="C66" s="322" t="s">
        <v>149</v>
      </c>
      <c r="D66" s="330"/>
      <c r="E66" s="331"/>
      <c r="F66" s="331"/>
      <c r="G66" s="331"/>
      <c r="H66" s="332"/>
      <c r="I66" s="304"/>
      <c r="J66" s="10">
        <f>+J7-E7</f>
        <v>65146.166257501813</v>
      </c>
      <c r="K66" s="306" t="s">
        <v>111</v>
      </c>
      <c r="L66" s="308">
        <v>100</v>
      </c>
      <c r="M66" s="310">
        <f>IF(J67=0,"-",(J66/J67)*L66)</f>
        <v>19.463157533514597</v>
      </c>
      <c r="N66" s="304"/>
      <c r="O66" s="10">
        <f>+O7-J7</f>
        <v>-80009.048581229872</v>
      </c>
      <c r="P66" s="306" t="s">
        <v>111</v>
      </c>
      <c r="Q66" s="308">
        <v>100</v>
      </c>
      <c r="R66" s="310">
        <f>IF(O67=0,"-",(O66/O67)*Q66)</f>
        <v>-20.009191982590437</v>
      </c>
      <c r="S66" s="304"/>
      <c r="T66" s="10">
        <f>+T7-O7</f>
        <v>119206.80362667987</v>
      </c>
      <c r="U66" s="306" t="s">
        <v>111</v>
      </c>
      <c r="V66" s="308">
        <v>100</v>
      </c>
      <c r="W66" s="310">
        <f>IF(T67=0,"-",(T66/T67)*V66)</f>
        <v>37.269314468313219</v>
      </c>
      <c r="X66" s="304"/>
      <c r="Y66" s="10">
        <f>+Y7-T7</f>
        <v>-27539.462087583495</v>
      </c>
      <c r="Z66" s="306" t="s">
        <v>111</v>
      </c>
      <c r="AA66" s="308">
        <v>100</v>
      </c>
      <c r="AB66" s="310">
        <f>IF(Y67=0,"-",(Y66/Y67)*AA66)</f>
        <v>-6.2723798315978296</v>
      </c>
      <c r="AC66" s="304"/>
      <c r="AD66" s="10">
        <f>+AD7-Y7</f>
        <v>-41530.573312098975</v>
      </c>
      <c r="AE66" s="306" t="s">
        <v>111</v>
      </c>
      <c r="AF66" s="308">
        <v>100</v>
      </c>
      <c r="AG66" s="310">
        <f>IF(AD67=0,"-",(AD66/AD67)*AF66)</f>
        <v>-10.091999792189519</v>
      </c>
      <c r="AH66" s="304"/>
      <c r="AI66" s="10">
        <f>+AI7-AD7</f>
        <v>76580.556568769156</v>
      </c>
      <c r="AJ66" s="306" t="s">
        <v>150</v>
      </c>
      <c r="AK66" s="308">
        <v>100</v>
      </c>
      <c r="AL66" s="310">
        <f>IF(AI67=0,"-",(AI66/AI67)*AK66)</f>
        <v>20.698052631958237</v>
      </c>
      <c r="AM66" s="304"/>
      <c r="AN66" s="10">
        <f>+AN7-AI7</f>
        <v>-116077.21325152525</v>
      </c>
      <c r="AO66" s="306" t="s">
        <v>150</v>
      </c>
      <c r="AP66" s="308">
        <v>100</v>
      </c>
      <c r="AQ66" s="310">
        <f>IF(AN67=0,"-",(AN66/AN67)*AP66)</f>
        <v>-25.993076117454212</v>
      </c>
      <c r="AR66" s="304"/>
      <c r="AS66" s="10">
        <f>+AS7-AN7</f>
        <v>17585.836276958755</v>
      </c>
      <c r="AT66" s="306" t="s">
        <v>111</v>
      </c>
      <c r="AU66" s="308">
        <v>100</v>
      </c>
      <c r="AV66" s="310">
        <f>IF(AS67=0,"-",(AS66/AS67)*AU66)</f>
        <v>5.3210994762785804</v>
      </c>
      <c r="AW66" s="304"/>
      <c r="AX66" s="10">
        <f>+AX7-AS7</f>
        <v>-43536.242733729887</v>
      </c>
      <c r="AY66" s="306" t="s">
        <v>111</v>
      </c>
      <c r="AZ66" s="308">
        <v>100</v>
      </c>
      <c r="BA66" s="310">
        <f>IF(AX67=0,"-",(AX66/AX67)*AZ66)</f>
        <v>-12.507597991085269</v>
      </c>
      <c r="BB66" s="304"/>
      <c r="BC66" s="10">
        <f>+BC7-AX7</f>
        <v>143473.83993176097</v>
      </c>
      <c r="BD66" s="306" t="s">
        <v>111</v>
      </c>
      <c r="BE66" s="308">
        <v>100</v>
      </c>
      <c r="BF66" s="310">
        <f>IF(BC67=0,"-",(BC66/BC67)*BE66)</f>
        <v>47.111328415169282</v>
      </c>
      <c r="BG66" s="304"/>
      <c r="BH66" s="10">
        <f>+BH7-BC7</f>
        <v>69137.47369240789</v>
      </c>
      <c r="BI66" s="306" t="s">
        <v>111</v>
      </c>
      <c r="BJ66" s="308">
        <v>100</v>
      </c>
      <c r="BK66" s="310">
        <f>IF(BH67=0,"-",(BH66/BH67)*BJ66)</f>
        <v>15.431921928313249</v>
      </c>
      <c r="BL66" s="304"/>
      <c r="BM66" s="10">
        <f>+BM7-BH7</f>
        <v>-115415.82982094464</v>
      </c>
      <c r="BN66" s="306" t="s">
        <v>111</v>
      </c>
      <c r="BO66" s="308">
        <v>100</v>
      </c>
      <c r="BP66" s="310">
        <f>IF(BM67=0,"-",(BM66/BM67)*BO66)</f>
        <v>-22.317521561554855</v>
      </c>
      <c r="BQ66" s="304"/>
      <c r="BR66" s="10">
        <f>+BR7-BM7</f>
        <v>80351.950895479589</v>
      </c>
      <c r="BS66" s="306" t="s">
        <v>111</v>
      </c>
      <c r="BT66" s="308">
        <v>100</v>
      </c>
      <c r="BU66" s="310">
        <f>IF(BR67=0,"-",(BR66/BR67)*BT66)</f>
        <v>20.001102572600267</v>
      </c>
      <c r="BV66" s="304"/>
      <c r="BW66" s="10">
        <f>+BW7-BR7</f>
        <v>-58518.832071858982</v>
      </c>
      <c r="BX66" s="306" t="s">
        <v>111</v>
      </c>
      <c r="BY66" s="308">
        <v>100</v>
      </c>
      <c r="BZ66" s="310">
        <f>IF(BW67=0,"-",(BW66/BW67)*BY66)</f>
        <v>-12.1385811173708</v>
      </c>
      <c r="CA66" s="304"/>
      <c r="CB66" s="10">
        <f>+CB7-BW7</f>
        <v>26549.440508616739</v>
      </c>
      <c r="CC66" s="306" t="s">
        <v>111</v>
      </c>
      <c r="CD66" s="308">
        <v>100</v>
      </c>
      <c r="CE66" s="310">
        <f>IF(CB67=0,"-",(CB66/CB67)*CD66)</f>
        <v>6.2680064686616879</v>
      </c>
      <c r="CF66" s="304"/>
      <c r="CG66" s="10">
        <f>+CG7-CB7</f>
        <v>53505.966726605664</v>
      </c>
      <c r="CH66" s="306" t="s">
        <v>170</v>
      </c>
      <c r="CI66" s="308">
        <v>100</v>
      </c>
      <c r="CJ66" s="310">
        <f>IF(CG67=0,"-",(CG66/CG67)*CI66)</f>
        <v>11.887040550713266</v>
      </c>
      <c r="CK66" s="304"/>
      <c r="CL66" s="10">
        <f>+CL7-CG7</f>
        <v>30602.849168358312</v>
      </c>
      <c r="CM66" s="306" t="s">
        <v>111</v>
      </c>
      <c r="CN66" s="308">
        <v>100</v>
      </c>
      <c r="CO66" s="310">
        <f>IF(CL67=0,"-",(CL66/CL67)*CN66)</f>
        <v>6.0765014254323688</v>
      </c>
      <c r="CP66" s="304"/>
      <c r="CQ66" s="10">
        <f>+CQ7-CL7</f>
        <v>-745.98271749296691</v>
      </c>
      <c r="CR66" s="306" t="s">
        <v>111</v>
      </c>
      <c r="CS66" s="308">
        <v>100</v>
      </c>
      <c r="CT66" s="310">
        <f>IF(CQ67=0,"-",(CQ66/CQ67)*CS66)</f>
        <v>-0.13963726079722036</v>
      </c>
    </row>
    <row r="67" spans="1:98" ht="18" customHeight="1" x14ac:dyDescent="0.2">
      <c r="A67" s="22"/>
      <c r="B67" s="321"/>
      <c r="C67" s="323"/>
      <c r="D67" s="333"/>
      <c r="E67" s="334"/>
      <c r="F67" s="334"/>
      <c r="G67" s="334"/>
      <c r="H67" s="335"/>
      <c r="I67" s="305"/>
      <c r="J67" s="12">
        <f>+E7</f>
        <v>334715.30066651996</v>
      </c>
      <c r="K67" s="307"/>
      <c r="L67" s="309"/>
      <c r="M67" s="311"/>
      <c r="N67" s="305"/>
      <c r="O67" s="12">
        <f>+J7</f>
        <v>399861.46692402178</v>
      </c>
      <c r="P67" s="307"/>
      <c r="Q67" s="309"/>
      <c r="R67" s="311"/>
      <c r="S67" s="305"/>
      <c r="T67" s="12">
        <f>+O7</f>
        <v>319852.41834279191</v>
      </c>
      <c r="U67" s="307"/>
      <c r="V67" s="309"/>
      <c r="W67" s="311"/>
      <c r="X67" s="305"/>
      <c r="Y67" s="12">
        <f>+T7</f>
        <v>439059.22196947178</v>
      </c>
      <c r="Z67" s="307"/>
      <c r="AA67" s="309"/>
      <c r="AB67" s="311"/>
      <c r="AC67" s="305"/>
      <c r="AD67" s="12">
        <f>+Y7</f>
        <v>411519.75988188828</v>
      </c>
      <c r="AE67" s="307"/>
      <c r="AF67" s="309"/>
      <c r="AG67" s="311"/>
      <c r="AH67" s="305"/>
      <c r="AI67" s="12">
        <f>+AD7</f>
        <v>369989.18656978931</v>
      </c>
      <c r="AJ67" s="307"/>
      <c r="AK67" s="309"/>
      <c r="AL67" s="311"/>
      <c r="AM67" s="305"/>
      <c r="AN67" s="12">
        <f>+AI7</f>
        <v>446569.74313855846</v>
      </c>
      <c r="AO67" s="307"/>
      <c r="AP67" s="309"/>
      <c r="AQ67" s="311"/>
      <c r="AR67" s="305"/>
      <c r="AS67" s="12">
        <f>+AN7</f>
        <v>330492.52988703322</v>
      </c>
      <c r="AT67" s="307"/>
      <c r="AU67" s="309"/>
      <c r="AV67" s="311"/>
      <c r="AW67" s="305"/>
      <c r="AX67" s="12">
        <f>+AS7</f>
        <v>348078.36616399197</v>
      </c>
      <c r="AY67" s="307"/>
      <c r="AZ67" s="309"/>
      <c r="BA67" s="311"/>
      <c r="BB67" s="305"/>
      <c r="BC67" s="12">
        <f>+AX7</f>
        <v>304542.12343026209</v>
      </c>
      <c r="BD67" s="307"/>
      <c r="BE67" s="309"/>
      <c r="BF67" s="311"/>
      <c r="BG67" s="305"/>
      <c r="BH67" s="12">
        <f>+BC7</f>
        <v>448015.96336202306</v>
      </c>
      <c r="BI67" s="307"/>
      <c r="BJ67" s="309"/>
      <c r="BK67" s="311"/>
      <c r="BL67" s="305"/>
      <c r="BM67" s="12">
        <f>+BH7</f>
        <v>517153.43705443095</v>
      </c>
      <c r="BN67" s="307"/>
      <c r="BO67" s="309"/>
      <c r="BP67" s="311"/>
      <c r="BQ67" s="305"/>
      <c r="BR67" s="12">
        <f>+BM7</f>
        <v>401737.60723348631</v>
      </c>
      <c r="BS67" s="307"/>
      <c r="BT67" s="309"/>
      <c r="BU67" s="311"/>
      <c r="BV67" s="305"/>
      <c r="BW67" s="12">
        <f>+BR7</f>
        <v>482089.5581289659</v>
      </c>
      <c r="BX67" s="307"/>
      <c r="BY67" s="309"/>
      <c r="BZ67" s="311"/>
      <c r="CA67" s="305"/>
      <c r="CB67" s="12">
        <f>+BW7</f>
        <v>423570.72605710692</v>
      </c>
      <c r="CC67" s="307"/>
      <c r="CD67" s="309"/>
      <c r="CE67" s="311"/>
      <c r="CF67" s="305"/>
      <c r="CG67" s="12">
        <f>+CB7</f>
        <v>450120.16656572366</v>
      </c>
      <c r="CH67" s="307"/>
      <c r="CI67" s="309"/>
      <c r="CJ67" s="311"/>
      <c r="CK67" s="305"/>
      <c r="CL67" s="12">
        <f>+CG7</f>
        <v>503626.13329232932</v>
      </c>
      <c r="CM67" s="307"/>
      <c r="CN67" s="309"/>
      <c r="CO67" s="311"/>
      <c r="CP67" s="305"/>
      <c r="CQ67" s="12">
        <f>+CL7</f>
        <v>534228.98246068764</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173567.75507214485</v>
      </c>
      <c r="F69" s="306" t="s">
        <v>118</v>
      </c>
      <c r="G69" s="308">
        <v>100</v>
      </c>
      <c r="H69" s="310">
        <f>IF(E70=0,"-",(E69/E70)*G69)</f>
        <v>42.739139806822301</v>
      </c>
      <c r="I69" s="304"/>
      <c r="J69" s="24">
        <f>+PL!L47</f>
        <v>202148.53483067203</v>
      </c>
      <c r="K69" s="306" t="s">
        <v>111</v>
      </c>
      <c r="L69" s="308">
        <v>100</v>
      </c>
      <c r="M69" s="310">
        <f>IF(J70=0,"-",(J69/J70)*L69)</f>
        <v>41.74137038654748</v>
      </c>
      <c r="N69" s="304"/>
      <c r="O69" s="24">
        <f>+PL!M47</f>
        <v>186436.90835870069</v>
      </c>
      <c r="P69" s="306" t="s">
        <v>111</v>
      </c>
      <c r="Q69" s="308">
        <v>100</v>
      </c>
      <c r="R69" s="310">
        <f>IF(O70=0,"-",(O69/O70)*Q69)</f>
        <v>44.770631743229593</v>
      </c>
      <c r="S69" s="304"/>
      <c r="T69" s="24">
        <f>+PL!N47</f>
        <v>266912.49117635679</v>
      </c>
      <c r="U69" s="306" t="s">
        <v>111</v>
      </c>
      <c r="V69" s="308">
        <v>100</v>
      </c>
      <c r="W69" s="310">
        <f>IF(T70=0,"-",(T69/T70)*V69)</f>
        <v>36.370801963874449</v>
      </c>
      <c r="X69" s="304"/>
      <c r="Y69" s="24">
        <f>+PL!O47</f>
        <v>227675.12710476006</v>
      </c>
      <c r="Z69" s="306" t="s">
        <v>111</v>
      </c>
      <c r="AA69" s="308">
        <v>100</v>
      </c>
      <c r="AB69" s="310">
        <f>IF(Y70=0,"-",(Y69/Y70)*AA69)</f>
        <v>41.49843816741528</v>
      </c>
      <c r="AC69" s="304"/>
      <c r="AD69" s="24">
        <f>+PL!P47</f>
        <v>188601.51866878817</v>
      </c>
      <c r="AE69" s="306" t="s">
        <v>111</v>
      </c>
      <c r="AF69" s="308">
        <v>100</v>
      </c>
      <c r="AG69" s="310">
        <f>IF(AD70=0,"-",(AD69/AD70)*AF69)</f>
        <v>43.301993372494032</v>
      </c>
      <c r="AH69" s="304"/>
      <c r="AI69" s="24">
        <f>+PL!Q47</f>
        <v>223228.91212818446</v>
      </c>
      <c r="AJ69" s="306" t="s">
        <v>118</v>
      </c>
      <c r="AK69" s="308">
        <v>100</v>
      </c>
      <c r="AL69" s="310">
        <f>IF(AI70=0,"-",(AI69/AI70)*AK69)</f>
        <v>49.893390638197396</v>
      </c>
      <c r="AM69" s="304"/>
      <c r="AN69" s="24">
        <f>+PL!R47</f>
        <v>165479.44955814275</v>
      </c>
      <c r="AO69" s="306" t="s">
        <v>173</v>
      </c>
      <c r="AP69" s="308">
        <v>100</v>
      </c>
      <c r="AQ69" s="310">
        <f>IF(AN70=0,"-",(AN69/AN70)*AP69)</f>
        <v>48.033742544476596</v>
      </c>
      <c r="AR69" s="304"/>
      <c r="AS69" s="24">
        <f>+PL!S47</f>
        <v>172696.73103998747</v>
      </c>
      <c r="AT69" s="306" t="s">
        <v>111</v>
      </c>
      <c r="AU69" s="308">
        <v>100</v>
      </c>
      <c r="AV69" s="310">
        <f>IF(AS70=0,"-",(AS69/AS70)*AU69)</f>
        <v>41.139197242925093</v>
      </c>
      <c r="AW69" s="304"/>
      <c r="AX69" s="24">
        <f>+PL!T47</f>
        <v>181773.09185256076</v>
      </c>
      <c r="AY69" s="306" t="s">
        <v>111</v>
      </c>
      <c r="AZ69" s="308">
        <v>100</v>
      </c>
      <c r="BA69" s="310">
        <f>IF(AX70=0,"-",(AX69/AX70)*AZ69)</f>
        <v>48.047654051679686</v>
      </c>
      <c r="BB69" s="304"/>
      <c r="BC69" s="24">
        <f>+PL!U47</f>
        <v>236173.23041896272</v>
      </c>
      <c r="BD69" s="306" t="s">
        <v>111</v>
      </c>
      <c r="BE69" s="308">
        <v>100</v>
      </c>
      <c r="BF69" s="310">
        <f>IF(BC70=0,"-",(BC69/BC70)*BE69)</f>
        <v>52.079860339752493</v>
      </c>
      <c r="BG69" s="304"/>
      <c r="BH69" s="24">
        <f>+PL!V47</f>
        <v>271048.76194983686</v>
      </c>
      <c r="BI69" s="306" t="s">
        <v>111</v>
      </c>
      <c r="BJ69" s="308">
        <v>100</v>
      </c>
      <c r="BK69" s="310">
        <f>IF(BH70=0,"-",(BH69/BH70)*BJ69)</f>
        <v>50.864123458340934</v>
      </c>
      <c r="BL69" s="304"/>
      <c r="BM69" s="24">
        <f>+PL!W47</f>
        <v>224987.70149196428</v>
      </c>
      <c r="BN69" s="306" t="s">
        <v>111</v>
      </c>
      <c r="BO69" s="308">
        <v>100</v>
      </c>
      <c r="BP69" s="310">
        <f>IF(BM70=0,"-",(BM69/BM70)*BO69)</f>
        <v>47.122084244805897</v>
      </c>
      <c r="BQ69" s="304"/>
      <c r="BR69" s="24">
        <f>+PL!X47</f>
        <v>227247.03919036273</v>
      </c>
      <c r="BS69" s="306" t="s">
        <v>111</v>
      </c>
      <c r="BT69" s="308">
        <v>100</v>
      </c>
      <c r="BU69" s="310">
        <f>IF(BR70=0,"-",(BR69/BR70)*BT69)</f>
        <v>46.014897504634988</v>
      </c>
      <c r="BV69" s="304"/>
      <c r="BW69" s="24">
        <f>+PL!Y47</f>
        <v>223046.81200764666</v>
      </c>
      <c r="BX69" s="306" t="s">
        <v>111</v>
      </c>
      <c r="BY69" s="308">
        <v>100</v>
      </c>
      <c r="BZ69" s="310">
        <f>IF(BW70=0,"-",(BW69/BW70)*BY69)</f>
        <v>44.887554972961915</v>
      </c>
      <c r="CA69" s="304"/>
      <c r="CB69" s="24">
        <f>+PL!Z47</f>
        <v>245397.94401517705</v>
      </c>
      <c r="CC69" s="306" t="s">
        <v>111</v>
      </c>
      <c r="CD69" s="308">
        <v>100</v>
      </c>
      <c r="CE69" s="310">
        <f>IF(CB70=0,"-",(CB69/CB70)*CD69)</f>
        <v>50.248496205863326</v>
      </c>
      <c r="CF69" s="304"/>
      <c r="CG69" s="24">
        <f>+PL!AA47</f>
        <v>262970.8252350408</v>
      </c>
      <c r="CH69" s="306" t="s">
        <v>173</v>
      </c>
      <c r="CI69" s="308">
        <v>100</v>
      </c>
      <c r="CJ69" s="310">
        <f>IF(CG70=0,"-",(CG69/CG70)*CI69)</f>
        <v>48.574005626850258</v>
      </c>
      <c r="CK69" s="304"/>
      <c r="CL69" s="24">
        <f>+PL!AB47</f>
        <v>233483.45619491965</v>
      </c>
      <c r="CM69" s="306" t="s">
        <v>111</v>
      </c>
      <c r="CN69" s="308">
        <v>100</v>
      </c>
      <c r="CO69" s="310">
        <f>IF(CL70=0,"-",(CL69/CL70)*CN69)</f>
        <v>44.265541508868992</v>
      </c>
      <c r="CP69" s="304"/>
      <c r="CQ69" s="24">
        <f>+PL!AC47</f>
        <v>254569.00136962859</v>
      </c>
      <c r="CR69" s="306" t="s">
        <v>111</v>
      </c>
      <c r="CS69" s="308">
        <v>100</v>
      </c>
      <c r="CT69" s="310">
        <f>IF(CQ70=0,"-",(CQ69/CQ70)*CS69)</f>
        <v>46.933266016860763</v>
      </c>
    </row>
    <row r="70" spans="1:98" ht="18" customHeight="1" x14ac:dyDescent="0.2">
      <c r="A70" s="17"/>
      <c r="B70" s="321"/>
      <c r="C70" s="323"/>
      <c r="D70" s="305"/>
      <c r="E70" s="25">
        <f>+E12</f>
        <v>406109.61253936804</v>
      </c>
      <c r="F70" s="307"/>
      <c r="G70" s="309"/>
      <c r="H70" s="311"/>
      <c r="I70" s="305"/>
      <c r="J70" s="25">
        <f>+J12</f>
        <v>484288.20845762413</v>
      </c>
      <c r="K70" s="307"/>
      <c r="L70" s="309"/>
      <c r="M70" s="311"/>
      <c r="N70" s="305"/>
      <c r="O70" s="25">
        <f>+O12</f>
        <v>416426.79832610243</v>
      </c>
      <c r="P70" s="307"/>
      <c r="Q70" s="309"/>
      <c r="R70" s="311"/>
      <c r="S70" s="305"/>
      <c r="T70" s="25">
        <f>+T12</f>
        <v>733864.73974775011</v>
      </c>
      <c r="U70" s="307"/>
      <c r="V70" s="309"/>
      <c r="W70" s="311"/>
      <c r="X70" s="305"/>
      <c r="Y70" s="25">
        <f>+Y12</f>
        <v>548635.41173829371</v>
      </c>
      <c r="Z70" s="307"/>
      <c r="AA70" s="309"/>
      <c r="AB70" s="311"/>
      <c r="AC70" s="305"/>
      <c r="AD70" s="25">
        <f>+AD12</f>
        <v>435549.2760954285</v>
      </c>
      <c r="AE70" s="307"/>
      <c r="AF70" s="309"/>
      <c r="AG70" s="311"/>
      <c r="AH70" s="305"/>
      <c r="AI70" s="25">
        <f>+AI12</f>
        <v>447411.78996418981</v>
      </c>
      <c r="AJ70" s="307"/>
      <c r="AK70" s="309"/>
      <c r="AL70" s="311"/>
      <c r="AM70" s="305"/>
      <c r="AN70" s="25">
        <f>+AN12</f>
        <v>344506.67549986951</v>
      </c>
      <c r="AO70" s="307"/>
      <c r="AP70" s="309"/>
      <c r="AQ70" s="311"/>
      <c r="AR70" s="305"/>
      <c r="AS70" s="25">
        <f>+AS12</f>
        <v>419786.34152781614</v>
      </c>
      <c r="AT70" s="307"/>
      <c r="AU70" s="309"/>
      <c r="AV70" s="311"/>
      <c r="AW70" s="305"/>
      <c r="AX70" s="25">
        <f>+AX12</f>
        <v>378318.34964730439</v>
      </c>
      <c r="AY70" s="307"/>
      <c r="AZ70" s="309"/>
      <c r="BA70" s="311"/>
      <c r="BB70" s="305"/>
      <c r="BC70" s="25">
        <f>+BC12</f>
        <v>453482.84130994877</v>
      </c>
      <c r="BD70" s="307"/>
      <c r="BE70" s="309"/>
      <c r="BF70" s="311"/>
      <c r="BG70" s="305"/>
      <c r="BH70" s="25">
        <f>+BH12</f>
        <v>532887.90511023544</v>
      </c>
      <c r="BI70" s="307"/>
      <c r="BJ70" s="309"/>
      <c r="BK70" s="311"/>
      <c r="BL70" s="305"/>
      <c r="BM70" s="25">
        <f>+BM12</f>
        <v>477457.02486995549</v>
      </c>
      <c r="BN70" s="307"/>
      <c r="BO70" s="309"/>
      <c r="BP70" s="311"/>
      <c r="BQ70" s="305"/>
      <c r="BR70" s="25">
        <f>+BR12</f>
        <v>493855.36318422219</v>
      </c>
      <c r="BS70" s="307"/>
      <c r="BT70" s="309"/>
      <c r="BU70" s="311"/>
      <c r="BV70" s="305"/>
      <c r="BW70" s="25">
        <f>+BW12</f>
        <v>496901.22828476451</v>
      </c>
      <c r="BX70" s="307"/>
      <c r="BY70" s="309"/>
      <c r="BZ70" s="311"/>
      <c r="CA70" s="305"/>
      <c r="CB70" s="25">
        <f>+CB12</f>
        <v>488368.73248863994</v>
      </c>
      <c r="CC70" s="307"/>
      <c r="CD70" s="309"/>
      <c r="CE70" s="311"/>
      <c r="CF70" s="305"/>
      <c r="CG70" s="25">
        <f>+CG12</f>
        <v>541381.79843598977</v>
      </c>
      <c r="CH70" s="307"/>
      <c r="CI70" s="309"/>
      <c r="CJ70" s="311"/>
      <c r="CK70" s="305"/>
      <c r="CL70" s="25">
        <f>+CL12</f>
        <v>527460.97356143082</v>
      </c>
      <c r="CM70" s="307"/>
      <c r="CN70" s="309"/>
      <c r="CO70" s="311"/>
      <c r="CP70" s="305"/>
      <c r="CQ70" s="25">
        <f>+CQ12</f>
        <v>542406.32066426985</v>
      </c>
      <c r="CR70" s="307"/>
      <c r="CS70" s="309"/>
      <c r="CT70" s="311"/>
    </row>
    <row r="71" spans="1:98" ht="18" customHeight="1" x14ac:dyDescent="0.2">
      <c r="A71" s="17"/>
      <c r="B71" s="320" t="s">
        <v>174</v>
      </c>
      <c r="C71" s="322" t="s">
        <v>175</v>
      </c>
      <c r="D71" s="304"/>
      <c r="E71" s="24">
        <f>+PL!K11+PL!K17</f>
        <v>91994.864864864794</v>
      </c>
      <c r="F71" s="306" t="s">
        <v>118</v>
      </c>
      <c r="G71" s="308">
        <v>100</v>
      </c>
      <c r="H71" s="310">
        <f>IF(E72=0,"-",(E71/E72)*G71)</f>
        <v>53.00227846274003</v>
      </c>
      <c r="I71" s="304"/>
      <c r="J71" s="24">
        <f>+PL!L11+PL!L17</f>
        <v>121176.34672749604</v>
      </c>
      <c r="K71" s="306" t="s">
        <v>111</v>
      </c>
      <c r="L71" s="308">
        <v>100</v>
      </c>
      <c r="M71" s="310">
        <f>IF(J72=0,"-",(J71/J72)*L71)</f>
        <v>59.944212224440982</v>
      </c>
      <c r="N71" s="304"/>
      <c r="O71" s="24">
        <f>+PL!M11+PL!M17</f>
        <v>103915.24540413803</v>
      </c>
      <c r="P71" s="306" t="s">
        <v>111</v>
      </c>
      <c r="Q71" s="308">
        <v>100</v>
      </c>
      <c r="R71" s="310">
        <f>IF(O72=0,"-",(O71/O72)*Q71)</f>
        <v>55.737485843847658</v>
      </c>
      <c r="S71" s="304"/>
      <c r="T71" s="24">
        <f>+PL!N11+PL!N17</f>
        <v>137379.49620675392</v>
      </c>
      <c r="U71" s="306" t="s">
        <v>111</v>
      </c>
      <c r="V71" s="308">
        <v>100</v>
      </c>
      <c r="W71" s="310">
        <f>IF(T72=0,"-",(T71/T72)*V71)</f>
        <v>51.469863999726904</v>
      </c>
      <c r="X71" s="304"/>
      <c r="Y71" s="24">
        <f>+PL!O11+PL!O17</f>
        <v>141669.33432103723</v>
      </c>
      <c r="Z71" s="306" t="s">
        <v>111</v>
      </c>
      <c r="AA71" s="308">
        <v>100</v>
      </c>
      <c r="AB71" s="310">
        <f>IF(Y72=0,"-",(Y71/Y72)*AA71)</f>
        <v>62.224335228261886</v>
      </c>
      <c r="AC71" s="304"/>
      <c r="AD71" s="24">
        <f>+PL!P11+PL!P17</f>
        <v>103978.66383642798</v>
      </c>
      <c r="AE71" s="306" t="s">
        <v>111</v>
      </c>
      <c r="AF71" s="308">
        <v>100</v>
      </c>
      <c r="AG71" s="310">
        <f>IF(AD72=0,"-",(AD71/AD72)*AF71)</f>
        <v>55.13140327307211</v>
      </c>
      <c r="AH71" s="304"/>
      <c r="AI71" s="24">
        <f>+PL!Q11+PL!Q17</f>
        <v>122919.80894931302</v>
      </c>
      <c r="AJ71" s="306" t="s">
        <v>118</v>
      </c>
      <c r="AK71" s="308">
        <v>100</v>
      </c>
      <c r="AL71" s="310">
        <f>IF(AI72=0,"-",(AI71/AI72)*AK71)</f>
        <v>55.064466236671414</v>
      </c>
      <c r="AM71" s="304"/>
      <c r="AN71" s="24">
        <f>+PL!R11+PL!R17</f>
        <v>102474.85098101167</v>
      </c>
      <c r="AO71" s="306" t="s">
        <v>112</v>
      </c>
      <c r="AP71" s="308">
        <v>100</v>
      </c>
      <c r="AQ71" s="310">
        <f>IF(AN72=0,"-",(AN71/AN72)*AP71)</f>
        <v>61.926028431105081</v>
      </c>
      <c r="AR71" s="304"/>
      <c r="AS71" s="24">
        <f>+PL!S11+PL!S17</f>
        <v>102383.00114026046</v>
      </c>
      <c r="AT71" s="306" t="s">
        <v>111</v>
      </c>
      <c r="AU71" s="308">
        <v>100</v>
      </c>
      <c r="AV71" s="310">
        <f>IF(AS72=0,"-",(AS71/AS72)*AU71)</f>
        <v>59.284851846184594</v>
      </c>
      <c r="AW71" s="304"/>
      <c r="AX71" s="24">
        <f>+PL!T11+PL!T17</f>
        <v>104672.72131014128</v>
      </c>
      <c r="AY71" s="306" t="s">
        <v>111</v>
      </c>
      <c r="AZ71" s="308">
        <v>100</v>
      </c>
      <c r="BA71" s="310">
        <f>IF(AX72=0,"-",(AX71/AX72)*AZ71)</f>
        <v>57.584277322544033</v>
      </c>
      <c r="BB71" s="304"/>
      <c r="BC71" s="24">
        <f>+PL!U11+PL!U17</f>
        <v>138341.9336308896</v>
      </c>
      <c r="BD71" s="306" t="s">
        <v>111</v>
      </c>
      <c r="BE71" s="308">
        <v>100</v>
      </c>
      <c r="BF71" s="310">
        <f>IF(BC72=0,"-",(BC71/BC72)*BE71)</f>
        <v>58.576466683152894</v>
      </c>
      <c r="BG71" s="304"/>
      <c r="BH71" s="24">
        <f>+PL!V11+PL!V17</f>
        <v>118153.8129327088</v>
      </c>
      <c r="BI71" s="306" t="s">
        <v>111</v>
      </c>
      <c r="BJ71" s="308">
        <v>100</v>
      </c>
      <c r="BK71" s="310">
        <f>IF(BH72=0,"-",(BH71/BH72)*BJ71)</f>
        <v>43.591349424638061</v>
      </c>
      <c r="BL71" s="304"/>
      <c r="BM71" s="24">
        <f>+PL!W11+PL!W17</f>
        <v>129481.83136306432</v>
      </c>
      <c r="BN71" s="306" t="s">
        <v>111</v>
      </c>
      <c r="BO71" s="308">
        <v>100</v>
      </c>
      <c r="BP71" s="310">
        <f>IF(BM72=0,"-",(BM71/BM72)*BO71)</f>
        <v>57.55062632509668</v>
      </c>
      <c r="BQ71" s="304"/>
      <c r="BR71" s="24">
        <f>+PL!X11+PL!X17</f>
        <v>131750.74890194682</v>
      </c>
      <c r="BS71" s="306" t="s">
        <v>111</v>
      </c>
      <c r="BT71" s="308">
        <v>100</v>
      </c>
      <c r="BU71" s="310">
        <f>IF(BR72=0,"-",(BR71/BR72)*BT71)</f>
        <v>57.976882502561644</v>
      </c>
      <c r="BV71" s="304"/>
      <c r="BW71" s="24">
        <f>+PL!Y11+PL!Y17</f>
        <v>118550.88805333964</v>
      </c>
      <c r="BX71" s="306" t="s">
        <v>111</v>
      </c>
      <c r="BY71" s="308">
        <v>100</v>
      </c>
      <c r="BZ71" s="310">
        <f>IF(BW72=0,"-",(BW71/BW72)*BY71)</f>
        <v>53.150675854212793</v>
      </c>
      <c r="CA71" s="304"/>
      <c r="CB71" s="24">
        <f>+PL!Z11+PL!Z17</f>
        <v>130248.00598299243</v>
      </c>
      <c r="CC71" s="306" t="s">
        <v>111</v>
      </c>
      <c r="CD71" s="308">
        <v>100</v>
      </c>
      <c r="CE71" s="310">
        <f>IF(CB72=0,"-",(CB71/CB72)*CD71)</f>
        <v>53.07624173694667</v>
      </c>
      <c r="CF71" s="304"/>
      <c r="CG71" s="24">
        <f>+PL!AA11+PL!AA17</f>
        <v>113717.15710394518</v>
      </c>
      <c r="CH71" s="306" t="s">
        <v>112</v>
      </c>
      <c r="CI71" s="308">
        <v>100</v>
      </c>
      <c r="CJ71" s="310">
        <f>IF(CG72=0,"-",(CG71/CG72)*CI71)</f>
        <v>43.243259780740267</v>
      </c>
      <c r="CK71" s="304"/>
      <c r="CL71" s="24">
        <f>+PL!AB11+PL!AB17</f>
        <v>122769.22567824434</v>
      </c>
      <c r="CM71" s="306" t="s">
        <v>111</v>
      </c>
      <c r="CN71" s="308">
        <v>100</v>
      </c>
      <c r="CO71" s="310">
        <f>IF(CL72=0,"-",(CL71/CL72)*CN71)</f>
        <v>52.581552320243439</v>
      </c>
      <c r="CP71" s="304"/>
      <c r="CQ71" s="24">
        <f>+PL!AC11+PL!AC17</f>
        <v>133555.70424584829</v>
      </c>
      <c r="CR71" s="306" t="s">
        <v>111</v>
      </c>
      <c r="CS71" s="308">
        <v>100</v>
      </c>
      <c r="CT71" s="310">
        <f>IF(CQ72=0,"-",(CQ71/CQ72)*CS71)</f>
        <v>52.463459230029486</v>
      </c>
    </row>
    <row r="72" spans="1:98" ht="18" customHeight="1" x14ac:dyDescent="0.2">
      <c r="A72" s="17"/>
      <c r="B72" s="321"/>
      <c r="C72" s="323"/>
      <c r="D72" s="305"/>
      <c r="E72" s="25">
        <f>+E69</f>
        <v>173567.75507214485</v>
      </c>
      <c r="F72" s="307"/>
      <c r="G72" s="309"/>
      <c r="H72" s="311"/>
      <c r="I72" s="305"/>
      <c r="J72" s="25">
        <f>+J69</f>
        <v>202148.53483067203</v>
      </c>
      <c r="K72" s="307"/>
      <c r="L72" s="309"/>
      <c r="M72" s="311"/>
      <c r="N72" s="305"/>
      <c r="O72" s="25">
        <f>+O69</f>
        <v>186436.90835870069</v>
      </c>
      <c r="P72" s="307"/>
      <c r="Q72" s="309"/>
      <c r="R72" s="311"/>
      <c r="S72" s="305"/>
      <c r="T72" s="25">
        <f>+T69</f>
        <v>266912.49117635679</v>
      </c>
      <c r="U72" s="307"/>
      <c r="V72" s="309"/>
      <c r="W72" s="311"/>
      <c r="X72" s="305"/>
      <c r="Y72" s="25">
        <f>+Y69</f>
        <v>227675.12710476006</v>
      </c>
      <c r="Z72" s="307"/>
      <c r="AA72" s="309"/>
      <c r="AB72" s="311"/>
      <c r="AC72" s="305"/>
      <c r="AD72" s="25">
        <f>+AD69</f>
        <v>188601.51866878817</v>
      </c>
      <c r="AE72" s="307"/>
      <c r="AF72" s="309"/>
      <c r="AG72" s="311"/>
      <c r="AH72" s="305"/>
      <c r="AI72" s="25">
        <f>+AI69</f>
        <v>223228.91212818446</v>
      </c>
      <c r="AJ72" s="307"/>
      <c r="AK72" s="309"/>
      <c r="AL72" s="311"/>
      <c r="AM72" s="305"/>
      <c r="AN72" s="25">
        <f>+AN69</f>
        <v>165479.44955814275</v>
      </c>
      <c r="AO72" s="307"/>
      <c r="AP72" s="309"/>
      <c r="AQ72" s="311"/>
      <c r="AR72" s="305"/>
      <c r="AS72" s="25">
        <f>+AS69</f>
        <v>172696.73103998747</v>
      </c>
      <c r="AT72" s="307"/>
      <c r="AU72" s="309"/>
      <c r="AV72" s="311"/>
      <c r="AW72" s="305"/>
      <c r="AX72" s="25">
        <f>+AX69</f>
        <v>181773.09185256076</v>
      </c>
      <c r="AY72" s="307"/>
      <c r="AZ72" s="309"/>
      <c r="BA72" s="311"/>
      <c r="BB72" s="305"/>
      <c r="BC72" s="25">
        <f>+BC69</f>
        <v>236173.23041896272</v>
      </c>
      <c r="BD72" s="307"/>
      <c r="BE72" s="309"/>
      <c r="BF72" s="311"/>
      <c r="BG72" s="305"/>
      <c r="BH72" s="25">
        <f>+BH69</f>
        <v>271048.76194983686</v>
      </c>
      <c r="BI72" s="307"/>
      <c r="BJ72" s="309"/>
      <c r="BK72" s="311"/>
      <c r="BL72" s="305"/>
      <c r="BM72" s="25">
        <f>+BM69</f>
        <v>224987.70149196428</v>
      </c>
      <c r="BN72" s="307"/>
      <c r="BO72" s="309"/>
      <c r="BP72" s="311"/>
      <c r="BQ72" s="305"/>
      <c r="BR72" s="25">
        <f>+BR69</f>
        <v>227247.03919036273</v>
      </c>
      <c r="BS72" s="307"/>
      <c r="BT72" s="309"/>
      <c r="BU72" s="311"/>
      <c r="BV72" s="305"/>
      <c r="BW72" s="25">
        <f>+BW69</f>
        <v>223046.81200764666</v>
      </c>
      <c r="BX72" s="307"/>
      <c r="BY72" s="309"/>
      <c r="BZ72" s="311"/>
      <c r="CA72" s="305"/>
      <c r="CB72" s="25">
        <f>+CB69</f>
        <v>245397.94401517705</v>
      </c>
      <c r="CC72" s="307"/>
      <c r="CD72" s="309"/>
      <c r="CE72" s="311"/>
      <c r="CF72" s="305"/>
      <c r="CG72" s="25">
        <f>+CG69</f>
        <v>262970.8252350408</v>
      </c>
      <c r="CH72" s="307"/>
      <c r="CI72" s="309"/>
      <c r="CJ72" s="311"/>
      <c r="CK72" s="305"/>
      <c r="CL72" s="25">
        <f>+CL69</f>
        <v>233483.45619491965</v>
      </c>
      <c r="CM72" s="307"/>
      <c r="CN72" s="309"/>
      <c r="CO72" s="311"/>
      <c r="CP72" s="305"/>
      <c r="CQ72" s="25">
        <f>+CQ69</f>
        <v>254569.00136962859</v>
      </c>
      <c r="CR72" s="307"/>
      <c r="CS72" s="309"/>
      <c r="CT72" s="311"/>
    </row>
    <row r="73" spans="1:98" ht="18" customHeight="1" x14ac:dyDescent="0.2">
      <c r="A73" s="17"/>
      <c r="B73" s="320" t="s">
        <v>288</v>
      </c>
      <c r="C73" s="322" t="s">
        <v>176</v>
      </c>
      <c r="D73" s="304"/>
      <c r="E73" s="24">
        <f>+E69</f>
        <v>173567.75507214485</v>
      </c>
      <c r="F73" s="306" t="s">
        <v>177</v>
      </c>
      <c r="G73" s="308">
        <v>100</v>
      </c>
      <c r="H73" s="310">
        <f>IF(E74=0,"-",(E73/E74)*G73)</f>
        <v>51.85533936647613</v>
      </c>
      <c r="I73" s="304"/>
      <c r="J73" s="24">
        <f>+J69</f>
        <v>202148.53483067203</v>
      </c>
      <c r="K73" s="306" t="s">
        <v>111</v>
      </c>
      <c r="L73" s="308">
        <v>100</v>
      </c>
      <c r="M73" s="310">
        <f>IF(J74=0,"-",(J73/J74)*L73)</f>
        <v>50.55464243297105</v>
      </c>
      <c r="N73" s="304"/>
      <c r="O73" s="24">
        <f>+O69</f>
        <v>186436.90835870069</v>
      </c>
      <c r="P73" s="306" t="s">
        <v>111</v>
      </c>
      <c r="Q73" s="308">
        <v>100</v>
      </c>
      <c r="R73" s="310">
        <f>IF(O74=0,"-",(O73/O74)*Q73)</f>
        <v>58.288416052834947</v>
      </c>
      <c r="S73" s="304"/>
      <c r="T73" s="24">
        <f>+T69</f>
        <v>266912.49117635679</v>
      </c>
      <c r="U73" s="306" t="s">
        <v>111</v>
      </c>
      <c r="V73" s="308">
        <v>100</v>
      </c>
      <c r="W73" s="310">
        <f>IF(T74=0,"-",(T73/T74)*V73)</f>
        <v>60.791910936086765</v>
      </c>
      <c r="X73" s="304"/>
      <c r="Y73" s="24">
        <f>+Y69</f>
        <v>227675.12710476006</v>
      </c>
      <c r="Z73" s="306" t="s">
        <v>111</v>
      </c>
      <c r="AA73" s="308">
        <v>100</v>
      </c>
      <c r="AB73" s="310">
        <f>IF(Y74=0,"-",(Y73/Y74)*AA73)</f>
        <v>55.325442250964066</v>
      </c>
      <c r="AC73" s="304"/>
      <c r="AD73" s="24">
        <f>+AD69</f>
        <v>188601.51866878817</v>
      </c>
      <c r="AE73" s="306" t="s">
        <v>111</v>
      </c>
      <c r="AF73" s="308">
        <v>100</v>
      </c>
      <c r="AG73" s="310">
        <f>IF(AD74=0,"-",(AD73/AD74)*AF73)</f>
        <v>50.974873189493373</v>
      </c>
      <c r="AH73" s="304"/>
      <c r="AI73" s="24">
        <f>+AI69</f>
        <v>223228.91212818446</v>
      </c>
      <c r="AJ73" s="306" t="s">
        <v>177</v>
      </c>
      <c r="AK73" s="308">
        <v>100</v>
      </c>
      <c r="AL73" s="310">
        <f>IF(AI74=0,"-",(AI73/AI74)*AK73)</f>
        <v>49.987469047790498</v>
      </c>
      <c r="AM73" s="304"/>
      <c r="AN73" s="24">
        <f>+AN69</f>
        <v>165479.44955814275</v>
      </c>
      <c r="AO73" s="306" t="s">
        <v>178</v>
      </c>
      <c r="AP73" s="308">
        <v>100</v>
      </c>
      <c r="AQ73" s="310">
        <f>IF(AN74=0,"-",(AN73/AN74)*AP73)</f>
        <v>50.070556697516231</v>
      </c>
      <c r="AR73" s="304"/>
      <c r="AS73" s="24">
        <f>+AS69</f>
        <v>172696.73103998747</v>
      </c>
      <c r="AT73" s="306" t="s">
        <v>111</v>
      </c>
      <c r="AU73" s="308">
        <v>100</v>
      </c>
      <c r="AV73" s="310">
        <f>IF(AS74=0,"-",(AS73/AS74)*AU73)</f>
        <v>49.614324769217042</v>
      </c>
      <c r="AW73" s="304"/>
      <c r="AX73" s="24">
        <f>+AX69</f>
        <v>181773.09185256076</v>
      </c>
      <c r="AY73" s="306" t="s">
        <v>111</v>
      </c>
      <c r="AZ73" s="308">
        <v>100</v>
      </c>
      <c r="BA73" s="310">
        <f>IF(AX74=0,"-",(AX73/AX74)*AZ73)</f>
        <v>59.687339736496405</v>
      </c>
      <c r="BB73" s="304"/>
      <c r="BC73" s="24">
        <f>+BC69</f>
        <v>236173.23041896272</v>
      </c>
      <c r="BD73" s="306" t="s">
        <v>111</v>
      </c>
      <c r="BE73" s="308">
        <v>100</v>
      </c>
      <c r="BF73" s="310">
        <f>IF(BC74=0,"-",(BC73/BC74)*BE73)</f>
        <v>52.715360552481236</v>
      </c>
      <c r="BG73" s="304"/>
      <c r="BH73" s="24">
        <f>+BH69</f>
        <v>271048.76194983686</v>
      </c>
      <c r="BI73" s="306" t="s">
        <v>111</v>
      </c>
      <c r="BJ73" s="308">
        <v>100</v>
      </c>
      <c r="BK73" s="310">
        <f>IF(BH74=0,"-",(BH73/BH74)*BJ73)</f>
        <v>52.411671764894152</v>
      </c>
      <c r="BL73" s="304"/>
      <c r="BM73" s="24">
        <f>+BM69</f>
        <v>224987.70149196428</v>
      </c>
      <c r="BN73" s="306" t="s">
        <v>111</v>
      </c>
      <c r="BO73" s="308">
        <v>100</v>
      </c>
      <c r="BP73" s="310">
        <f>IF(BM74=0,"-",(BM73/BM74)*BO73)</f>
        <v>56.00364452840568</v>
      </c>
      <c r="BQ73" s="304"/>
      <c r="BR73" s="24">
        <f>+BR69</f>
        <v>227247.03919036273</v>
      </c>
      <c r="BS73" s="306" t="s">
        <v>111</v>
      </c>
      <c r="BT73" s="308">
        <v>100</v>
      </c>
      <c r="BU73" s="310">
        <f>IF(BR74=0,"-",(BR73/BR74)*BT73)</f>
        <v>47.137930153959253</v>
      </c>
      <c r="BV73" s="304"/>
      <c r="BW73" s="24">
        <f>+BW69</f>
        <v>223046.81200764666</v>
      </c>
      <c r="BX73" s="306" t="s">
        <v>111</v>
      </c>
      <c r="BY73" s="308">
        <v>100</v>
      </c>
      <c r="BZ73" s="310">
        <f>IF(BW74=0,"-",(BW73/BW74)*BY73)</f>
        <v>52.658693881874854</v>
      </c>
      <c r="CA73" s="304"/>
      <c r="CB73" s="24">
        <f>+CB69</f>
        <v>245397.94401517705</v>
      </c>
      <c r="CC73" s="306" t="s">
        <v>111</v>
      </c>
      <c r="CD73" s="308">
        <v>100</v>
      </c>
      <c r="CE73" s="310">
        <f>IF(CB74=0,"-",(CB73/CB74)*CD73)</f>
        <v>54.518318049930258</v>
      </c>
      <c r="CF73" s="304"/>
      <c r="CG73" s="24">
        <f>+CG69</f>
        <v>262970.8252350408</v>
      </c>
      <c r="CH73" s="306" t="s">
        <v>178</v>
      </c>
      <c r="CI73" s="308">
        <v>100</v>
      </c>
      <c r="CJ73" s="310">
        <f>IF(CG74=0,"-",(CG73/CG74)*CI73)</f>
        <v>52.215484434045365</v>
      </c>
      <c r="CK73" s="304"/>
      <c r="CL73" s="24">
        <f>+CL69</f>
        <v>233483.45619491965</v>
      </c>
      <c r="CM73" s="306" t="s">
        <v>111</v>
      </c>
      <c r="CN73" s="308">
        <v>100</v>
      </c>
      <c r="CO73" s="310">
        <f>IF(CL74=0,"-",(CL73/CL74)*CN73)</f>
        <v>43.704752804589937</v>
      </c>
      <c r="CP73" s="304"/>
      <c r="CQ73" s="24">
        <f>+CQ69</f>
        <v>254569.00136962859</v>
      </c>
      <c r="CR73" s="306" t="s">
        <v>111</v>
      </c>
      <c r="CS73" s="308">
        <v>100</v>
      </c>
      <c r="CT73" s="310">
        <f>IF(CQ74=0,"-",(CQ73/CQ74)*CS73)</f>
        <v>47.718296832733515</v>
      </c>
    </row>
    <row r="74" spans="1:98" ht="18" customHeight="1" x14ac:dyDescent="0.2">
      <c r="A74" s="17"/>
      <c r="B74" s="321"/>
      <c r="C74" s="323"/>
      <c r="D74" s="305"/>
      <c r="E74" s="25">
        <f>+E7</f>
        <v>334715.30066651996</v>
      </c>
      <c r="F74" s="307"/>
      <c r="G74" s="309"/>
      <c r="H74" s="311"/>
      <c r="I74" s="305"/>
      <c r="J74" s="25">
        <f>+J7</f>
        <v>399861.46692402178</v>
      </c>
      <c r="K74" s="307"/>
      <c r="L74" s="309"/>
      <c r="M74" s="311"/>
      <c r="N74" s="305"/>
      <c r="O74" s="25">
        <f>+O7</f>
        <v>319852.41834279191</v>
      </c>
      <c r="P74" s="307"/>
      <c r="Q74" s="309"/>
      <c r="R74" s="311"/>
      <c r="S74" s="305"/>
      <c r="T74" s="25">
        <f>+T7</f>
        <v>439059.22196947178</v>
      </c>
      <c r="U74" s="307"/>
      <c r="V74" s="309"/>
      <c r="W74" s="311"/>
      <c r="X74" s="305"/>
      <c r="Y74" s="25">
        <f>+Y7</f>
        <v>411519.75988188828</v>
      </c>
      <c r="Z74" s="307"/>
      <c r="AA74" s="309"/>
      <c r="AB74" s="311"/>
      <c r="AC74" s="305"/>
      <c r="AD74" s="25">
        <f>+AD7</f>
        <v>369989.18656978931</v>
      </c>
      <c r="AE74" s="307"/>
      <c r="AF74" s="309"/>
      <c r="AG74" s="311"/>
      <c r="AH74" s="305"/>
      <c r="AI74" s="25">
        <f>+AI7</f>
        <v>446569.74313855846</v>
      </c>
      <c r="AJ74" s="307"/>
      <c r="AK74" s="309"/>
      <c r="AL74" s="311"/>
      <c r="AM74" s="305"/>
      <c r="AN74" s="25">
        <f>+AN7</f>
        <v>330492.52988703322</v>
      </c>
      <c r="AO74" s="307"/>
      <c r="AP74" s="309"/>
      <c r="AQ74" s="311"/>
      <c r="AR74" s="305"/>
      <c r="AS74" s="25">
        <f>+AS7</f>
        <v>348078.36616399197</v>
      </c>
      <c r="AT74" s="307"/>
      <c r="AU74" s="309"/>
      <c r="AV74" s="311"/>
      <c r="AW74" s="305"/>
      <c r="AX74" s="25">
        <f>+AX7</f>
        <v>304542.12343026209</v>
      </c>
      <c r="AY74" s="307"/>
      <c r="AZ74" s="309"/>
      <c r="BA74" s="311"/>
      <c r="BB74" s="305"/>
      <c r="BC74" s="25">
        <f>+BC7</f>
        <v>448015.96336202306</v>
      </c>
      <c r="BD74" s="307"/>
      <c r="BE74" s="309"/>
      <c r="BF74" s="311"/>
      <c r="BG74" s="305"/>
      <c r="BH74" s="25">
        <f>+BH7</f>
        <v>517153.43705443095</v>
      </c>
      <c r="BI74" s="307"/>
      <c r="BJ74" s="309"/>
      <c r="BK74" s="311"/>
      <c r="BL74" s="305"/>
      <c r="BM74" s="25">
        <f>+BM7</f>
        <v>401737.60723348631</v>
      </c>
      <c r="BN74" s="307"/>
      <c r="BO74" s="309"/>
      <c r="BP74" s="311"/>
      <c r="BQ74" s="305"/>
      <c r="BR74" s="25">
        <f>+BR7</f>
        <v>482089.5581289659</v>
      </c>
      <c r="BS74" s="307"/>
      <c r="BT74" s="309"/>
      <c r="BU74" s="311"/>
      <c r="BV74" s="305"/>
      <c r="BW74" s="25">
        <f>+BW7</f>
        <v>423570.72605710692</v>
      </c>
      <c r="BX74" s="307"/>
      <c r="BY74" s="309"/>
      <c r="BZ74" s="311"/>
      <c r="CA74" s="305"/>
      <c r="CB74" s="25">
        <f>+CB7</f>
        <v>450120.16656572366</v>
      </c>
      <c r="CC74" s="307"/>
      <c r="CD74" s="309"/>
      <c r="CE74" s="311"/>
      <c r="CF74" s="305"/>
      <c r="CG74" s="25">
        <f>+CG7</f>
        <v>503626.13329232932</v>
      </c>
      <c r="CH74" s="307"/>
      <c r="CI74" s="309"/>
      <c r="CJ74" s="311"/>
      <c r="CK74" s="305"/>
      <c r="CL74" s="25">
        <f>+CL7</f>
        <v>534228.98246068764</v>
      </c>
      <c r="CM74" s="307"/>
      <c r="CN74" s="309"/>
      <c r="CO74" s="311"/>
      <c r="CP74" s="305"/>
      <c r="CQ74" s="25">
        <f>+CQ7</f>
        <v>533482.99974319467</v>
      </c>
      <c r="CR74" s="307"/>
      <c r="CS74" s="309"/>
      <c r="CT74" s="311"/>
    </row>
    <row r="75" spans="1:98" ht="18" customHeight="1" x14ac:dyDescent="0.2">
      <c r="A75" s="17"/>
      <c r="B75" s="320" t="s">
        <v>179</v>
      </c>
      <c r="C75" s="322" t="s">
        <v>130</v>
      </c>
      <c r="D75" s="304"/>
      <c r="E75" s="24">
        <f>+E73</f>
        <v>173567.75507214485</v>
      </c>
      <c r="F75" s="306"/>
      <c r="G75" s="308"/>
      <c r="H75" s="312">
        <f>IF(E76=0,"-",(E75/E76))</f>
        <v>6396.0241728047786</v>
      </c>
      <c r="I75" s="304"/>
      <c r="J75" s="24">
        <f>+J73</f>
        <v>202148.53483067203</v>
      </c>
      <c r="K75" s="306"/>
      <c r="L75" s="308"/>
      <c r="M75" s="312">
        <f>IF(J76=0,"-",(J75/J76))</f>
        <v>7003.3100303951369</v>
      </c>
      <c r="N75" s="304"/>
      <c r="O75" s="24">
        <f>+O73</f>
        <v>186436.90835870069</v>
      </c>
      <c r="P75" s="306"/>
      <c r="Q75" s="308"/>
      <c r="R75" s="312">
        <f>IF(O76=0,"-",(O75/O76))</f>
        <v>6842.920447657355</v>
      </c>
      <c r="S75" s="304"/>
      <c r="T75" s="24">
        <f>+T73</f>
        <v>266912.49117635679</v>
      </c>
      <c r="U75" s="306"/>
      <c r="V75" s="308"/>
      <c r="W75" s="312">
        <f>IF(T76=0,"-",(T75/T76))</f>
        <v>5996.0488473046398</v>
      </c>
      <c r="X75" s="304"/>
      <c r="Y75" s="24">
        <f>+Y73</f>
        <v>227675.12710476006</v>
      </c>
      <c r="Z75" s="306"/>
      <c r="AA75" s="308"/>
      <c r="AB75" s="312">
        <f>IF(Y76=0,"-",(Y75/Y76))</f>
        <v>7146.2124896965424</v>
      </c>
      <c r="AC75" s="304"/>
      <c r="AD75" s="24">
        <f>+AD73</f>
        <v>188601.51866878817</v>
      </c>
      <c r="AE75" s="306"/>
      <c r="AF75" s="308"/>
      <c r="AG75" s="312">
        <f>IF(AD76=0,"-",(AD75/AD76))</f>
        <v>7509.946223022198</v>
      </c>
      <c r="AH75" s="304"/>
      <c r="AI75" s="24">
        <f>+AI73</f>
        <v>223228.91212818446</v>
      </c>
      <c r="AJ75" s="306"/>
      <c r="AK75" s="308"/>
      <c r="AL75" s="312">
        <f>IF(AI76=0,"-",(AI75/AI76))</f>
        <v>7456.3372938122975</v>
      </c>
      <c r="AM75" s="304"/>
      <c r="AN75" s="24">
        <f>+AN73</f>
        <v>165479.44955814275</v>
      </c>
      <c r="AO75" s="306"/>
      <c r="AP75" s="308"/>
      <c r="AQ75" s="312">
        <f>IF(AN76=0,"-",(AN75/AN76))</f>
        <v>7012.2252049212448</v>
      </c>
      <c r="AR75" s="304"/>
      <c r="AS75" s="24">
        <f>+AS73</f>
        <v>172696.73103998747</v>
      </c>
      <c r="AT75" s="306"/>
      <c r="AU75" s="308"/>
      <c r="AV75" s="312">
        <f>IF(AS76=0,"-",(AS75/AS76))</f>
        <v>7163.8311748553715</v>
      </c>
      <c r="AW75" s="304"/>
      <c r="AX75" s="24">
        <f>+AX73</f>
        <v>181773.09185256076</v>
      </c>
      <c r="AY75" s="306"/>
      <c r="AZ75" s="308"/>
      <c r="BA75" s="312">
        <f>IF(AX76=0,"-",(AX75/AX76))</f>
        <v>6532.5243730988996</v>
      </c>
      <c r="BB75" s="304"/>
      <c r="BC75" s="24">
        <f>+BC73</f>
        <v>236173.23041896272</v>
      </c>
      <c r="BD75" s="306"/>
      <c r="BE75" s="308"/>
      <c r="BF75" s="312">
        <f>IF(BC76=0,"-",(BC75/BC76))</f>
        <v>8467.7701895385726</v>
      </c>
      <c r="BG75" s="304"/>
      <c r="BH75" s="24">
        <f>+BH73</f>
        <v>271048.76194983686</v>
      </c>
      <c r="BI75" s="306"/>
      <c r="BJ75" s="308"/>
      <c r="BK75" s="312">
        <f>IF(BH76=0,"-",(BH75/BH76))</f>
        <v>9060.347720185724</v>
      </c>
      <c r="BL75" s="304"/>
      <c r="BM75" s="24">
        <f>+BM73</f>
        <v>224987.70149196428</v>
      </c>
      <c r="BN75" s="306"/>
      <c r="BO75" s="308"/>
      <c r="BP75" s="312">
        <f>IF(BM76=0,"-",(BM75/BM76))</f>
        <v>7754.9532284012894</v>
      </c>
      <c r="BQ75" s="304"/>
      <c r="BR75" s="24">
        <f>+BR73</f>
        <v>227247.03919036273</v>
      </c>
      <c r="BS75" s="306"/>
      <c r="BT75" s="308"/>
      <c r="BU75" s="312">
        <f>IF(BR76=0,"-",(BR75/BR76))</f>
        <v>8067.0368458466983</v>
      </c>
      <c r="BV75" s="304"/>
      <c r="BW75" s="24">
        <f>+BW73</f>
        <v>223046.81200764666</v>
      </c>
      <c r="BX75" s="306"/>
      <c r="BY75" s="308"/>
      <c r="BZ75" s="312">
        <f>IF(BW76=0,"-",(BW75/BW76))</f>
        <v>8233.7856924269654</v>
      </c>
      <c r="CA75" s="304"/>
      <c r="CB75" s="24">
        <f>+CB73</f>
        <v>245397.94401517705</v>
      </c>
      <c r="CC75" s="306"/>
      <c r="CD75" s="308"/>
      <c r="CE75" s="312">
        <f>IF(CB76=0,"-",(CB75/CB76))</f>
        <v>8490.9689419442348</v>
      </c>
      <c r="CF75" s="304"/>
      <c r="CG75" s="24">
        <f>+CG73</f>
        <v>262970.8252350408</v>
      </c>
      <c r="CH75" s="306"/>
      <c r="CI75" s="308"/>
      <c r="CJ75" s="312">
        <f>IF(CG76=0,"-",(CG75/CG76))</f>
        <v>9162.7661602894968</v>
      </c>
      <c r="CK75" s="304"/>
      <c r="CL75" s="24">
        <f>+CL73</f>
        <v>233483.45619491965</v>
      </c>
      <c r="CM75" s="306"/>
      <c r="CN75" s="308"/>
      <c r="CO75" s="312">
        <f>IF(CL76=0,"-",(CL75/CL76))</f>
        <v>8407.1826140521171</v>
      </c>
      <c r="CP75" s="304"/>
      <c r="CQ75" s="24">
        <f>+CQ73</f>
        <v>254569.00136962859</v>
      </c>
      <c r="CR75" s="306"/>
      <c r="CS75" s="308"/>
      <c r="CT75" s="312">
        <f>IF(CQ76=0,"-",(CQ75/CQ76))</f>
        <v>8290.8645387559864</v>
      </c>
    </row>
    <row r="76" spans="1:98" ht="18" customHeight="1" x14ac:dyDescent="0.2">
      <c r="A76" s="21"/>
      <c r="B76" s="321"/>
      <c r="C76" s="323"/>
      <c r="D76" s="305"/>
      <c r="E76" s="25">
        <f>+PL!K5</f>
        <v>27.136819746575799</v>
      </c>
      <c r="F76" s="307"/>
      <c r="G76" s="309"/>
      <c r="H76" s="313"/>
      <c r="I76" s="305"/>
      <c r="J76" s="25">
        <f>+PL!L5</f>
        <v>28.864713107562729</v>
      </c>
      <c r="K76" s="307"/>
      <c r="L76" s="309"/>
      <c r="M76" s="313"/>
      <c r="N76" s="305"/>
      <c r="O76" s="25">
        <f>+PL!M5</f>
        <v>27.245225161506383</v>
      </c>
      <c r="P76" s="307"/>
      <c r="Q76" s="309"/>
      <c r="R76" s="313"/>
      <c r="S76" s="305"/>
      <c r="T76" s="25">
        <f>+PL!N5</f>
        <v>44.514729278154569</v>
      </c>
      <c r="U76" s="307"/>
      <c r="V76" s="309"/>
      <c r="W76" s="313"/>
      <c r="X76" s="305"/>
      <c r="Y76" s="25">
        <f>+PL!O5</f>
        <v>31.859551816157666</v>
      </c>
      <c r="Z76" s="307"/>
      <c r="AA76" s="309"/>
      <c r="AB76" s="313"/>
      <c r="AC76" s="305"/>
      <c r="AD76" s="25">
        <f>+PL!P5</f>
        <v>25.113564474086207</v>
      </c>
      <c r="AE76" s="307"/>
      <c r="AF76" s="309"/>
      <c r="AG76" s="313"/>
      <c r="AH76" s="305"/>
      <c r="AI76" s="25">
        <f>+PL!Q5</f>
        <v>29.938145678231695</v>
      </c>
      <c r="AJ76" s="307"/>
      <c r="AK76" s="309"/>
      <c r="AL76" s="313"/>
      <c r="AM76" s="305"/>
      <c r="AN76" s="25">
        <f>+PL!R5</f>
        <v>23.598707218075045</v>
      </c>
      <c r="AO76" s="307"/>
      <c r="AP76" s="309"/>
      <c r="AQ76" s="313"/>
      <c r="AR76" s="305"/>
      <c r="AS76" s="25">
        <f>+PL!S5</f>
        <v>24.10675612319605</v>
      </c>
      <c r="AT76" s="307"/>
      <c r="AU76" s="309"/>
      <c r="AV76" s="313"/>
      <c r="AW76" s="305"/>
      <c r="AX76" s="25">
        <f>+PL!T5</f>
        <v>27.825857428271824</v>
      </c>
      <c r="AY76" s="307"/>
      <c r="AZ76" s="309"/>
      <c r="BA76" s="313"/>
      <c r="BB76" s="305"/>
      <c r="BC76" s="25">
        <f>+PL!U5</f>
        <v>27.890840815536151</v>
      </c>
      <c r="BD76" s="307"/>
      <c r="BE76" s="309"/>
      <c r="BF76" s="313"/>
      <c r="BG76" s="305"/>
      <c r="BH76" s="25">
        <f>+PL!V5</f>
        <v>29.91593372801378</v>
      </c>
      <c r="BI76" s="307"/>
      <c r="BJ76" s="309"/>
      <c r="BK76" s="313"/>
      <c r="BL76" s="305"/>
      <c r="BM76" s="25">
        <f>+PL!W5</f>
        <v>29.012128747338206</v>
      </c>
      <c r="BN76" s="307"/>
      <c r="BO76" s="309"/>
      <c r="BP76" s="313"/>
      <c r="BQ76" s="305"/>
      <c r="BR76" s="25">
        <f>+PL!X5</f>
        <v>28.169827847924175</v>
      </c>
      <c r="BS76" s="307"/>
      <c r="BT76" s="309"/>
      <c r="BU76" s="313"/>
      <c r="BV76" s="305"/>
      <c r="BW76" s="25">
        <f>+PL!Y5</f>
        <v>27.089217565231777</v>
      </c>
      <c r="BX76" s="307"/>
      <c r="BY76" s="309"/>
      <c r="BZ76" s="313"/>
      <c r="CA76" s="305"/>
      <c r="CB76" s="25">
        <f>+PL!Z5</f>
        <v>28.901053070980453</v>
      </c>
      <c r="CC76" s="307"/>
      <c r="CD76" s="309"/>
      <c r="CE76" s="313"/>
      <c r="CF76" s="305"/>
      <c r="CG76" s="25">
        <f>+PL!AA5</f>
        <v>28.699938493981197</v>
      </c>
      <c r="CH76" s="307"/>
      <c r="CI76" s="309"/>
      <c r="CJ76" s="313"/>
      <c r="CK76" s="305"/>
      <c r="CL76" s="25">
        <f>+PL!AB5</f>
        <v>27.771902540176256</v>
      </c>
      <c r="CM76" s="307"/>
      <c r="CN76" s="309"/>
      <c r="CO76" s="313"/>
      <c r="CP76" s="305"/>
      <c r="CQ76" s="25">
        <f>+PL!AC5</f>
        <v>30.704759458996747</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125711.05251593054</v>
      </c>
      <c r="F78" s="306" t="s">
        <v>168</v>
      </c>
      <c r="G78" s="308">
        <v>100</v>
      </c>
      <c r="H78" s="310">
        <f>IF(E79=0,"-",(E78/E79)*G78)</f>
        <v>37.557605602612611</v>
      </c>
      <c r="I78" s="304"/>
      <c r="J78" s="24">
        <f>+BS!L33+BS!L34+BS!L38+BS!L39+BS!L40</f>
        <v>133829.61923144411</v>
      </c>
      <c r="K78" s="306" t="s">
        <v>111</v>
      </c>
      <c r="L78" s="308">
        <v>100</v>
      </c>
      <c r="M78" s="310">
        <f>IF(J79=0,"-",(J78/J79)*L78)</f>
        <v>33.468996215350067</v>
      </c>
      <c r="N78" s="304"/>
      <c r="O78" s="24">
        <f>+BS!M33+BS!M34+BS!M38+BS!M39+BS!M40</f>
        <v>125087.19447112871</v>
      </c>
      <c r="P78" s="306" t="s">
        <v>111</v>
      </c>
      <c r="Q78" s="308">
        <v>100</v>
      </c>
      <c r="R78" s="310">
        <f>IF(O79=0,"-",(O78/O79)*Q78)</f>
        <v>39.107784496120452</v>
      </c>
      <c r="S78" s="304"/>
      <c r="T78" s="24">
        <f>+BS!N33+BS!N34+BS!N38+BS!N39+BS!N40</f>
        <v>143416.72815093122</v>
      </c>
      <c r="U78" s="306" t="s">
        <v>111</v>
      </c>
      <c r="V78" s="308">
        <v>100</v>
      </c>
      <c r="W78" s="310">
        <f>IF(T79=0,"-",(T78/T79)*V78)</f>
        <v>32.664552063753973</v>
      </c>
      <c r="X78" s="304"/>
      <c r="Y78" s="24">
        <f>+BS!O33+BS!O34+BS!O38+BS!O39+BS!O40</f>
        <v>109686.17721124504</v>
      </c>
      <c r="Z78" s="306" t="s">
        <v>111</v>
      </c>
      <c r="AA78" s="308">
        <v>100</v>
      </c>
      <c r="AB78" s="310">
        <f>IF(Y79=0,"-",(Y78/Y79)*AA78)</f>
        <v>26.653927199686951</v>
      </c>
      <c r="AC78" s="304"/>
      <c r="AD78" s="24">
        <f>+BS!P33+BS!P34+BS!P38+BS!P39+BS!P40</f>
        <v>144420.23895498624</v>
      </c>
      <c r="AE78" s="306" t="s">
        <v>111</v>
      </c>
      <c r="AF78" s="308">
        <v>100</v>
      </c>
      <c r="AG78" s="310">
        <f>IF(AD79=0,"-",(AD78/AD79)*AF78)</f>
        <v>39.033637791937181</v>
      </c>
      <c r="AH78" s="304"/>
      <c r="AI78" s="24">
        <f>+BS!Q33+BS!Q34+BS!Q38+BS!Q39+BS!Q40</f>
        <v>143749.11474677225</v>
      </c>
      <c r="AJ78" s="306" t="s">
        <v>168</v>
      </c>
      <c r="AK78" s="308">
        <v>100</v>
      </c>
      <c r="AL78" s="310">
        <f>IF(AI79=0,"-",(AI78/AI79)*AK78)</f>
        <v>32.189622551783764</v>
      </c>
      <c r="AM78" s="304"/>
      <c r="AN78" s="24">
        <f>+BS!R33+BS!R34+BS!R38+BS!R39+BS!R40</f>
        <v>106944.27405396827</v>
      </c>
      <c r="AO78" s="306" t="s">
        <v>168</v>
      </c>
      <c r="AP78" s="308">
        <v>100</v>
      </c>
      <c r="AQ78" s="310">
        <f>IF(AN79=0,"-",(AN78/AN79)*AP78)</f>
        <v>32.359059398565911</v>
      </c>
      <c r="AR78" s="304"/>
      <c r="AS78" s="24">
        <f>+BS!S33+BS!S34+BS!S38+BS!S39+BS!S40</f>
        <v>113439.24187769614</v>
      </c>
      <c r="AT78" s="306" t="s">
        <v>111</v>
      </c>
      <c r="AU78" s="308">
        <v>100</v>
      </c>
      <c r="AV78" s="310">
        <f>IF(AS79=0,"-",(AS78/AS79)*AU78)</f>
        <v>32.590144319469402</v>
      </c>
      <c r="AW78" s="304"/>
      <c r="AX78" s="24">
        <f>+BS!T33+BS!T34+BS!T38+BS!T39+BS!T40</f>
        <v>102877.93776981541</v>
      </c>
      <c r="AY78" s="306" t="s">
        <v>111</v>
      </c>
      <c r="AZ78" s="308">
        <v>100</v>
      </c>
      <c r="BA78" s="310">
        <f>IF(AX79=0,"-",(AX78/AX79)*AZ78)</f>
        <v>33.781184885372255</v>
      </c>
      <c r="BB78" s="304"/>
      <c r="BC78" s="24">
        <f>+BS!U33+BS!U34+BS!U38+BS!U39+BS!U40</f>
        <v>102077.37149902055</v>
      </c>
      <c r="BD78" s="306" t="s">
        <v>111</v>
      </c>
      <c r="BE78" s="308">
        <v>100</v>
      </c>
      <c r="BF78" s="310">
        <f>IF(BC79=0,"-",(BC78/BC79)*BE78)</f>
        <v>22.784315704513428</v>
      </c>
      <c r="BG78" s="304"/>
      <c r="BH78" s="24">
        <f>+BS!V33+BS!V34+BS!V38+BS!V39+BS!V40</f>
        <v>124853.96797245808</v>
      </c>
      <c r="BI78" s="306" t="s">
        <v>111</v>
      </c>
      <c r="BJ78" s="308">
        <v>100</v>
      </c>
      <c r="BK78" s="310">
        <f>IF(BH79=0,"-",(BH78/BH79)*BJ78)</f>
        <v>24.142538563331073</v>
      </c>
      <c r="BL78" s="304"/>
      <c r="BM78" s="24">
        <f>+BS!W33+BS!W34+BS!W38+BS!W39+BS!W40</f>
        <v>114062.01395665506</v>
      </c>
      <c r="BN78" s="306" t="s">
        <v>111</v>
      </c>
      <c r="BO78" s="308">
        <v>100</v>
      </c>
      <c r="BP78" s="310">
        <f>IF(BM79=0,"-",(BM78/BM79)*BO78)</f>
        <v>28.392167400539936</v>
      </c>
      <c r="BQ78" s="304"/>
      <c r="BR78" s="24">
        <f>+BS!X33+BS!X34+BS!X38+BS!X39+BS!X40</f>
        <v>137633.79321047218</v>
      </c>
      <c r="BS78" s="306" t="s">
        <v>111</v>
      </c>
      <c r="BT78" s="308">
        <v>100</v>
      </c>
      <c r="BU78" s="310">
        <f>IF(BR79=0,"-",(BR78/BR79)*BT78)</f>
        <v>28.549424249021619</v>
      </c>
      <c r="BV78" s="304"/>
      <c r="BW78" s="24">
        <f>+BS!Y33+BS!Y34+BS!Y38+BS!Y39+BS!Y40</f>
        <v>119815.85817704201</v>
      </c>
      <c r="BX78" s="306" t="s">
        <v>111</v>
      </c>
      <c r="BY78" s="308">
        <v>100</v>
      </c>
      <c r="BZ78" s="310">
        <f>IF(BW79=0,"-",(BW78/BW79)*BY78)</f>
        <v>28.287096063595325</v>
      </c>
      <c r="CA78" s="304"/>
      <c r="CB78" s="24">
        <f>+BS!Z33+BS!Z34+BS!Z38+BS!Z39+BS!Z40</f>
        <v>145678.81633362942</v>
      </c>
      <c r="CC78" s="306" t="s">
        <v>111</v>
      </c>
      <c r="CD78" s="308">
        <v>100</v>
      </c>
      <c r="CE78" s="310">
        <f>IF(CB79=0,"-",(CB78/CB79)*CD78)</f>
        <v>32.364427802716172</v>
      </c>
      <c r="CF78" s="304"/>
      <c r="CG78" s="24">
        <f>+BS!AA33+BS!AA34+BS!AA38+BS!AA39+BS!AA40</f>
        <v>118144.92918021262</v>
      </c>
      <c r="CH78" s="306" t="s">
        <v>168</v>
      </c>
      <c r="CI78" s="308">
        <v>100</v>
      </c>
      <c r="CJ78" s="310">
        <f>IF(CG79=0,"-",(CG78/CG79)*CI78)</f>
        <v>23.458855958857779</v>
      </c>
      <c r="CK78" s="304"/>
      <c r="CL78" s="24">
        <f>+BS!AB33+BS!AB34+BS!AB38+BS!AB39+BS!AB40</f>
        <v>142158.09538621045</v>
      </c>
      <c r="CM78" s="306" t="s">
        <v>111</v>
      </c>
      <c r="CN78" s="308">
        <v>100</v>
      </c>
      <c r="CO78" s="310">
        <f>IF(CL79=0,"-",(CL78/CL79)*CN78)</f>
        <v>26.60995566571895</v>
      </c>
      <c r="CP78" s="304"/>
      <c r="CQ78" s="24">
        <f>+BS!AC33+BS!AC34+BS!AC38+BS!AC39+BS!AC40</f>
        <v>195544.5417736689</v>
      </c>
      <c r="CR78" s="306" t="s">
        <v>111</v>
      </c>
      <c r="CS78" s="308">
        <v>100</v>
      </c>
      <c r="CT78" s="310">
        <f>IF(CQ79=0,"-",(CQ78/CQ79)*CS78)</f>
        <v>36.654315482929938</v>
      </c>
    </row>
    <row r="79" spans="1:98" ht="18" customHeight="1" x14ac:dyDescent="0.2">
      <c r="A79" s="22"/>
      <c r="B79" s="321"/>
      <c r="C79" s="323"/>
      <c r="D79" s="305"/>
      <c r="E79" s="25">
        <f>+E7</f>
        <v>334715.30066651996</v>
      </c>
      <c r="F79" s="307"/>
      <c r="G79" s="309"/>
      <c r="H79" s="311"/>
      <c r="I79" s="305"/>
      <c r="J79" s="25">
        <f>+J7</f>
        <v>399861.46692402178</v>
      </c>
      <c r="K79" s="307"/>
      <c r="L79" s="309"/>
      <c r="M79" s="311"/>
      <c r="N79" s="305"/>
      <c r="O79" s="25">
        <f>+O7</f>
        <v>319852.41834279191</v>
      </c>
      <c r="P79" s="307"/>
      <c r="Q79" s="309"/>
      <c r="R79" s="311"/>
      <c r="S79" s="305"/>
      <c r="T79" s="25">
        <f>+T7</f>
        <v>439059.22196947178</v>
      </c>
      <c r="U79" s="307"/>
      <c r="V79" s="309"/>
      <c r="W79" s="311"/>
      <c r="X79" s="305"/>
      <c r="Y79" s="25">
        <f>+Y7</f>
        <v>411519.75988188828</v>
      </c>
      <c r="Z79" s="307"/>
      <c r="AA79" s="309"/>
      <c r="AB79" s="311"/>
      <c r="AC79" s="305"/>
      <c r="AD79" s="25">
        <f>+AD7</f>
        <v>369989.18656978931</v>
      </c>
      <c r="AE79" s="307"/>
      <c r="AF79" s="309"/>
      <c r="AG79" s="311"/>
      <c r="AH79" s="305"/>
      <c r="AI79" s="25">
        <f>+AI7</f>
        <v>446569.74313855846</v>
      </c>
      <c r="AJ79" s="307"/>
      <c r="AK79" s="309"/>
      <c r="AL79" s="311"/>
      <c r="AM79" s="305"/>
      <c r="AN79" s="25">
        <f>+AN7</f>
        <v>330492.52988703322</v>
      </c>
      <c r="AO79" s="307"/>
      <c r="AP79" s="309"/>
      <c r="AQ79" s="311"/>
      <c r="AR79" s="305"/>
      <c r="AS79" s="25">
        <f>+AS7</f>
        <v>348078.36616399197</v>
      </c>
      <c r="AT79" s="307"/>
      <c r="AU79" s="309"/>
      <c r="AV79" s="311"/>
      <c r="AW79" s="305"/>
      <c r="AX79" s="25">
        <f>+AX7</f>
        <v>304542.12343026209</v>
      </c>
      <c r="AY79" s="307"/>
      <c r="AZ79" s="309"/>
      <c r="BA79" s="311"/>
      <c r="BB79" s="305"/>
      <c r="BC79" s="25">
        <f>+BC7</f>
        <v>448015.96336202306</v>
      </c>
      <c r="BD79" s="307"/>
      <c r="BE79" s="309"/>
      <c r="BF79" s="311"/>
      <c r="BG79" s="305"/>
      <c r="BH79" s="25">
        <f>+BH7</f>
        <v>517153.43705443095</v>
      </c>
      <c r="BI79" s="307"/>
      <c r="BJ79" s="309"/>
      <c r="BK79" s="311"/>
      <c r="BL79" s="305"/>
      <c r="BM79" s="25">
        <f>+BM7</f>
        <v>401737.60723348631</v>
      </c>
      <c r="BN79" s="307"/>
      <c r="BO79" s="309"/>
      <c r="BP79" s="311"/>
      <c r="BQ79" s="305"/>
      <c r="BR79" s="25">
        <f>+BR7</f>
        <v>482089.5581289659</v>
      </c>
      <c r="BS79" s="307"/>
      <c r="BT79" s="309"/>
      <c r="BU79" s="311"/>
      <c r="BV79" s="305"/>
      <c r="BW79" s="25">
        <f>+BW7</f>
        <v>423570.72605710692</v>
      </c>
      <c r="BX79" s="307"/>
      <c r="BY79" s="309"/>
      <c r="BZ79" s="311"/>
      <c r="CA79" s="305"/>
      <c r="CB79" s="25">
        <f>+CB7</f>
        <v>450120.16656572366</v>
      </c>
      <c r="CC79" s="307"/>
      <c r="CD79" s="309"/>
      <c r="CE79" s="311"/>
      <c r="CF79" s="305"/>
      <c r="CG79" s="25">
        <f>+CG7</f>
        <v>503626.13329232932</v>
      </c>
      <c r="CH79" s="307"/>
      <c r="CI79" s="309"/>
      <c r="CJ79" s="311"/>
      <c r="CK79" s="305"/>
      <c r="CL79" s="25">
        <f>+CL7</f>
        <v>534228.98246068764</v>
      </c>
      <c r="CM79" s="307"/>
      <c r="CN79" s="309"/>
      <c r="CO79" s="311"/>
      <c r="CP79" s="305"/>
      <c r="CQ79" s="25">
        <f>+CQ7</f>
        <v>533482.99974319467</v>
      </c>
      <c r="CR79" s="307"/>
      <c r="CS79" s="309"/>
      <c r="CT79" s="311"/>
    </row>
    <row r="80" spans="1:98" ht="18" customHeight="1" x14ac:dyDescent="0.2">
      <c r="A80" s="20"/>
      <c r="B80" s="320" t="s">
        <v>573</v>
      </c>
      <c r="C80" s="322" t="s">
        <v>441</v>
      </c>
      <c r="D80" s="304"/>
      <c r="E80" s="24">
        <f>E78-BS!K10</f>
        <v>67531.458287555841</v>
      </c>
      <c r="F80" s="306"/>
      <c r="G80" s="308">
        <v>1</v>
      </c>
      <c r="H80" s="310">
        <f>IF(E81=0,"-",(E80/E81)*G80)</f>
        <v>8.0584324562527403</v>
      </c>
      <c r="I80" s="304"/>
      <c r="J80" s="24">
        <f>J78-BS!L10</f>
        <v>57280.049131426567</v>
      </c>
      <c r="K80" s="306" t="s">
        <v>111</v>
      </c>
      <c r="L80" s="308">
        <v>1</v>
      </c>
      <c r="M80" s="310">
        <f>IF(J81=0,"-",(J80/J81)*L80)</f>
        <v>7.0213260203258585</v>
      </c>
      <c r="N80" s="304"/>
      <c r="O80" s="24">
        <f>O78-BS!M10</f>
        <v>80315.528866140899</v>
      </c>
      <c r="P80" s="306" t="s">
        <v>111</v>
      </c>
      <c r="Q80" s="308">
        <v>1</v>
      </c>
      <c r="R80" s="310">
        <f>IF(O81=0,"-",(O80/O81)*Q80)</f>
        <v>7.7805884177810016</v>
      </c>
      <c r="S80" s="304"/>
      <c r="T80" s="24">
        <f>T78-BS!N9</f>
        <v>-119846.45587698361</v>
      </c>
      <c r="U80" s="306" t="s">
        <v>111</v>
      </c>
      <c r="V80" s="308">
        <v>1</v>
      </c>
      <c r="W80" s="310">
        <f>IF(T81=0,"-",(T80/T81)*V80)</f>
        <v>-6.3519103192028226</v>
      </c>
      <c r="X80" s="304"/>
      <c r="Y80" s="24">
        <f>Y78-BS!O10</f>
        <v>33786.725297133496</v>
      </c>
      <c r="Z80" s="306" t="s">
        <v>111</v>
      </c>
      <c r="AA80" s="308">
        <v>1</v>
      </c>
      <c r="AB80" s="310">
        <f>IF(Y81=0,"-",(Y80/Y81)*AA80)</f>
        <v>3.3799036703550982</v>
      </c>
      <c r="AC80" s="304"/>
      <c r="AD80" s="24">
        <f>AD78-BS!P10</f>
        <v>62009.486071735795</v>
      </c>
      <c r="AE80" s="306" t="s">
        <v>111</v>
      </c>
      <c r="AF80" s="308">
        <v>1</v>
      </c>
      <c r="AG80" s="310">
        <f>IF(AD81=0,"-",(AD80/AD81)*AF80)</f>
        <v>10.12314644159666</v>
      </c>
      <c r="AH80" s="304"/>
      <c r="AI80" s="24">
        <f>AI78-BS!Q10</f>
        <v>41892.866895746018</v>
      </c>
      <c r="AJ80" s="306" t="s">
        <v>111</v>
      </c>
      <c r="AK80" s="308">
        <v>1</v>
      </c>
      <c r="AL80" s="310">
        <f>IF(AI81=0,"-",(AI80/AI81)*AK80)</f>
        <v>4.8512462206524996</v>
      </c>
      <c r="AM80" s="304"/>
      <c r="AN80" s="24">
        <f>AN78-BS!R10</f>
        <v>27740.232860597986</v>
      </c>
      <c r="AO80" s="306" t="s">
        <v>111</v>
      </c>
      <c r="AP80" s="308">
        <v>1</v>
      </c>
      <c r="AQ80" s="310">
        <f>IF(AN81=0,"-",(AN80/AN81)*AP80)</f>
        <v>1.5446897339364407</v>
      </c>
      <c r="AR80" s="304"/>
      <c r="AS80" s="24">
        <f>AS78-BS!S10</f>
        <v>38454.813891585596</v>
      </c>
      <c r="AT80" s="306" t="s">
        <v>111</v>
      </c>
      <c r="AU80" s="308">
        <v>1</v>
      </c>
      <c r="AV80" s="310">
        <f>IF(AS81=0,"-",(AS80/AS81)*AU80)</f>
        <v>1.740731957755165</v>
      </c>
      <c r="AW80" s="304"/>
      <c r="AX80" s="24">
        <f>AX78-BS!T10</f>
        <v>33483.227468685713</v>
      </c>
      <c r="AY80" s="306" t="s">
        <v>111</v>
      </c>
      <c r="AZ80" s="308">
        <v>1</v>
      </c>
      <c r="BA80" s="310">
        <f>IF(AX81=0,"-",(AX80/AX81)*AZ80)</f>
        <v>1.2493146351999505</v>
      </c>
      <c r="BB80" s="304"/>
      <c r="BC80" s="24">
        <f>BC78-BS!U10</f>
        <v>-18122.50785609649</v>
      </c>
      <c r="BD80" s="306" t="s">
        <v>111</v>
      </c>
      <c r="BE80" s="308">
        <v>1</v>
      </c>
      <c r="BF80" s="310">
        <f>IF(BC81=0,"-",(BC80/BC81)*BE80)</f>
        <v>-0.72584836910589545</v>
      </c>
      <c r="BG80" s="304"/>
      <c r="BH80" s="24">
        <f>BH78-BS!V10</f>
        <v>31455.663587245668</v>
      </c>
      <c r="BI80" s="306" t="s">
        <v>111</v>
      </c>
      <c r="BJ80" s="308">
        <v>1</v>
      </c>
      <c r="BK80" s="310">
        <f>IF(BH81=0,"-",(BH80/BH81)*BJ80)</f>
        <v>0.99506481815918146</v>
      </c>
      <c r="BL80" s="304"/>
      <c r="BM80" s="24">
        <f>BM78-BS!W10</f>
        <v>30673.965757643935</v>
      </c>
      <c r="BN80" s="306" t="s">
        <v>111</v>
      </c>
      <c r="BO80" s="308">
        <v>1</v>
      </c>
      <c r="BP80" s="310">
        <f>IF(BM81=0,"-",(BM80/BM81)*BO80)</f>
        <v>1.0301469711087898</v>
      </c>
      <c r="BQ80" s="304"/>
      <c r="BR80" s="24">
        <f>BR78-BS!X10</f>
        <v>25362.419664322981</v>
      </c>
      <c r="BS80" s="306" t="s">
        <v>111</v>
      </c>
      <c r="BT80" s="308">
        <v>1</v>
      </c>
      <c r="BU80" s="310">
        <f>IF(BR81=0,"-",(BR80/BR81)*BT80)</f>
        <v>0.84880779200563128</v>
      </c>
      <c r="BV80" s="304"/>
      <c r="BW80" s="24">
        <f>BW78-BS!Y10</f>
        <v>32696.058672899962</v>
      </c>
      <c r="BX80" s="306" t="s">
        <v>111</v>
      </c>
      <c r="BY80" s="308">
        <v>1</v>
      </c>
      <c r="BZ80" s="310">
        <f>IF(BW81=0,"-",(BW80/BW81)*BY80)</f>
        <v>1.0475471902028632</v>
      </c>
      <c r="CA80" s="304"/>
      <c r="CB80" s="24">
        <f>CB78-BS!Z10</f>
        <v>35541.502255341999</v>
      </c>
      <c r="CC80" s="306" t="s">
        <v>111</v>
      </c>
      <c r="CD80" s="308">
        <v>1</v>
      </c>
      <c r="CE80" s="310">
        <f>IF(CB81=0,"-",(CB80/CB81)*CD80)</f>
        <v>1.1570031451488831</v>
      </c>
      <c r="CF80" s="304"/>
      <c r="CG80" s="24">
        <f>CG78-BS!AA10</f>
        <v>12963.054564625229</v>
      </c>
      <c r="CH80" s="306" t="s">
        <v>111</v>
      </c>
      <c r="CI80" s="308">
        <v>1</v>
      </c>
      <c r="CJ80" s="310">
        <f>IF(CG81=0,"-",(CG80/CG81)*CI80)</f>
        <v>0.35162407598668094</v>
      </c>
      <c r="CK80" s="304"/>
      <c r="CL80" s="24">
        <f>CL78-BS!AB10</f>
        <v>7238.8532918610435</v>
      </c>
      <c r="CM80" s="306" t="s">
        <v>111</v>
      </c>
      <c r="CN80" s="308">
        <v>1</v>
      </c>
      <c r="CO80" s="310">
        <f>IF(CL81=0,"-",(CL80/CL81)*CN80)</f>
        <v>0.22469492595699977</v>
      </c>
      <c r="CP80" s="304"/>
      <c r="CQ80" s="24">
        <f>CQ78-BS!AC10</f>
        <v>63440.188837527821</v>
      </c>
      <c r="CR80" s="306" t="s">
        <v>111</v>
      </c>
      <c r="CS80" s="308">
        <v>1</v>
      </c>
      <c r="CT80" s="310">
        <f>IF(CQ81=0,"-",(CQ80/CQ81)*CS80)</f>
        <v>2.1248530420787506</v>
      </c>
    </row>
    <row r="81" spans="1:98" ht="18" customHeight="1" x14ac:dyDescent="0.2">
      <c r="A81" s="22"/>
      <c r="B81" s="321"/>
      <c r="C81" s="323"/>
      <c r="D81" s="305"/>
      <c r="E81" s="25">
        <f>PL!K28+PL!K13+PL!K24</f>
        <v>8380.2226616860808</v>
      </c>
      <c r="F81" s="307"/>
      <c r="G81" s="309"/>
      <c r="H81" s="311"/>
      <c r="I81" s="305"/>
      <c r="J81" s="25">
        <f>PL!L28+PL!L13+PL!L24</f>
        <v>8158.0101772240751</v>
      </c>
      <c r="K81" s="307"/>
      <c r="L81" s="309"/>
      <c r="M81" s="311"/>
      <c r="N81" s="305"/>
      <c r="O81" s="25">
        <f>PL!M28+PL!M13+PL!M24</f>
        <v>10322.552042798663</v>
      </c>
      <c r="P81" s="307"/>
      <c r="Q81" s="309"/>
      <c r="R81" s="311"/>
      <c r="S81" s="305"/>
      <c r="T81" s="25">
        <f>PL!N28+PL!N13+PL!N24</f>
        <v>18867.781479009387</v>
      </c>
      <c r="U81" s="307"/>
      <c r="V81" s="309"/>
      <c r="W81" s="311"/>
      <c r="X81" s="305"/>
      <c r="Y81" s="25">
        <f>PL!O28+PL!O13+PL!O24</f>
        <v>9996.3574682540602</v>
      </c>
      <c r="Z81" s="307"/>
      <c r="AA81" s="309"/>
      <c r="AB81" s="311"/>
      <c r="AC81" s="305"/>
      <c r="AD81" s="25">
        <f>PL!P28+PL!P13+PL!P24</f>
        <v>6125.5150688065551</v>
      </c>
      <c r="AE81" s="307"/>
      <c r="AF81" s="309"/>
      <c r="AG81" s="311"/>
      <c r="AH81" s="305"/>
      <c r="AI81" s="25">
        <f>PL!Q28+PL!Q13+PL!Q24</f>
        <v>8635.4856031428899</v>
      </c>
      <c r="AJ81" s="307"/>
      <c r="AK81" s="309"/>
      <c r="AL81" s="311"/>
      <c r="AM81" s="305"/>
      <c r="AN81" s="25">
        <f>PL!R28+PL!R13+PL!R24</f>
        <v>17958.449681610567</v>
      </c>
      <c r="AO81" s="307"/>
      <c r="AP81" s="309"/>
      <c r="AQ81" s="311"/>
      <c r="AR81" s="305"/>
      <c r="AS81" s="25">
        <f>PL!S28+PL!S13+PL!S24</f>
        <v>22091.174761435781</v>
      </c>
      <c r="AT81" s="307"/>
      <c r="AU81" s="309"/>
      <c r="AV81" s="311"/>
      <c r="AW81" s="305"/>
      <c r="AX81" s="25">
        <f>PL!T28+PL!T13+PL!T24</f>
        <v>26801.276896373496</v>
      </c>
      <c r="AY81" s="307"/>
      <c r="AZ81" s="309"/>
      <c r="BA81" s="311"/>
      <c r="BB81" s="305"/>
      <c r="BC81" s="25">
        <f>PL!U28+PL!U13+PL!U24</f>
        <v>24967.346662802189</v>
      </c>
      <c r="BD81" s="307"/>
      <c r="BE81" s="309"/>
      <c r="BF81" s="311"/>
      <c r="BG81" s="305"/>
      <c r="BH81" s="25">
        <f>PL!V28+PL!W13+PL!W24</f>
        <v>31611.672941504476</v>
      </c>
      <c r="BI81" s="307"/>
      <c r="BJ81" s="309"/>
      <c r="BK81" s="311"/>
      <c r="BL81" s="305"/>
      <c r="BM81" s="25">
        <f>PL!W28+PL!W13+PL!W24</f>
        <v>29776.300487131732</v>
      </c>
      <c r="BN81" s="307"/>
      <c r="BO81" s="309"/>
      <c r="BP81" s="311"/>
      <c r="BQ81" s="305"/>
      <c r="BR81" s="25">
        <f>PL!X28+PL!X13+PL!X24</f>
        <v>29880.050469841492</v>
      </c>
      <c r="BS81" s="307"/>
      <c r="BT81" s="309"/>
      <c r="BU81" s="311"/>
      <c r="BV81" s="305"/>
      <c r="BW81" s="25">
        <f>PL!Y28+PL!Y13+PL!Y24</f>
        <v>31212.015056398737</v>
      </c>
      <c r="BX81" s="307"/>
      <c r="BY81" s="309"/>
      <c r="BZ81" s="311"/>
      <c r="CA81" s="305"/>
      <c r="CB81" s="25">
        <f>PL!Z28+PL!Z13+PL!Z24</f>
        <v>30718.587416431372</v>
      </c>
      <c r="CC81" s="307"/>
      <c r="CD81" s="309"/>
      <c r="CE81" s="311"/>
      <c r="CF81" s="305"/>
      <c r="CG81" s="25">
        <f>PL!AA28+PL!AA13+PL!AA24</f>
        <v>36866.231438362178</v>
      </c>
      <c r="CH81" s="307"/>
      <c r="CI81" s="309"/>
      <c r="CJ81" s="311"/>
      <c r="CK81" s="305"/>
      <c r="CL81" s="25">
        <f>PL!AB28+PL!AB13+PL!AB24</f>
        <v>32216.362968722999</v>
      </c>
      <c r="CM81" s="307"/>
      <c r="CN81" s="309"/>
      <c r="CO81" s="311"/>
      <c r="CP81" s="305"/>
      <c r="CQ81" s="25">
        <f>PL!AC28+PL!AC13+PL!AC24</f>
        <v>29856.271272042457</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２９　電気機械器具製造業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193409.72679997099</v>
      </c>
      <c r="F4" s="156">
        <f>BS!L9</f>
        <v>257778.55764169153</v>
      </c>
      <c r="G4" s="156">
        <f>BS!M9</f>
        <v>154839.62442458019</v>
      </c>
      <c r="H4" s="156">
        <f>BS!N9</f>
        <v>263263.18402791483</v>
      </c>
      <c r="I4" s="156">
        <f>BS!O9</f>
        <v>242785.98009825882</v>
      </c>
      <c r="J4" s="156">
        <f>BS!P9</f>
        <v>237314.61141043369</v>
      </c>
      <c r="K4" s="156">
        <f>BS!Q9</f>
        <v>293317.87266084732</v>
      </c>
      <c r="L4" s="156">
        <f>BS!R9</f>
        <v>221243.48239326297</v>
      </c>
      <c r="M4" s="156">
        <f>BS!S9</f>
        <v>244834.35591527296</v>
      </c>
      <c r="N4" s="156">
        <f>BS!T9</f>
        <v>186045.67045341473</v>
      </c>
      <c r="O4" s="156">
        <f>BS!U9</f>
        <v>281012.13835993927</v>
      </c>
      <c r="P4" s="156">
        <f>BS!V9</f>
        <v>322831.19111882587</v>
      </c>
      <c r="Q4" s="156">
        <f>BS!W9</f>
        <v>254649.85018438409</v>
      </c>
      <c r="R4" s="156">
        <f>BS!X9</f>
        <v>276132.9326386762</v>
      </c>
      <c r="S4" s="156">
        <f>BS!Y9</f>
        <v>276753.70178473729</v>
      </c>
      <c r="T4" s="156">
        <f>BS!Z9</f>
        <v>300126.60015887808</v>
      </c>
      <c r="U4" s="156">
        <f>BS!AA9</f>
        <v>312301.07811264391</v>
      </c>
      <c r="V4" s="156">
        <f>BS!AB9</f>
        <v>333026.05719716608</v>
      </c>
      <c r="W4" s="156">
        <f>BS!AC9</f>
        <v>352638.21357644239</v>
      </c>
    </row>
    <row r="5" spans="1:23" x14ac:dyDescent="0.2">
      <c r="A5" s="339"/>
      <c r="B5" s="339"/>
      <c r="C5" s="157" t="s">
        <v>387</v>
      </c>
      <c r="D5" s="204" t="s">
        <v>254</v>
      </c>
      <c r="E5" s="158">
        <f>BS!K15</f>
        <v>139570.131106716</v>
      </c>
      <c r="F5" s="158">
        <f>BS!L15</f>
        <v>131431.04053342692</v>
      </c>
      <c r="G5" s="158">
        <f>BS!M15</f>
        <v>163980.23618194507</v>
      </c>
      <c r="H5" s="158">
        <f>BS!N15</f>
        <v>175155.81656647174</v>
      </c>
      <c r="I5" s="158">
        <f>BS!O15</f>
        <v>167419.4828037424</v>
      </c>
      <c r="J5" s="158">
        <f>BS!P15</f>
        <v>132054.10942914442</v>
      </c>
      <c r="K5" s="158">
        <f>BS!Q15</f>
        <v>151272.83464229415</v>
      </c>
      <c r="L5" s="158">
        <f>BS!R15</f>
        <v>108581.00350824046</v>
      </c>
      <c r="M5" s="158">
        <f>BS!S15</f>
        <v>101939.93417601804</v>
      </c>
      <c r="N5" s="158">
        <f>BS!T15</f>
        <v>114893.74221280642</v>
      </c>
      <c r="O5" s="158">
        <f>BS!U15</f>
        <v>165950.60286300292</v>
      </c>
      <c r="P5" s="158">
        <f>BS!V15</f>
        <v>193224.9935587467</v>
      </c>
      <c r="Q5" s="158">
        <f>BS!W15</f>
        <v>144375.36133145381</v>
      </c>
      <c r="R5" s="158">
        <f>BS!X15</f>
        <v>203303.46635164876</v>
      </c>
      <c r="S5" s="158">
        <f>BS!Y15</f>
        <v>146609.20648573179</v>
      </c>
      <c r="T5" s="158">
        <f>BS!Z15</f>
        <v>149032.44284491224</v>
      </c>
      <c r="U5" s="158">
        <f>BS!AA15</f>
        <v>189701.32958439505</v>
      </c>
      <c r="V5" s="158">
        <f>BS!AB15</f>
        <v>199671.22464143773</v>
      </c>
      <c r="W5" s="158">
        <f>BS!AC15</f>
        <v>178433.71477486732</v>
      </c>
    </row>
    <row r="6" spans="1:23" x14ac:dyDescent="0.2">
      <c r="A6" s="339"/>
      <c r="B6" s="339"/>
      <c r="C6" s="157" t="s">
        <v>388</v>
      </c>
      <c r="D6" s="204" t="s">
        <v>254</v>
      </c>
      <c r="E6" s="158">
        <f>BS!K8</f>
        <v>334715.30066651996</v>
      </c>
      <c r="F6" s="158">
        <f>BS!L8</f>
        <v>399861.46692402178</v>
      </c>
      <c r="G6" s="158">
        <f>BS!M8</f>
        <v>319852.41834279191</v>
      </c>
      <c r="H6" s="158">
        <f>BS!N8</f>
        <v>439059.22196947178</v>
      </c>
      <c r="I6" s="158">
        <f>BS!O8</f>
        <v>411519.75988188828</v>
      </c>
      <c r="J6" s="158">
        <f>BS!P8</f>
        <v>369989.18656978931</v>
      </c>
      <c r="K6" s="158">
        <f>BS!Q8</f>
        <v>446569.74313855846</v>
      </c>
      <c r="L6" s="158">
        <f>BS!R8</f>
        <v>330492.52988703322</v>
      </c>
      <c r="M6" s="158">
        <f>BS!S8</f>
        <v>348078.36616399197</v>
      </c>
      <c r="N6" s="158">
        <f>BS!T8</f>
        <v>304542.12343026209</v>
      </c>
      <c r="O6" s="158">
        <f>BS!U8</f>
        <v>448015.96336202306</v>
      </c>
      <c r="P6" s="158">
        <f>BS!V8</f>
        <v>517153.43705443095</v>
      </c>
      <c r="Q6" s="158">
        <f>BS!W8</f>
        <v>401737.60723348631</v>
      </c>
      <c r="R6" s="158">
        <f>BS!X8</f>
        <v>482089.5581289659</v>
      </c>
      <c r="S6" s="158">
        <f>BS!Y8</f>
        <v>423570.72605710692</v>
      </c>
      <c r="T6" s="158">
        <f>BS!Z8</f>
        <v>450120.16656572366</v>
      </c>
      <c r="U6" s="158">
        <f>BS!AA8</f>
        <v>503626.13329232932</v>
      </c>
      <c r="V6" s="158">
        <f>BS!AB8</f>
        <v>534228.98246068764</v>
      </c>
      <c r="W6" s="158">
        <f>BS!AC8</f>
        <v>533482.99974319467</v>
      </c>
    </row>
    <row r="7" spans="1:23" x14ac:dyDescent="0.2">
      <c r="A7" s="339"/>
      <c r="B7" s="339"/>
      <c r="C7" s="157" t="s">
        <v>389</v>
      </c>
      <c r="D7" s="204" t="s">
        <v>254</v>
      </c>
      <c r="E7" s="158">
        <f>BS!K31</f>
        <v>133888.44942503498</v>
      </c>
      <c r="F7" s="158">
        <f>BS!L31</f>
        <v>150815.14300754518</v>
      </c>
      <c r="G7" s="158">
        <f>BS!M31</f>
        <v>119197.70116538607</v>
      </c>
      <c r="H7" s="158">
        <f>BS!N31</f>
        <v>195061.07795377393</v>
      </c>
      <c r="I7" s="158">
        <f>BS!O31</f>
        <v>136846.44735619859</v>
      </c>
      <c r="J7" s="158">
        <f>BS!P31</f>
        <v>125555.77559970916</v>
      </c>
      <c r="K7" s="158">
        <f>BS!Q31</f>
        <v>142268.11261092548</v>
      </c>
      <c r="L7" s="158">
        <f>BS!R31</f>
        <v>111760.21351950399</v>
      </c>
      <c r="M7" s="158">
        <f>BS!S31</f>
        <v>108035.55692710333</v>
      </c>
      <c r="N7" s="158">
        <f>BS!T31</f>
        <v>95074.944668971089</v>
      </c>
      <c r="O7" s="158">
        <f>BS!U31</f>
        <v>97806.008163297345</v>
      </c>
      <c r="P7" s="158">
        <f>BS!V31</f>
        <v>167959.83595088206</v>
      </c>
      <c r="Q7" s="158">
        <f>BS!W31</f>
        <v>134029.05138460972</v>
      </c>
      <c r="R7" s="158">
        <f>BS!X31</f>
        <v>135134.59039879355</v>
      </c>
      <c r="S7" s="158">
        <f>BS!Y31</f>
        <v>124763.91588849493</v>
      </c>
      <c r="T7" s="158">
        <f>BS!Z31</f>
        <v>161988.1884005912</v>
      </c>
      <c r="U7" s="158">
        <f>BS!AA31</f>
        <v>149329.68675863283</v>
      </c>
      <c r="V7" s="158">
        <f>BS!AB31</f>
        <v>140275.50699844479</v>
      </c>
      <c r="W7" s="158">
        <f>BS!AC31</f>
        <v>165467.35088169834</v>
      </c>
    </row>
    <row r="8" spans="1:23" x14ac:dyDescent="0.2">
      <c r="A8" s="339"/>
      <c r="B8" s="339"/>
      <c r="C8" s="157" t="s">
        <v>390</v>
      </c>
      <c r="D8" s="204" t="s">
        <v>254</v>
      </c>
      <c r="E8" s="158">
        <f>BS!K37</f>
        <v>98532.04423936129</v>
      </c>
      <c r="F8" s="158">
        <f>BS!L37</f>
        <v>88955.518512019655</v>
      </c>
      <c r="G8" s="158">
        <f>BS!M37</f>
        <v>92103.812231303556</v>
      </c>
      <c r="H8" s="158">
        <f>BS!N37</f>
        <v>104891.98521282384</v>
      </c>
      <c r="I8" s="158">
        <f>BS!O37</f>
        <v>83098.664815208016</v>
      </c>
      <c r="J8" s="158">
        <f>BS!P37</f>
        <v>104025.60788360592</v>
      </c>
      <c r="K8" s="158">
        <f>BS!Q37</f>
        <v>109775.47272058614</v>
      </c>
      <c r="L8" s="158">
        <f>BS!R37</f>
        <v>81470.640218759436</v>
      </c>
      <c r="M8" s="158">
        <f>BS!S37</f>
        <v>107139.68078552987</v>
      </c>
      <c r="N8" s="158">
        <f>BS!T37</f>
        <v>105042.31175259642</v>
      </c>
      <c r="O8" s="158">
        <f>BS!U37</f>
        <v>120807.89365760158</v>
      </c>
      <c r="P8" s="158">
        <f>BS!V37</f>
        <v>101565.21197308843</v>
      </c>
      <c r="Q8" s="158">
        <f>BS!W37</f>
        <v>93142.017296726015</v>
      </c>
      <c r="R8" s="158">
        <f>BS!X37</f>
        <v>113892.18366572936</v>
      </c>
      <c r="S8" s="158">
        <f>BS!Y37</f>
        <v>99750.635498524993</v>
      </c>
      <c r="T8" s="158">
        <f>BS!Z37</f>
        <v>95220.681276480784</v>
      </c>
      <c r="U8" s="158">
        <f>BS!AA37</f>
        <v>87537.67674193831</v>
      </c>
      <c r="V8" s="158">
        <f>BS!AB37</f>
        <v>128028.40297217904</v>
      </c>
      <c r="W8" s="158">
        <f>BS!AC37</f>
        <v>167935.5492210238</v>
      </c>
    </row>
    <row r="9" spans="1:23" x14ac:dyDescent="0.2">
      <c r="A9" s="339"/>
      <c r="B9" s="339"/>
      <c r="C9" s="159" t="s">
        <v>391</v>
      </c>
      <c r="D9" s="205" t="s">
        <v>254</v>
      </c>
      <c r="E9" s="160">
        <f>BS!K43</f>
        <v>102294.807002124</v>
      </c>
      <c r="F9" s="160">
        <f>BS!L43</f>
        <v>160090.80540445691</v>
      </c>
      <c r="G9" s="160">
        <f>BS!M43</f>
        <v>108550.90494610141</v>
      </c>
      <c r="H9" s="160">
        <f>BS!N43</f>
        <v>139106.15880287433</v>
      </c>
      <c r="I9" s="160">
        <f>BS!O43</f>
        <v>191574.64771048079</v>
      </c>
      <c r="J9" s="160">
        <f>BS!P43</f>
        <v>140407.80308647518</v>
      </c>
      <c r="K9" s="160">
        <f>BS!Q43</f>
        <v>194526.15780704789</v>
      </c>
      <c r="L9" s="160">
        <f>BS!R43</f>
        <v>137261.67614876965</v>
      </c>
      <c r="M9" s="160">
        <f>BS!S43</f>
        <v>132903.12845135876</v>
      </c>
      <c r="N9" s="160">
        <f>BS!T43</f>
        <v>104424.86700869461</v>
      </c>
      <c r="O9" s="160">
        <f>BS!U43</f>
        <v>229402.06154112416</v>
      </c>
      <c r="P9" s="160">
        <f>BS!V43</f>
        <v>247628.38913046109</v>
      </c>
      <c r="Q9" s="160">
        <f>BS!W43</f>
        <v>174566.53855215071</v>
      </c>
      <c r="R9" s="160">
        <f>BS!X43</f>
        <v>233062.78406444282</v>
      </c>
      <c r="S9" s="160">
        <f>BS!Y43</f>
        <v>199056.17467008712</v>
      </c>
      <c r="T9" s="160">
        <f>BS!Z43</f>
        <v>192911.29688865112</v>
      </c>
      <c r="U9" s="160">
        <f>BS!AA43</f>
        <v>266758.76979175821</v>
      </c>
      <c r="V9" s="160">
        <f>BS!AB43</f>
        <v>265925.07249006396</v>
      </c>
      <c r="W9" s="160">
        <f>BS!AC43</f>
        <v>200080.09964047253</v>
      </c>
    </row>
    <row r="10" spans="1:23" x14ac:dyDescent="0.2">
      <c r="A10" s="339"/>
      <c r="B10" s="339" t="s">
        <v>398</v>
      </c>
      <c r="C10" s="155" t="s">
        <v>310</v>
      </c>
      <c r="D10" s="203" t="s">
        <v>254</v>
      </c>
      <c r="E10" s="156">
        <f>PL!K6</f>
        <v>406109.61253936804</v>
      </c>
      <c r="F10" s="156">
        <f>PL!L6</f>
        <v>484288.20845762413</v>
      </c>
      <c r="G10" s="156">
        <f>PL!M6</f>
        <v>416426.79832610243</v>
      </c>
      <c r="H10" s="156">
        <f>PL!N6</f>
        <v>733864.73974775011</v>
      </c>
      <c r="I10" s="156">
        <f>PL!O6</f>
        <v>548635.41173829371</v>
      </c>
      <c r="J10" s="156">
        <f>PL!P6</f>
        <v>435549.2760954285</v>
      </c>
      <c r="K10" s="156">
        <f>PL!Q6</f>
        <v>447411.78996418981</v>
      </c>
      <c r="L10" s="156">
        <f>PL!R6</f>
        <v>344506.67549986951</v>
      </c>
      <c r="M10" s="156">
        <f>PL!S6</f>
        <v>419786.34152781614</v>
      </c>
      <c r="N10" s="156">
        <f>PL!T6</f>
        <v>378318.34964730439</v>
      </c>
      <c r="O10" s="156">
        <f>PL!U6</f>
        <v>453482.84130994877</v>
      </c>
      <c r="P10" s="156">
        <f>PL!V6</f>
        <v>532887.90511023544</v>
      </c>
      <c r="Q10" s="156">
        <f>PL!W6</f>
        <v>477457.02486995549</v>
      </c>
      <c r="R10" s="156">
        <f>PL!X6</f>
        <v>493855.36318422219</v>
      </c>
      <c r="S10" s="156">
        <f>PL!Y6</f>
        <v>496901.22828476451</v>
      </c>
      <c r="T10" s="156">
        <f>PL!Z6</f>
        <v>488368.73248863994</v>
      </c>
      <c r="U10" s="156">
        <f>PL!AA6</f>
        <v>541381.79843598977</v>
      </c>
      <c r="V10" s="156">
        <f>PL!AB6</f>
        <v>527460.97356143082</v>
      </c>
      <c r="W10" s="156">
        <f>PL!AC6</f>
        <v>542406.32066426985</v>
      </c>
    </row>
    <row r="11" spans="1:23" x14ac:dyDescent="0.2">
      <c r="A11" s="339"/>
      <c r="B11" s="339"/>
      <c r="C11" s="157" t="s">
        <v>392</v>
      </c>
      <c r="D11" s="204" t="s">
        <v>254</v>
      </c>
      <c r="E11" s="158">
        <f>PL!K6-PL!K8</f>
        <v>83541.097927195078</v>
      </c>
      <c r="F11" s="158">
        <f>PL!L6-PL!L8</f>
        <v>103323.47780312336</v>
      </c>
      <c r="G11" s="158">
        <f>PL!M6-PL!M8</f>
        <v>89493.631320471759</v>
      </c>
      <c r="H11" s="158">
        <f>PL!N6-PL!N8</f>
        <v>103970.07853626658</v>
      </c>
      <c r="I11" s="158">
        <f>PL!O6-PL!O8</f>
        <v>96859.043408921279</v>
      </c>
      <c r="J11" s="158">
        <f>PL!P6-PL!P8</f>
        <v>83115.315270501014</v>
      </c>
      <c r="K11" s="158">
        <f>PL!Q6-PL!Q8</f>
        <v>77355.044505495287</v>
      </c>
      <c r="L11" s="158">
        <f>PL!R6-PL!R8</f>
        <v>79885.151079349394</v>
      </c>
      <c r="M11" s="158">
        <f>PL!S6-PL!S8</f>
        <v>88516.933943075011</v>
      </c>
      <c r="N11" s="158">
        <f>PL!T6-PL!T8</f>
        <v>82124.792948148621</v>
      </c>
      <c r="O11" s="158">
        <f>PL!U6-PL!U8</f>
        <v>95521.859288749634</v>
      </c>
      <c r="P11" s="158">
        <f>PL!V6-PL!V8</f>
        <v>115869.84077432845</v>
      </c>
      <c r="Q11" s="158">
        <f>PL!W6-PL!W8</f>
        <v>98038.697877844563</v>
      </c>
      <c r="R11" s="158">
        <f>PL!X6-PL!X8</f>
        <v>99697.49945186259</v>
      </c>
      <c r="S11" s="158">
        <f>PL!Y6-PL!Y8</f>
        <v>104094.36995856313</v>
      </c>
      <c r="T11" s="158">
        <f>PL!Z6-PL!Z8</f>
        <v>97922.405508280674</v>
      </c>
      <c r="U11" s="158">
        <f>PL!AA6-PL!AA8</f>
        <v>114188.97610051837</v>
      </c>
      <c r="V11" s="158">
        <f>PL!AB6-PL!AB8</f>
        <v>108333.97554864356</v>
      </c>
      <c r="W11" s="158">
        <f>PL!AC6-PL!AC8</f>
        <v>107773.21580208873</v>
      </c>
    </row>
    <row r="12" spans="1:23" x14ac:dyDescent="0.2">
      <c r="A12" s="339"/>
      <c r="B12" s="339"/>
      <c r="C12" s="157" t="s">
        <v>69</v>
      </c>
      <c r="D12" s="204" t="s">
        <v>254</v>
      </c>
      <c r="E12" s="158">
        <f>PL!K42</f>
        <v>14275.1929978751</v>
      </c>
      <c r="F12" s="158">
        <f>PL!L42</f>
        <v>16172.223197052139</v>
      </c>
      <c r="G12" s="158">
        <f>PL!M42</f>
        <v>15611.055939696322</v>
      </c>
      <c r="H12" s="158">
        <f>PL!N42</f>
        <v>29989.665620941669</v>
      </c>
      <c r="I12" s="158">
        <f>PL!O42</f>
        <v>14528.430940357735</v>
      </c>
      <c r="J12" s="158">
        <f>PL!P42</f>
        <v>8874.1776438745437</v>
      </c>
      <c r="K12" s="158">
        <f>PL!Q42</f>
        <v>189.43328614985074</v>
      </c>
      <c r="L12" s="158">
        <f>PL!R42</f>
        <v>11266.355704716734</v>
      </c>
      <c r="M12" s="158">
        <f>PL!S42</f>
        <v>15460.30983469151</v>
      </c>
      <c r="N12" s="158">
        <f>PL!T42</f>
        <v>19089.618807152841</v>
      </c>
      <c r="O12" s="158">
        <f>PL!U42</f>
        <v>17127.573960358695</v>
      </c>
      <c r="P12" s="158">
        <f>PL!V42</f>
        <v>22155.893111532238</v>
      </c>
      <c r="Q12" s="158">
        <f>PL!W42</f>
        <v>20320.520657159497</v>
      </c>
      <c r="R12" s="158">
        <f>PL!X42</f>
        <v>18783.872203889347</v>
      </c>
      <c r="S12" s="158">
        <f>PL!Y42</f>
        <v>23903.87237241786</v>
      </c>
      <c r="T12" s="158">
        <f>PL!Z42</f>
        <v>19234.433819077665</v>
      </c>
      <c r="U12" s="158">
        <f>PL!AA42</f>
        <v>24612.228538792726</v>
      </c>
      <c r="V12" s="158">
        <f>PL!AB42</f>
        <v>19511.056505961638</v>
      </c>
      <c r="W12" s="158">
        <f>PL!AC42</f>
        <v>19347.807824002739</v>
      </c>
    </row>
    <row r="13" spans="1:23" x14ac:dyDescent="0.2">
      <c r="A13" s="339"/>
      <c r="B13" s="339"/>
      <c r="C13" s="157" t="s">
        <v>311</v>
      </c>
      <c r="D13" s="204" t="s">
        <v>254</v>
      </c>
      <c r="E13" s="158">
        <f>PL!K34</f>
        <v>13352.649967040199</v>
      </c>
      <c r="F13" s="158">
        <f>PL!L34</f>
        <v>16288.647131075628</v>
      </c>
      <c r="G13" s="158">
        <f>PL!M34</f>
        <v>14215.91183382935</v>
      </c>
      <c r="H13" s="158">
        <f>PL!N34</f>
        <v>30782.277270524366</v>
      </c>
      <c r="I13" s="158">
        <f>PL!O34</f>
        <v>15900.586610850854</v>
      </c>
      <c r="J13" s="158">
        <f>PL!P34</f>
        <v>10319.69872265439</v>
      </c>
      <c r="K13" s="158">
        <f>PL!Q34</f>
        <v>3721.8057469202972</v>
      </c>
      <c r="L13" s="158">
        <f>PL!R34</f>
        <v>13461.730876041527</v>
      </c>
      <c r="M13" s="158">
        <f>PL!S34</f>
        <v>15174.711737890315</v>
      </c>
      <c r="N13" s="158">
        <f>PL!T34</f>
        <v>20734.977222637892</v>
      </c>
      <c r="O13" s="158">
        <f>PL!U34</f>
        <v>19681.508170292218</v>
      </c>
      <c r="P13" s="158">
        <f>PL!V34</f>
        <v>28070.766032345389</v>
      </c>
      <c r="Q13" s="158">
        <f>PL!W34</f>
        <v>22767.58050310929</v>
      </c>
      <c r="R13" s="158">
        <f>PL!X34</f>
        <v>19737.228932195911</v>
      </c>
      <c r="S13" s="158">
        <f>PL!Y34</f>
        <v>26426.612312332018</v>
      </c>
      <c r="T13" s="158">
        <f>PL!Z34</f>
        <v>21488.346085337296</v>
      </c>
      <c r="U13" s="158">
        <f>PL!AA34</f>
        <v>27455.862314383623</v>
      </c>
      <c r="V13" s="158">
        <f>PL!AB34</f>
        <v>26313.929065146018</v>
      </c>
      <c r="W13" s="158">
        <f>PL!AC34</f>
        <v>24716.111282314676</v>
      </c>
    </row>
    <row r="14" spans="1:23" x14ac:dyDescent="0.2">
      <c r="A14" s="339"/>
      <c r="B14" s="339"/>
      <c r="C14" s="157" t="s">
        <v>393</v>
      </c>
      <c r="D14" s="204" t="s">
        <v>254</v>
      </c>
      <c r="E14" s="158">
        <f>PL!K37</f>
        <v>10228.9877682561</v>
      </c>
      <c r="F14" s="158">
        <f>PL!L37</f>
        <v>14555.272854886824</v>
      </c>
      <c r="G14" s="158">
        <f>PL!M37</f>
        <v>10444.765013129459</v>
      </c>
      <c r="H14" s="158">
        <f>PL!N37</f>
        <v>29478.758519091156</v>
      </c>
      <c r="I14" s="158">
        <f>PL!O37</f>
        <v>14374.298820298642</v>
      </c>
      <c r="J14" s="158">
        <f>PL!P37</f>
        <v>6285.8171778430542</v>
      </c>
      <c r="K14" s="158">
        <f>PL!Q37</f>
        <v>1430.7727752350386</v>
      </c>
      <c r="L14" s="158">
        <f>PL!R37</f>
        <v>10141.713363462448</v>
      </c>
      <c r="M14" s="158">
        <f>PL!S37</f>
        <v>23627.827886961124</v>
      </c>
      <c r="N14" s="158">
        <f>PL!T37</f>
        <v>19988.376648595517</v>
      </c>
      <c r="O14" s="158">
        <f>PL!U37</f>
        <v>18764.614638320414</v>
      </c>
      <c r="P14" s="158">
        <f>PL!V37</f>
        <v>25778.443944740349</v>
      </c>
      <c r="Q14" s="158">
        <f>PL!W37</f>
        <v>19891.909225999829</v>
      </c>
      <c r="R14" s="158">
        <f>PL!X37</f>
        <v>20322.147692882092</v>
      </c>
      <c r="S14" s="158">
        <f>PL!Y37</f>
        <v>25088.208589078993</v>
      </c>
      <c r="T14" s="158">
        <f>PL!Z37</f>
        <v>21485.056192915719</v>
      </c>
      <c r="U14" s="158">
        <f>PL!AA37</f>
        <v>25877.87777875406</v>
      </c>
      <c r="V14" s="158">
        <f>PL!AB37</f>
        <v>26361.250475203044</v>
      </c>
      <c r="W14" s="158">
        <f>PL!AC37</f>
        <v>25403.469782571472</v>
      </c>
    </row>
    <row r="15" spans="1:23" x14ac:dyDescent="0.2">
      <c r="A15" s="339"/>
      <c r="B15" s="339"/>
      <c r="C15" s="159" t="s">
        <v>394</v>
      </c>
      <c r="D15" s="205" t="s">
        <v>254</v>
      </c>
      <c r="E15" s="160">
        <f>PL!K38</f>
        <v>5517.7470153079903</v>
      </c>
      <c r="F15" s="160">
        <f>PL!L38</f>
        <v>9127.4785050008759</v>
      </c>
      <c r="G15" s="160">
        <f>PL!M38</f>
        <v>3577.1446193826596</v>
      </c>
      <c r="H15" s="160">
        <f>PL!N38</f>
        <v>17079.226625996056</v>
      </c>
      <c r="I15" s="160">
        <f>PL!O38</f>
        <v>6659.4918801793892</v>
      </c>
      <c r="J15" s="160">
        <f>PL!P38</f>
        <v>2463.6837859254802</v>
      </c>
      <c r="K15" s="160">
        <f>PL!Q38</f>
        <v>-1797.7817804879176</v>
      </c>
      <c r="L15" s="160">
        <f>PL!R38</f>
        <v>4677.0994597093013</v>
      </c>
      <c r="M15" s="160">
        <f>PL!S38</f>
        <v>18330.605961998706</v>
      </c>
      <c r="N15" s="160">
        <f>PL!T38</f>
        <v>12258.669644283404</v>
      </c>
      <c r="O15" s="160">
        <f>PL!U38</f>
        <v>11457.792954600152</v>
      </c>
      <c r="P15" s="160">
        <f>PL!V38</f>
        <v>17642.907715193411</v>
      </c>
      <c r="Q15" s="160">
        <f>PL!W38</f>
        <v>13084.615362251294</v>
      </c>
      <c r="R15" s="160">
        <f>PL!X38</f>
        <v>14263.983767058991</v>
      </c>
      <c r="S15" s="160">
        <f>PL!Y38</f>
        <v>9870.8653483552771</v>
      </c>
      <c r="T15" s="160">
        <f>PL!Z38</f>
        <v>14249.19386772373</v>
      </c>
      <c r="U15" s="160">
        <f>PL!AA38</f>
        <v>16846.532554257094</v>
      </c>
      <c r="V15" s="160">
        <f>PL!AB38</f>
        <v>17523.236305512357</v>
      </c>
      <c r="W15" s="160">
        <f>PL!AC38</f>
        <v>18128.290960451977</v>
      </c>
    </row>
    <row r="16" spans="1:23" x14ac:dyDescent="0.2">
      <c r="A16" s="339"/>
      <c r="B16" s="78"/>
      <c r="C16" s="78" t="s">
        <v>317</v>
      </c>
      <c r="D16" s="202" t="s">
        <v>318</v>
      </c>
      <c r="E16" s="100">
        <f>PL!K5</f>
        <v>27.136819746575799</v>
      </c>
      <c r="F16" s="100">
        <f>PL!L5</f>
        <v>28.864713107562729</v>
      </c>
      <c r="G16" s="100">
        <f>PL!M5</f>
        <v>27.245225161506383</v>
      </c>
      <c r="H16" s="100">
        <f>PL!N5</f>
        <v>44.514729278154569</v>
      </c>
      <c r="I16" s="100">
        <f>PL!O5</f>
        <v>31.859551816157666</v>
      </c>
      <c r="J16" s="100">
        <f>PL!P5</f>
        <v>25.113564474086207</v>
      </c>
      <c r="K16" s="100">
        <f>PL!Q5</f>
        <v>29.938145678231695</v>
      </c>
      <c r="L16" s="100">
        <f>PL!R5</f>
        <v>23.598707218075045</v>
      </c>
      <c r="M16" s="100">
        <f>PL!S5</f>
        <v>24.10675612319605</v>
      </c>
      <c r="N16" s="100">
        <f>PL!T5</f>
        <v>27.825857428271824</v>
      </c>
      <c r="O16" s="100">
        <f>PL!U5</f>
        <v>27.890840815536151</v>
      </c>
      <c r="P16" s="100">
        <f>PL!V5</f>
        <v>29.91593372801378</v>
      </c>
      <c r="Q16" s="100">
        <f>PL!W5</f>
        <v>29.012128747338206</v>
      </c>
      <c r="R16" s="100">
        <f>PL!X5</f>
        <v>28.169827847924175</v>
      </c>
      <c r="S16" s="100">
        <f>PL!Y5</f>
        <v>27.089217565231777</v>
      </c>
      <c r="T16" s="100">
        <f>PL!Z5</f>
        <v>28.901053070980453</v>
      </c>
      <c r="U16" s="100">
        <f>PL!AA5</f>
        <v>28.699938493981197</v>
      </c>
      <c r="V16" s="100">
        <f>PL!AB5</f>
        <v>27.771902540176256</v>
      </c>
      <c r="W16" s="100">
        <f>PL!AC5</f>
        <v>30.704759458996747</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4.2648761408423361</v>
      </c>
      <c r="F18" s="165">
        <f>(F12/F6)*100</f>
        <v>4.0444565267713193</v>
      </c>
      <c r="G18" s="165">
        <f t="shared" si="0"/>
        <v>4.8807059269958861</v>
      </c>
      <c r="H18" s="165">
        <f t="shared" si="0"/>
        <v>6.8304374718331005</v>
      </c>
      <c r="I18" s="165">
        <f t="shared" si="0"/>
        <v>3.5304333732425364</v>
      </c>
      <c r="J18" s="165">
        <f t="shared" si="0"/>
        <v>2.3984964874644112</v>
      </c>
      <c r="K18" s="165">
        <f t="shared" si="0"/>
        <v>4.2419641961966674E-2</v>
      </c>
      <c r="L18" s="165">
        <f t="shared" si="0"/>
        <v>3.408959261066423</v>
      </c>
      <c r="M18" s="165">
        <f t="shared" si="0"/>
        <v>4.4416175601696581</v>
      </c>
      <c r="N18" s="165">
        <f t="shared" ref="N18:W18" si="1">(N12/N6)*100</f>
        <v>6.2683016037760773</v>
      </c>
      <c r="O18" s="165">
        <f t="shared" si="1"/>
        <v>3.8229829651222977</v>
      </c>
      <c r="P18" s="165">
        <f t="shared" si="1"/>
        <v>4.28420107535712</v>
      </c>
      <c r="Q18" s="165">
        <f t="shared" si="1"/>
        <v>5.0581574369136399</v>
      </c>
      <c r="R18" s="165">
        <f t="shared" si="1"/>
        <v>3.8963449606316489</v>
      </c>
      <c r="S18" s="165">
        <f t="shared" ref="S18:T18" si="2">(S12/S6)*100</f>
        <v>5.6434193634984764</v>
      </c>
      <c r="T18" s="165">
        <f t="shared" si="2"/>
        <v>4.2731775307537072</v>
      </c>
      <c r="U18" s="165">
        <f t="shared" ref="U18:V18" si="3">(U12/U6)*100</f>
        <v>4.8870038530162176</v>
      </c>
      <c r="V18" s="165">
        <f t="shared" si="3"/>
        <v>3.6521898186977153</v>
      </c>
      <c r="W18" s="165">
        <f t="shared" si="1"/>
        <v>3.6266962271180687</v>
      </c>
    </row>
    <row r="19" spans="1:23" x14ac:dyDescent="0.2">
      <c r="A19" s="341"/>
      <c r="B19" s="163"/>
      <c r="C19" s="164" t="s">
        <v>400</v>
      </c>
      <c r="D19" s="204" t="s">
        <v>404</v>
      </c>
      <c r="E19" s="166">
        <f t="shared" ref="E19:M19" si="4">(E13/E6)*100</f>
        <v>3.9892559259917344</v>
      </c>
      <c r="F19" s="166">
        <f>(F13/F6)*100</f>
        <v>4.0735725941231182</v>
      </c>
      <c r="G19" s="166">
        <f t="shared" si="4"/>
        <v>4.4445222291844253</v>
      </c>
      <c r="H19" s="166">
        <f t="shared" si="4"/>
        <v>7.0109624693555999</v>
      </c>
      <c r="I19" s="166">
        <f t="shared" si="4"/>
        <v>3.8638695297194325</v>
      </c>
      <c r="J19" s="166">
        <f t="shared" si="4"/>
        <v>2.7891892782947143</v>
      </c>
      <c r="K19" s="166">
        <f t="shared" si="4"/>
        <v>0.83342093908174208</v>
      </c>
      <c r="L19" s="166">
        <f t="shared" si="4"/>
        <v>4.0732330260665588</v>
      </c>
      <c r="M19" s="166">
        <f t="shared" si="4"/>
        <v>4.3595676183853875</v>
      </c>
      <c r="N19" s="166">
        <f t="shared" ref="N19:W19" si="5">(N13/N6)*100</f>
        <v>6.8085744556733054</v>
      </c>
      <c r="O19" s="166">
        <f t="shared" si="5"/>
        <v>4.3930372530918973</v>
      </c>
      <c r="P19" s="166">
        <f t="shared" si="5"/>
        <v>5.4279376334089626</v>
      </c>
      <c r="Q19" s="166">
        <f t="shared" si="5"/>
        <v>5.6672763747201236</v>
      </c>
      <c r="R19" s="166">
        <f t="shared" si="5"/>
        <v>4.0941000690406817</v>
      </c>
      <c r="S19" s="166">
        <f t="shared" ref="S19:T19" si="6">(S13/S6)*100</f>
        <v>6.2390081954740921</v>
      </c>
      <c r="T19" s="166">
        <f t="shared" si="6"/>
        <v>4.7739132083964746</v>
      </c>
      <c r="U19" s="166">
        <f t="shared" ref="U19:V19" si="7">(U13/U6)*100</f>
        <v>5.4516357471161836</v>
      </c>
      <c r="V19" s="166">
        <f t="shared" si="7"/>
        <v>4.9255899490781339</v>
      </c>
      <c r="W19" s="166">
        <f t="shared" si="5"/>
        <v>4.6329707402508404</v>
      </c>
    </row>
    <row r="20" spans="1:23" x14ac:dyDescent="0.2">
      <c r="A20" s="341"/>
      <c r="B20" s="163"/>
      <c r="C20" s="164" t="s">
        <v>401</v>
      </c>
      <c r="D20" s="204" t="s">
        <v>404</v>
      </c>
      <c r="E20" s="166">
        <f t="shared" ref="E20:M20" si="8">(E15/E6)*100</f>
        <v>1.6484896281468093</v>
      </c>
      <c r="F20" s="166">
        <f>(F15/F6)*100</f>
        <v>2.2826601860927003</v>
      </c>
      <c r="G20" s="166">
        <f t="shared" si="8"/>
        <v>1.1183734792178328</v>
      </c>
      <c r="H20" s="166">
        <f t="shared" si="8"/>
        <v>3.8899596617933221</v>
      </c>
      <c r="I20" s="166">
        <f t="shared" si="8"/>
        <v>1.6182678280359499</v>
      </c>
      <c r="J20" s="166">
        <f t="shared" si="8"/>
        <v>0.66587994334822731</v>
      </c>
      <c r="K20" s="166">
        <f t="shared" si="8"/>
        <v>-0.40257581444117557</v>
      </c>
      <c r="L20" s="166">
        <f t="shared" si="8"/>
        <v>1.4151906735404871</v>
      </c>
      <c r="M20" s="166">
        <f t="shared" si="8"/>
        <v>5.2662296034113512</v>
      </c>
      <c r="N20" s="166">
        <f t="shared" ref="N20:W20" si="9">(N15/N6)*100</f>
        <v>4.0252788370310784</v>
      </c>
      <c r="O20" s="166">
        <f t="shared" si="9"/>
        <v>2.5574519418053834</v>
      </c>
      <c r="P20" s="166">
        <f t="shared" si="9"/>
        <v>3.4115421944563962</v>
      </c>
      <c r="Q20" s="166">
        <f t="shared" si="9"/>
        <v>3.2570053504218324</v>
      </c>
      <c r="R20" s="166">
        <f t="shared" si="9"/>
        <v>2.9587829743541487</v>
      </c>
      <c r="S20" s="166">
        <f t="shared" ref="S20:T20" si="10">(S15/S6)*100</f>
        <v>2.3303936606384976</v>
      </c>
      <c r="T20" s="166">
        <f t="shared" si="10"/>
        <v>3.1656421831620278</v>
      </c>
      <c r="U20" s="166">
        <f t="shared" ref="U20:V20" si="11">(U15/U6)*100</f>
        <v>3.3450473358336508</v>
      </c>
      <c r="V20" s="166">
        <f t="shared" si="11"/>
        <v>3.2800983999032365</v>
      </c>
      <c r="W20" s="166">
        <f t="shared" si="9"/>
        <v>3.3981009646377638</v>
      </c>
    </row>
    <row r="21" spans="1:23" x14ac:dyDescent="0.2">
      <c r="A21" s="341"/>
      <c r="B21" s="163"/>
      <c r="C21" s="164" t="s">
        <v>402</v>
      </c>
      <c r="D21" s="204" t="s">
        <v>404</v>
      </c>
      <c r="E21" s="166">
        <f>(E12/(E6-BS!K22-BS!K27-BS!K28))*100</f>
        <v>4.6705166034060843</v>
      </c>
      <c r="F21" s="166">
        <f>(F12/(F6-BS!L22-BS!L27-BS!L28))*100</f>
        <v>4.4923586692571638</v>
      </c>
      <c r="G21" s="166">
        <f>(G12/(G6-BS!M22-BS!M27-BS!M28))*100</f>
        <v>5.6985052858645382</v>
      </c>
      <c r="H21" s="166">
        <f>(H12/(H6-BS!N22-BS!N27-BS!N28))*100</f>
        <v>7.6301543303507984</v>
      </c>
      <c r="I21" s="166">
        <f>(I12/(I6-BS!O22-BS!O27-BS!O28))*100</f>
        <v>4.1339709882146298</v>
      </c>
      <c r="J21" s="166">
        <f>(J12/(J6-BS!P22-BS!P27-BS!P28))*100</f>
        <v>2.5928836220954588</v>
      </c>
      <c r="K21" s="166">
        <f>(K12/(K6-BS!Q22-BS!Q27-BS!Q28))*100</f>
        <v>4.726682381201653E-2</v>
      </c>
      <c r="L21" s="166">
        <f>(L12/(L6-BS!R22-BS!R27-BS!R28))*100</f>
        <v>3.7469926735433821</v>
      </c>
      <c r="M21" s="166">
        <f>(M12/(M6-BS!S22-BS!S27-BS!S28))*100</f>
        <v>4.8150758330667314</v>
      </c>
      <c r="N21" s="166">
        <f>(N12/(N6-BS!T22-BS!T27-BS!T28))*100</f>
        <v>6.9627113779753831</v>
      </c>
      <c r="O21" s="166">
        <f>(O12/(O6-BS!U22-BS!U27-BS!U28))*100</f>
        <v>4.1944234171448516</v>
      </c>
      <c r="P21" s="166">
        <f>(P12/(P6-BS!V22-BS!V27-BS!V28))*100</f>
        <v>4.7901520240180115</v>
      </c>
      <c r="Q21" s="166">
        <f>(Q12/(Q6-BS!W22-BS!W27-BS!W28))*100</f>
        <v>5.6413496663187246</v>
      </c>
      <c r="R21" s="166">
        <f>(R12/(R6-BS!X22-BS!X27-BS!X28))*100</f>
        <v>4.7796571752662658</v>
      </c>
      <c r="S21" s="166">
        <f>(S12/(S6-BS!Y22-BS!Y27-BS!Y28))*100</f>
        <v>6.5155535759717091</v>
      </c>
      <c r="T21" s="166">
        <f>(T12/(T6-BS!Z22-BS!Z27-BS!Z28))*100</f>
        <v>4.7234548227955999</v>
      </c>
      <c r="U21" s="166">
        <f>(U12/(U6-BS!AA22-BS!AA27-BS!AA28))*100</f>
        <v>5.7340320959816244</v>
      </c>
      <c r="V21" s="166">
        <f>(V12/(V6-BS!AB22-BS!AB27-BS!AB28))*100</f>
        <v>4.2337134698907271</v>
      </c>
      <c r="W21" s="166">
        <f>(W12/(W6-BS!AC22-BS!AC27-BS!AC28))*100</f>
        <v>4.0859651949189359</v>
      </c>
    </row>
    <row r="22" spans="1:23" x14ac:dyDescent="0.2">
      <c r="A22" s="341"/>
      <c r="B22" s="167"/>
      <c r="C22" s="168" t="s">
        <v>403</v>
      </c>
      <c r="D22" s="205" t="s">
        <v>404</v>
      </c>
      <c r="E22" s="169">
        <f t="shared" ref="E22:M22" si="12">(E15/E9)*100</f>
        <v>5.3939659079599442</v>
      </c>
      <c r="F22" s="169">
        <f>(F15/F9)*100</f>
        <v>5.7014383068040759</v>
      </c>
      <c r="G22" s="169">
        <f t="shared" si="12"/>
        <v>3.2953613985611758</v>
      </c>
      <c r="H22" s="169">
        <f t="shared" si="12"/>
        <v>12.277836418586487</v>
      </c>
      <c r="I22" s="169">
        <f t="shared" si="12"/>
        <v>3.4761864159831921</v>
      </c>
      <c r="J22" s="169">
        <f t="shared" si="12"/>
        <v>1.75466301143401</v>
      </c>
      <c r="K22" s="169">
        <f t="shared" si="12"/>
        <v>-0.92418510741941051</v>
      </c>
      <c r="L22" s="169">
        <f t="shared" si="12"/>
        <v>3.4074328617698617</v>
      </c>
      <c r="M22" s="169">
        <f t="shared" si="12"/>
        <v>13.792456336878125</v>
      </c>
      <c r="N22" s="169">
        <f t="shared" ref="N22:W22" si="13">(N15/N9)*100</f>
        <v>11.739224569242424</v>
      </c>
      <c r="O22" s="169">
        <f t="shared" si="13"/>
        <v>4.9946338222187903</v>
      </c>
      <c r="P22" s="169">
        <f t="shared" si="13"/>
        <v>7.1247516398042636</v>
      </c>
      <c r="Q22" s="169">
        <f t="shared" si="13"/>
        <v>7.4954888094675391</v>
      </c>
      <c r="R22" s="169">
        <f t="shared" si="13"/>
        <v>6.120232290332094</v>
      </c>
      <c r="S22" s="169">
        <f t="shared" ref="S22:T22" si="14">(S15/S9)*100</f>
        <v>4.9588340400467903</v>
      </c>
      <c r="T22" s="169">
        <f t="shared" si="14"/>
        <v>7.3863968038887844</v>
      </c>
      <c r="U22" s="169">
        <f t="shared" ref="U22:V22" si="15">(U15/U9)*100</f>
        <v>6.3152684979796998</v>
      </c>
      <c r="V22" s="169">
        <f t="shared" si="15"/>
        <v>6.5895389785658871</v>
      </c>
      <c r="W22" s="169">
        <f t="shared" si="13"/>
        <v>9.0605167595513105</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20.571071293983874</v>
      </c>
      <c r="F24" s="166">
        <f>(F11/F10)*100</f>
        <v>21.335121524472196</v>
      </c>
      <c r="G24" s="166">
        <f t="shared" si="16"/>
        <v>21.490843452008004</v>
      </c>
      <c r="H24" s="166">
        <f t="shared" si="16"/>
        <v>14.167471593199043</v>
      </c>
      <c r="I24" s="166">
        <f t="shared" si="16"/>
        <v>17.654537300469464</v>
      </c>
      <c r="J24" s="166">
        <f t="shared" si="16"/>
        <v>19.082873013957329</v>
      </c>
      <c r="K24" s="166">
        <f t="shared" si="16"/>
        <v>17.289451516618879</v>
      </c>
      <c r="L24" s="166">
        <f t="shared" si="16"/>
        <v>23.188273772471398</v>
      </c>
      <c r="M24" s="166">
        <f t="shared" si="16"/>
        <v>21.086187230608036</v>
      </c>
      <c r="N24" s="166">
        <f t="shared" ref="N24:W24" si="17">(N11/N10)*100</f>
        <v>21.70785345852541</v>
      </c>
      <c r="O24" s="166">
        <f t="shared" si="17"/>
        <v>21.064051511369506</v>
      </c>
      <c r="P24" s="166">
        <f t="shared" si="17"/>
        <v>21.743755049264841</v>
      </c>
      <c r="Q24" s="166">
        <f t="shared" si="17"/>
        <v>20.533512498752586</v>
      </c>
      <c r="R24" s="166">
        <f t="shared" si="17"/>
        <v>20.187590716651297</v>
      </c>
      <c r="S24" s="166">
        <f t="shared" ref="S24:T24" si="18">(S11/S10)*100</f>
        <v>20.948704497648908</v>
      </c>
      <c r="T24" s="166">
        <f t="shared" si="18"/>
        <v>20.050916242996468</v>
      </c>
      <c r="U24" s="166">
        <f t="shared" ref="U24:V24" si="19">(U11/U10)*100</f>
        <v>21.092134318220801</v>
      </c>
      <c r="V24" s="166">
        <f t="shared" si="19"/>
        <v>20.538766084847872</v>
      </c>
      <c r="W24" s="166">
        <f t="shared" si="17"/>
        <v>19.869461637191449</v>
      </c>
    </row>
    <row r="25" spans="1:23" x14ac:dyDescent="0.2">
      <c r="A25" s="341"/>
      <c r="B25" s="163"/>
      <c r="C25" s="164" t="s">
        <v>407</v>
      </c>
      <c r="D25" s="204" t="s">
        <v>404</v>
      </c>
      <c r="E25" s="166">
        <f t="shared" ref="E25:M25" si="20">(E12/E10)*100</f>
        <v>3.5151083739716378</v>
      </c>
      <c r="F25" s="166">
        <f>(F12/F10)*100</f>
        <v>3.339379921835786</v>
      </c>
      <c r="G25" s="166">
        <f t="shared" si="20"/>
        <v>3.748811556424223</v>
      </c>
      <c r="H25" s="166">
        <f t="shared" si="20"/>
        <v>4.0865385672092591</v>
      </c>
      <c r="I25" s="166">
        <f t="shared" si="20"/>
        <v>2.6481030260744429</v>
      </c>
      <c r="J25" s="166">
        <f t="shared" si="20"/>
        <v>2.0374681192054647</v>
      </c>
      <c r="K25" s="166">
        <f t="shared" si="20"/>
        <v>4.2339806504654853E-2</v>
      </c>
      <c r="L25" s="166">
        <f t="shared" si="20"/>
        <v>3.270286617340453</v>
      </c>
      <c r="M25" s="166">
        <f t="shared" si="20"/>
        <v>3.6828996814006794</v>
      </c>
      <c r="N25" s="166">
        <f t="shared" ref="N25:W25" si="21">(N12/N10)*100</f>
        <v>5.0459140628387598</v>
      </c>
      <c r="O25" s="166">
        <f t="shared" si="21"/>
        <v>3.7768957058845483</v>
      </c>
      <c r="P25" s="166">
        <f t="shared" si="21"/>
        <v>4.1577023796306607</v>
      </c>
      <c r="Q25" s="166">
        <f t="shared" si="21"/>
        <v>4.2559894605580846</v>
      </c>
      <c r="R25" s="166">
        <f t="shared" si="21"/>
        <v>3.8035169007332259</v>
      </c>
      <c r="S25" s="166">
        <f t="shared" ref="S25:T25" si="22">(S12/S10)*100</f>
        <v>4.8105883044263695</v>
      </c>
      <c r="T25" s="166">
        <f t="shared" si="22"/>
        <v>3.9385064070466638</v>
      </c>
      <c r="U25" s="166">
        <f t="shared" ref="U25:V25" si="23">(U12/U10)*100</f>
        <v>4.5461869257325525</v>
      </c>
      <c r="V25" s="166">
        <f t="shared" si="23"/>
        <v>3.699052154365555</v>
      </c>
      <c r="W25" s="166">
        <f t="shared" si="21"/>
        <v>3.5670321467323651</v>
      </c>
    </row>
    <row r="26" spans="1:23" x14ac:dyDescent="0.2">
      <c r="A26" s="341"/>
      <c r="B26" s="163"/>
      <c r="C26" s="164" t="s">
        <v>408</v>
      </c>
      <c r="D26" s="204" t="s">
        <v>404</v>
      </c>
      <c r="E26" s="166">
        <f t="shared" ref="E26:M26" si="24">(E13/E10)*100</f>
        <v>3.2879423571255164</v>
      </c>
      <c r="F26" s="166">
        <f>(F13/F10)*100</f>
        <v>3.3634201383825153</v>
      </c>
      <c r="G26" s="166">
        <f t="shared" si="24"/>
        <v>3.4137841010647247</v>
      </c>
      <c r="H26" s="166">
        <f t="shared" si="24"/>
        <v>4.1945437085729305</v>
      </c>
      <c r="I26" s="166">
        <f t="shared" si="24"/>
        <v>2.8982063991224183</v>
      </c>
      <c r="J26" s="166">
        <f t="shared" si="24"/>
        <v>2.369352743544304</v>
      </c>
      <c r="K26" s="166">
        <f t="shared" si="24"/>
        <v>0.83185240764848545</v>
      </c>
      <c r="L26" s="166">
        <f t="shared" si="24"/>
        <v>3.9075384697579327</v>
      </c>
      <c r="M26" s="166">
        <f t="shared" si="24"/>
        <v>3.6148655248433803</v>
      </c>
      <c r="N26" s="166">
        <f t="shared" ref="N26:W26" si="25">(N13/N10)*100</f>
        <v>5.4808277848453635</v>
      </c>
      <c r="O26" s="166">
        <f t="shared" si="25"/>
        <v>4.340077810538415</v>
      </c>
      <c r="P26" s="166">
        <f t="shared" si="25"/>
        <v>5.267668071118738</v>
      </c>
      <c r="Q26" s="166">
        <f t="shared" si="25"/>
        <v>4.7685088536105367</v>
      </c>
      <c r="R26" s="166">
        <f t="shared" si="25"/>
        <v>3.9965606134023819</v>
      </c>
      <c r="S26" s="166">
        <f t="shared" ref="S26:T26" si="26">(S13/S10)*100</f>
        <v>5.3182827507899493</v>
      </c>
      <c r="T26" s="166">
        <f t="shared" si="26"/>
        <v>4.4000249516050127</v>
      </c>
      <c r="U26" s="166">
        <f t="shared" ref="U26:V26" si="27">(U13/U10)*100</f>
        <v>5.0714417059645323</v>
      </c>
      <c r="V26" s="166">
        <f t="shared" si="27"/>
        <v>4.9887916612055019</v>
      </c>
      <c r="W26" s="166">
        <f t="shared" si="25"/>
        <v>4.5567520769384746</v>
      </c>
    </row>
    <row r="27" spans="1:23" x14ac:dyDescent="0.2">
      <c r="A27" s="341"/>
      <c r="B27" s="163"/>
      <c r="C27" s="164" t="s">
        <v>409</v>
      </c>
      <c r="D27" s="204" t="s">
        <v>404</v>
      </c>
      <c r="E27" s="166">
        <f t="shared" ref="E27:M27" si="28">(E15/E10)*100</f>
        <v>1.3586841692335225</v>
      </c>
      <c r="F27" s="166">
        <f>(F15/F10)*100</f>
        <v>1.884720368077998</v>
      </c>
      <c r="G27" s="166">
        <f t="shared" si="28"/>
        <v>0.85900922653431389</v>
      </c>
      <c r="H27" s="166">
        <f t="shared" si="28"/>
        <v>2.3272989831704773</v>
      </c>
      <c r="I27" s="166">
        <f t="shared" si="28"/>
        <v>1.2138282979364181</v>
      </c>
      <c r="J27" s="166">
        <f t="shared" si="28"/>
        <v>0.56564984059018131</v>
      </c>
      <c r="K27" s="166">
        <f t="shared" si="28"/>
        <v>-0.40181815070894961</v>
      </c>
      <c r="L27" s="166">
        <f t="shared" si="28"/>
        <v>1.357622302361184</v>
      </c>
      <c r="M27" s="166">
        <f t="shared" si="28"/>
        <v>4.366651352991691</v>
      </c>
      <c r="N27" s="166">
        <f t="shared" ref="N27:W27" si="29">(N15/N10)*100</f>
        <v>3.2403053290203392</v>
      </c>
      <c r="O27" s="166">
        <f t="shared" si="29"/>
        <v>2.5266210561578717</v>
      </c>
      <c r="P27" s="166">
        <f t="shared" si="29"/>
        <v>3.3108103122632753</v>
      </c>
      <c r="Q27" s="166">
        <f t="shared" si="29"/>
        <v>2.7404802276843951</v>
      </c>
      <c r="R27" s="166">
        <f t="shared" si="29"/>
        <v>2.8882917611928649</v>
      </c>
      <c r="S27" s="166">
        <f t="shared" ref="S27:T27" si="30">(S15/S10)*100</f>
        <v>1.9864843929704425</v>
      </c>
      <c r="T27" s="166">
        <f t="shared" si="30"/>
        <v>2.9177121547303777</v>
      </c>
      <c r="U27" s="166">
        <f t="shared" ref="U27:V27" si="31">(U15/U10)*100</f>
        <v>3.1117655973890197</v>
      </c>
      <c r="V27" s="166">
        <f t="shared" si="31"/>
        <v>3.3221863197185924</v>
      </c>
      <c r="W27" s="166">
        <f t="shared" si="29"/>
        <v>3.3421975869032581</v>
      </c>
    </row>
    <row r="28" spans="1:23" x14ac:dyDescent="0.2">
      <c r="A28" s="341"/>
      <c r="B28" s="163"/>
      <c r="C28" s="164" t="s">
        <v>410</v>
      </c>
      <c r="D28" s="204" t="s">
        <v>404</v>
      </c>
      <c r="E28" s="166">
        <f>(PL!K11/PL!K6)*100</f>
        <v>13.288840994887272</v>
      </c>
      <c r="F28" s="166">
        <f>(PL!L11/PL!L6)*100</f>
        <v>14.870133011057957</v>
      </c>
      <c r="G28" s="166">
        <f>(PL!M11/PL!M6)*100</f>
        <v>15.807890820836429</v>
      </c>
      <c r="H28" s="166">
        <f>(PL!N11/PL!N6)*100</f>
        <v>13.333733011443977</v>
      </c>
      <c r="I28" s="166">
        <f>(PL!O11/PL!O6)*100</f>
        <v>17.41271677877279</v>
      </c>
      <c r="J28" s="166">
        <f>(PL!P11/PL!P6)*100</f>
        <v>14.966985674250408</v>
      </c>
      <c r="K28" s="166">
        <f>(PL!Q11/PL!Q6)*100</f>
        <v>18.589504665506837</v>
      </c>
      <c r="L28" s="166">
        <f>(PL!R11/PL!R6)*100</f>
        <v>18.957134660686993</v>
      </c>
      <c r="M28" s="166">
        <f>(PL!S11/PL!S6)*100</f>
        <v>15.167239279870531</v>
      </c>
      <c r="N28" s="166">
        <f>(PL!T11/PL!T6)*100</f>
        <v>19.155115466607196</v>
      </c>
      <c r="O28" s="166">
        <f>(PL!U11/PL!U6)*100</f>
        <v>21.422116209106612</v>
      </c>
      <c r="P28" s="166">
        <f>(PL!V11/PL!V6)*100</f>
        <v>13.671549776029169</v>
      </c>
      <c r="Q28" s="166">
        <f>(PL!W11/PL!W6)*100</f>
        <v>18.894388936599899</v>
      </c>
      <c r="R28" s="166">
        <f>(PL!X11/PL!X6)*100</f>
        <v>18.070091554605053</v>
      </c>
      <c r="S28" s="166">
        <f>(PL!Y11/PL!Y6)*100</f>
        <v>15.74718086594352</v>
      </c>
      <c r="T28" s="166">
        <f>(PL!Z11/PL!Z6)*100</f>
        <v>18.613853323931043</v>
      </c>
      <c r="U28" s="166">
        <f>(PL!AA11/PL!AA6)*100</f>
        <v>13.203016494070066</v>
      </c>
      <c r="V28" s="166">
        <f>(PL!AB11/PL!AB6)*100</f>
        <v>14.900533169479949</v>
      </c>
      <c r="W28" s="166">
        <f>(PL!AC11/PL!AC6)*100</f>
        <v>16.406870999483345</v>
      </c>
    </row>
    <row r="29" spans="1:23" x14ac:dyDescent="0.2">
      <c r="A29" s="341"/>
      <c r="B29" s="163"/>
      <c r="C29" s="164" t="s">
        <v>411</v>
      </c>
      <c r="D29" s="204" t="s">
        <v>404</v>
      </c>
      <c r="E29" s="166">
        <f>(PL!K16/PL!K6)*100</f>
        <v>17.055962920012142</v>
      </c>
      <c r="F29" s="166">
        <f>(PL!L16/PL!L6)*100</f>
        <v>17.995741602636414</v>
      </c>
      <c r="G29" s="166">
        <f>(PL!M16/PL!M6)*100</f>
        <v>17.742031895583658</v>
      </c>
      <c r="H29" s="166">
        <f>(PL!N16/PL!N6)*100</f>
        <v>10.080933025989722</v>
      </c>
      <c r="I29" s="166">
        <f>(PL!O16/PL!O6)*100</f>
        <v>15.006434274394961</v>
      </c>
      <c r="J29" s="166">
        <f>(PL!P16/PL!P6)*100</f>
        <v>17.045404894751734</v>
      </c>
      <c r="K29" s="166">
        <f>(PL!Q16/PL!Q6)*100</f>
        <v>17.247111710114361</v>
      </c>
      <c r="L29" s="166">
        <f>(PL!R16/PL!R6)*100</f>
        <v>19.917987155130945</v>
      </c>
      <c r="M29" s="166">
        <f>(PL!S16/PL!S6)*100</f>
        <v>17.40328754920737</v>
      </c>
      <c r="N29" s="166">
        <f>(PL!T16/PL!T6)*100</f>
        <v>16.661939395686652</v>
      </c>
      <c r="O29" s="166">
        <f>(PL!U16/PL!U6)*100</f>
        <v>17.287155805484954</v>
      </c>
      <c r="P29" s="166">
        <f>(PL!V16/PL!V6)*100</f>
        <v>17.586052669634185</v>
      </c>
      <c r="Q29" s="166">
        <f>(PL!W16/PL!W6)*100</f>
        <v>16.277523038194506</v>
      </c>
      <c r="R29" s="166">
        <f>(PL!X16/PL!X6)*100</f>
        <v>16.384073815918082</v>
      </c>
      <c r="S29" s="166">
        <f>(PL!Y16/PL!Y6)*100</f>
        <v>16.138116193222533</v>
      </c>
      <c r="T29" s="166">
        <f>(PL!Z16/PL!Z6)*100</f>
        <v>16.11240983594973</v>
      </c>
      <c r="U29" s="166">
        <f>(PL!AA16/PL!AA6)*100</f>
        <v>16.545947376258354</v>
      </c>
      <c r="V29" s="166">
        <f>(PL!AB16/PL!AB6)*100</f>
        <v>16.839713946862773</v>
      </c>
      <c r="W29" s="166">
        <f>(PL!AC16/PL!AC6)*100</f>
        <v>16.302429490459076</v>
      </c>
    </row>
    <row r="30" spans="1:23" x14ac:dyDescent="0.2">
      <c r="A30" s="341"/>
      <c r="B30" s="167"/>
      <c r="C30" s="168" t="s">
        <v>412</v>
      </c>
      <c r="D30" s="205" t="s">
        <v>404</v>
      </c>
      <c r="E30" s="169">
        <f>(PL!K17/PL!K6)*100</f>
        <v>9.363876898104456</v>
      </c>
      <c r="F30" s="169">
        <f>(PL!L17/PL!L6)*100</f>
        <v>10.151402638844026</v>
      </c>
      <c r="G30" s="169">
        <f>(PL!M17/PL!M6)*100</f>
        <v>9.1461337092473265</v>
      </c>
      <c r="H30" s="169">
        <f>(PL!N17/PL!N6)*100</f>
        <v>5.3862692949722044</v>
      </c>
      <c r="I30" s="169">
        <f>(PL!O17/PL!O6)*100</f>
        <v>8.409410501012669</v>
      </c>
      <c r="J30" s="169">
        <f>(PL!P17/PL!P6)*100</f>
        <v>8.9060109172182305</v>
      </c>
      <c r="K30" s="169">
        <f>(PL!Q17/PL!Q6)*100</f>
        <v>8.8840245767939408</v>
      </c>
      <c r="L30" s="169">
        <f>(PL!R17/PL!R6)*100</f>
        <v>10.788254403929402</v>
      </c>
      <c r="M30" s="169">
        <f>(PL!S17/PL!S6)*100</f>
        <v>9.2220728563072729</v>
      </c>
      <c r="N30" s="169">
        <f>(PL!T17/PL!T6)*100</f>
        <v>8.5127788894885974</v>
      </c>
      <c r="O30" s="169">
        <f>(PL!U17/PL!U6)*100</f>
        <v>9.0844258314410578</v>
      </c>
      <c r="P30" s="169">
        <f>(PL!V17/PL!V6)*100</f>
        <v>8.5008080124755239</v>
      </c>
      <c r="Q30" s="169">
        <f>(PL!W17/PL!W6)*100</f>
        <v>8.2246656837255987</v>
      </c>
      <c r="R30" s="169">
        <f>(PL!X17/PL!X6)*100</f>
        <v>8.6079115053313497</v>
      </c>
      <c r="S30" s="169">
        <f>(PL!Y17/PL!Y6)*100</f>
        <v>8.1108579766170408</v>
      </c>
      <c r="T30" s="169">
        <f>(PL!Z17/PL!Z6)*100</f>
        <v>8.0561599914734519</v>
      </c>
      <c r="U30" s="169">
        <f>(PL!AA17/PL!AA6)*100</f>
        <v>7.8019669450601858</v>
      </c>
      <c r="V30" s="169">
        <f>(PL!AB17/PL!AB6)*100</f>
        <v>8.374975698845077</v>
      </c>
      <c r="W30" s="169">
        <f>(PL!AC17/PL!AC6)*100</f>
        <v>8.2159438825936846</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1.2132986204415521</v>
      </c>
      <c r="F32" s="166">
        <f>F10/F6</f>
        <v>1.2111399785107186</v>
      </c>
      <c r="G32" s="166">
        <f t="shared" si="32"/>
        <v>1.3019341872844929</v>
      </c>
      <c r="H32" s="166">
        <f t="shared" si="32"/>
        <v>1.6714481851807601</v>
      </c>
      <c r="I32" s="166">
        <f t="shared" si="32"/>
        <v>1.333193360862573</v>
      </c>
      <c r="J32" s="166">
        <f t="shared" si="32"/>
        <v>1.1771946097491499</v>
      </c>
      <c r="K32" s="166">
        <f t="shared" si="32"/>
        <v>1.0018855886198499</v>
      </c>
      <c r="L32" s="166">
        <f t="shared" si="32"/>
        <v>1.0424038195889829</v>
      </c>
      <c r="M32" s="166">
        <f t="shared" si="32"/>
        <v>1.2060110088256391</v>
      </c>
      <c r="N32" s="166">
        <f t="shared" ref="N32:W32" si="33">N10/N6</f>
        <v>1.2422529448013668</v>
      </c>
      <c r="O32" s="166">
        <f t="shared" si="33"/>
        <v>1.0122024177596283</v>
      </c>
      <c r="P32" s="166">
        <f t="shared" si="33"/>
        <v>1.0304251445091883</v>
      </c>
      <c r="Q32" s="166">
        <f t="shared" si="33"/>
        <v>1.1884797844988948</v>
      </c>
      <c r="R32" s="166">
        <f t="shared" si="33"/>
        <v>1.0244058491972332</v>
      </c>
      <c r="S32" s="166">
        <f t="shared" ref="S32:T32" si="34">S10/S6</f>
        <v>1.1731245757001889</v>
      </c>
      <c r="T32" s="166">
        <f t="shared" si="34"/>
        <v>1.0849741219433489</v>
      </c>
      <c r="U32" s="166">
        <f t="shared" ref="U32:V32" si="35">U10/U6</f>
        <v>1.0749676449409848</v>
      </c>
      <c r="V32" s="166">
        <f t="shared" si="35"/>
        <v>0.98733125846508174</v>
      </c>
      <c r="W32" s="166">
        <f t="shared" si="33"/>
        <v>1.0167265328517885</v>
      </c>
    </row>
    <row r="33" spans="1:23" x14ac:dyDescent="0.2">
      <c r="A33" s="341"/>
      <c r="B33" s="163"/>
      <c r="C33" s="164" t="s">
        <v>415</v>
      </c>
      <c r="D33" s="204" t="s">
        <v>136</v>
      </c>
      <c r="E33" s="166">
        <f t="shared" ref="E33:M33" si="36">E10/E5</f>
        <v>2.9097172104026661</v>
      </c>
      <c r="F33" s="166">
        <f>F10/F5</f>
        <v>3.6847323622493491</v>
      </c>
      <c r="G33" s="166">
        <f t="shared" si="36"/>
        <v>2.5394938318301605</v>
      </c>
      <c r="H33" s="166">
        <f t="shared" si="36"/>
        <v>4.1897822986041007</v>
      </c>
      <c r="I33" s="166">
        <f t="shared" si="36"/>
        <v>3.2770105518808221</v>
      </c>
      <c r="J33" s="166">
        <f t="shared" si="36"/>
        <v>3.2982637040093699</v>
      </c>
      <c r="K33" s="166">
        <f t="shared" si="36"/>
        <v>2.9576479545858829</v>
      </c>
      <c r="L33" s="166">
        <f t="shared" si="36"/>
        <v>3.1728079900617616</v>
      </c>
      <c r="M33" s="166">
        <f t="shared" si="36"/>
        <v>4.1179773650135756</v>
      </c>
      <c r="N33" s="166">
        <f t="shared" ref="N33:W33" si="37">N10/N5</f>
        <v>3.2927672331064155</v>
      </c>
      <c r="O33" s="166">
        <f t="shared" si="37"/>
        <v>2.7326375046935629</v>
      </c>
      <c r="P33" s="166">
        <f t="shared" si="37"/>
        <v>2.7578621962702776</v>
      </c>
      <c r="Q33" s="166">
        <f t="shared" si="37"/>
        <v>3.3070533674635803</v>
      </c>
      <c r="R33" s="166">
        <f t="shared" si="37"/>
        <v>2.4291536787179679</v>
      </c>
      <c r="S33" s="166">
        <f t="shared" ref="S33:T33" si="38">S10/S5</f>
        <v>3.389290755987576</v>
      </c>
      <c r="T33" s="166">
        <f t="shared" si="38"/>
        <v>3.2769289905343064</v>
      </c>
      <c r="U33" s="166">
        <f t="shared" ref="U33:V33" si="39">U10/U5</f>
        <v>2.8538640167787426</v>
      </c>
      <c r="V33" s="166">
        <f t="shared" si="39"/>
        <v>2.6416474106803616</v>
      </c>
      <c r="W33" s="166">
        <f t="shared" si="37"/>
        <v>3.0398196963428834</v>
      </c>
    </row>
    <row r="34" spans="1:23" x14ac:dyDescent="0.2">
      <c r="A34" s="341"/>
      <c r="B34" s="163"/>
      <c r="C34" s="164" t="s">
        <v>416</v>
      </c>
      <c r="D34" s="204" t="s">
        <v>136</v>
      </c>
      <c r="E34" s="166">
        <f>PL!K6/BS!K16</f>
        <v>3.6613051000342005</v>
      </c>
      <c r="F34" s="166">
        <f>PL!L6/BS!L16</f>
        <v>4.7913117975675048</v>
      </c>
      <c r="G34" s="166">
        <f>PL!M6/BS!M16</f>
        <v>3.5105310463408648</v>
      </c>
      <c r="H34" s="166">
        <f>PL!N6/BS!N16</f>
        <v>5.5622562707514955</v>
      </c>
      <c r="I34" s="166">
        <f>PL!O6/BS!O16</f>
        <v>5.1909906966147155</v>
      </c>
      <c r="J34" s="166">
        <f>PL!P6/BS!P16</f>
        <v>4.2359662059467862</v>
      </c>
      <c r="K34" s="166">
        <f>PL!Q6/BS!Q16</f>
        <v>4.2177138397235217</v>
      </c>
      <c r="L34" s="166">
        <f>PL!R6/BS!R16</f>
        <v>4.3651155806692952</v>
      </c>
      <c r="M34" s="166">
        <f>PL!S6/BS!S16</f>
        <v>5.6581916662545337</v>
      </c>
      <c r="N34" s="166">
        <f>PL!T6/BS!T16</f>
        <v>4.293229470102129</v>
      </c>
      <c r="O34" s="166">
        <f>PL!U6/BS!U16</f>
        <v>3.5981627468773567</v>
      </c>
      <c r="P34" s="166">
        <f>PL!V6/BS!V16</f>
        <v>3.9670352700989961</v>
      </c>
      <c r="Q34" s="166">
        <f>PL!W6/BS!W16</f>
        <v>4.5726263230213338</v>
      </c>
      <c r="R34" s="166">
        <f>PL!X6/BS!X16</f>
        <v>4.2457802542605254</v>
      </c>
      <c r="S34" s="166">
        <f>PL!Y6/BS!Y16</f>
        <v>5.6975323208556299</v>
      </c>
      <c r="T34" s="166">
        <f>PL!Z6/BS!Z16</f>
        <v>4.6087388366937105</v>
      </c>
      <c r="U34" s="166">
        <f>PL!AA6/BS!AA16</f>
        <v>4.6158356024455465</v>
      </c>
      <c r="V34" s="166">
        <f>PL!AB6/BS!AB16</f>
        <v>4.1428049512991745</v>
      </c>
      <c r="W34" s="166">
        <f>PL!AC6/BS!AC16</f>
        <v>4.5611665368375194</v>
      </c>
    </row>
    <row r="35" spans="1:23" x14ac:dyDescent="0.2">
      <c r="A35" s="341"/>
      <c r="B35" s="163"/>
      <c r="C35" s="164" t="s">
        <v>417</v>
      </c>
      <c r="D35" s="204" t="s">
        <v>429</v>
      </c>
      <c r="E35" s="166">
        <f>(BS!K11/PL!K6)*365</f>
        <v>74.383810997977946</v>
      </c>
      <c r="F35" s="166">
        <f>(BS!L11/PL!L6)*365</f>
        <v>85.22501244131027</v>
      </c>
      <c r="G35" s="166">
        <f>(BS!M11/PL!M6)*365</f>
        <v>64.374883677770967</v>
      </c>
      <c r="H35" s="166">
        <f>(BS!N11/PL!N6)*365</f>
        <v>64.046182786111842</v>
      </c>
      <c r="I35" s="166">
        <f>(BS!O11/PL!O6)*365</f>
        <v>66.550228244017148</v>
      </c>
      <c r="J35" s="166">
        <f>(BS!P11/PL!P6)*365</f>
        <v>79.767855925491261</v>
      </c>
      <c r="K35" s="166">
        <f>(BS!Q11/PL!Q6)*365</f>
        <v>87.152219707839265</v>
      </c>
      <c r="L35" s="166">
        <f>(BS!R11/PL!R6)*365</f>
        <v>82.229605107126929</v>
      </c>
      <c r="M35" s="166">
        <f>(BS!S11/PL!S6)*365</f>
        <v>78.808741090301908</v>
      </c>
      <c r="N35" s="166">
        <f>(BS!T11/PL!T6)*365</f>
        <v>64.761945614540579</v>
      </c>
      <c r="O35" s="166">
        <f>(BS!U11/PL!U6)*365</f>
        <v>72.055155819765943</v>
      </c>
      <c r="P35" s="166">
        <f>(BS!V11/PL!V6)*365</f>
        <v>85.595431317347746</v>
      </c>
      <c r="Q35" s="166">
        <f>(BS!W11/PL!W6)*365</f>
        <v>77.468776740498456</v>
      </c>
      <c r="R35" s="166">
        <f>(BS!X11/PL!X6)*365</f>
        <v>60.236415739732173</v>
      </c>
      <c r="S35" s="166">
        <f>(BS!Y11/PL!Y6)*365</f>
        <v>80.864619637868373</v>
      </c>
      <c r="T35" s="166">
        <f>(BS!Z11/PL!Z6)*365</f>
        <v>74.399424128275129</v>
      </c>
      <c r="U35" s="166">
        <f>(BS!AA11/PL!AA6)*365</f>
        <v>68.128294137983247</v>
      </c>
      <c r="V35" s="166">
        <f>(BS!AB11/PL!AB6)*365</f>
        <v>59.549988903644611</v>
      </c>
      <c r="W35" s="166">
        <f>(BS!AC11/PL!AC6)*365</f>
        <v>63.002703685264798</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29.015073787257389</v>
      </c>
      <c r="F40" s="166">
        <f>BS!L13/PL!L6*365</f>
        <v>29.25968633224014</v>
      </c>
      <c r="G40" s="166">
        <f>BS!M13/PL!M6*365</f>
        <v>21.062396107144199</v>
      </c>
      <c r="H40" s="166">
        <f>BS!N13/PL!N6*365</f>
        <v>35.975998571419751</v>
      </c>
      <c r="I40" s="166">
        <f>BS!O13/PL!O6*365</f>
        <v>29.301651695780212</v>
      </c>
      <c r="J40" s="166">
        <f>BS!P13/PL!P6*365</f>
        <v>34.145505448319618</v>
      </c>
      <c r="K40" s="166">
        <f>BS!Q13/PL!Q6*365</f>
        <v>38.464099185841768</v>
      </c>
      <c r="L40" s="166">
        <f>BS!R13/PL!R6*365</f>
        <v>38.523725707802669</v>
      </c>
      <c r="M40" s="166">
        <f>BS!S13/PL!S6*365</f>
        <v>36.608719657121611</v>
      </c>
      <c r="N40" s="166">
        <f>BS!T13/PL!T6*365</f>
        <v>28.625970111683248</v>
      </c>
      <c r="O40" s="166">
        <f>BS!U13/PL!U6*365</f>
        <v>33.676885061061562</v>
      </c>
      <c r="P40" s="166">
        <f>BS!V13/PL!V6*365</f>
        <v>45.868656449792091</v>
      </c>
      <c r="Q40" s="166">
        <f>BS!W13/PL!W6*365</f>
        <v>38.384358825678433</v>
      </c>
      <c r="R40" s="166">
        <f>BS!X13/PL!X6*365</f>
        <v>34.427464794610735</v>
      </c>
      <c r="S40" s="166">
        <f>BS!Y13/PL!Y6*365</f>
        <v>40.234966908677031</v>
      </c>
      <c r="T40" s="166">
        <f>BS!Z13/PL!Z6*365</f>
        <v>39.482006328627662</v>
      </c>
      <c r="U40" s="166">
        <f>BS!AA13/PL!AA6*365</f>
        <v>41.394339990548303</v>
      </c>
      <c r="V40" s="166">
        <f>BS!AB13/PL!AB6*365</f>
        <v>48.780629988660785</v>
      </c>
      <c r="W40" s="166">
        <f>BS!AC13/PL!AC6*365</f>
        <v>52.652770420938815</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52.880097053599783</v>
      </c>
      <c r="F44" s="166">
        <f>BS!L32/PL!L6*365</f>
        <v>47.920591921943753</v>
      </c>
      <c r="G44" s="166">
        <f>BS!M32/PL!M6*365</f>
        <v>47.042341450835416</v>
      </c>
      <c r="H44" s="166">
        <f>BS!N32/PL!N6*365</f>
        <v>52.991814114106425</v>
      </c>
      <c r="I44" s="166">
        <f>BS!O32/PL!O6*365</f>
        <v>46.69947020566287</v>
      </c>
      <c r="J44" s="166">
        <f>BS!P32/PL!P6*365</f>
        <v>50.940120931554844</v>
      </c>
      <c r="K44" s="166">
        <f>BS!Q32/PL!Q6*365</f>
        <v>58.671089054264094</v>
      </c>
      <c r="L44" s="166">
        <f>BS!R32/PL!R6*365</f>
        <v>50.656115933669987</v>
      </c>
      <c r="M44" s="166">
        <f>BS!S32/PL!S6*365</f>
        <v>47.598756743828524</v>
      </c>
      <c r="N44" s="166">
        <f>BS!T32/PL!T6*365</f>
        <v>36.468665795821643</v>
      </c>
      <c r="O44" s="166">
        <f>BS!U32/PL!U6*365</f>
        <v>33.428255319529931</v>
      </c>
      <c r="P44" s="166">
        <f>BS!V32/PL!V6*365</f>
        <v>56.200899779906536</v>
      </c>
      <c r="Q44" s="166">
        <f>BS!W32/PL!W6*365</f>
        <v>48.109972399087603</v>
      </c>
      <c r="R44" s="166">
        <f>BS!X32/PL!X6*365</f>
        <v>42.639826858245684</v>
      </c>
      <c r="S44" s="166">
        <f>BS!Y32/PL!Y6*365</f>
        <v>42.047662796166769</v>
      </c>
      <c r="T44" s="166">
        <f>BS!Z32/PL!Z6*365</f>
        <v>46.986786360962661</v>
      </c>
      <c r="U44" s="166">
        <f>BS!AA32/PL!AA6*365</f>
        <v>45.297140530566779</v>
      </c>
      <c r="V44" s="166">
        <f>BS!AB32/PL!AB6*365</f>
        <v>43.278502281753042</v>
      </c>
      <c r="W44" s="166">
        <f>BS!AC32/PL!AC6*365</f>
        <v>54.39652086598516</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3.2720654202863897</v>
      </c>
      <c r="F48" s="169">
        <f>F6/F9</f>
        <v>2.4977166297202578</v>
      </c>
      <c r="G48" s="169">
        <f t="shared" si="40"/>
        <v>2.9465661157003495</v>
      </c>
      <c r="H48" s="169">
        <f t="shared" si="40"/>
        <v>3.156288878565451</v>
      </c>
      <c r="I48" s="169">
        <f t="shared" si="40"/>
        <v>2.148090912863386</v>
      </c>
      <c r="J48" s="169">
        <f t="shared" si="40"/>
        <v>2.6351041639895056</v>
      </c>
      <c r="K48" s="169">
        <f t="shared" si="40"/>
        <v>2.2956796565195861</v>
      </c>
      <c r="L48" s="169">
        <f t="shared" si="40"/>
        <v>2.4077553120423234</v>
      </c>
      <c r="M48" s="169">
        <f t="shared" si="40"/>
        <v>2.6190381687770823</v>
      </c>
      <c r="N48" s="169">
        <f t="shared" ref="N48:W48" si="41">N6/N9</f>
        <v>2.9163754970825613</v>
      </c>
      <c r="O48" s="169">
        <f t="shared" si="41"/>
        <v>1.9529726993395335</v>
      </c>
      <c r="P48" s="169">
        <f t="shared" si="41"/>
        <v>2.0884254784776419</v>
      </c>
      <c r="Q48" s="169">
        <f t="shared" si="41"/>
        <v>2.3013437200822402</v>
      </c>
      <c r="R48" s="169">
        <f t="shared" si="41"/>
        <v>2.068496521502404</v>
      </c>
      <c r="S48" s="169">
        <f t="shared" ref="S48:T48" si="42">S6/S9</f>
        <v>2.1278954383561679</v>
      </c>
      <c r="T48" s="169">
        <f t="shared" si="42"/>
        <v>2.3333012313194605</v>
      </c>
      <c r="U48" s="169">
        <f t="shared" ref="U48:V48" si="43">U6/U9</f>
        <v>1.8879459283962006</v>
      </c>
      <c r="V48" s="169">
        <f t="shared" si="43"/>
        <v>2.0089455178418674</v>
      </c>
      <c r="W48" s="169">
        <f t="shared" si="41"/>
        <v>2.6663471314829397</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144.45587175782654</v>
      </c>
      <c r="F50" s="166">
        <f>(F4/F7)*100</f>
        <v>170.92352432328036</v>
      </c>
      <c r="G50" s="166">
        <f t="shared" si="44"/>
        <v>129.90151899803939</v>
      </c>
      <c r="H50" s="166">
        <f t="shared" si="44"/>
        <v>134.96448742598645</v>
      </c>
      <c r="I50" s="166">
        <f t="shared" si="44"/>
        <v>177.41489442273169</v>
      </c>
      <c r="J50" s="166">
        <f t="shared" si="44"/>
        <v>189.01130615211892</v>
      </c>
      <c r="K50" s="166">
        <f t="shared" si="44"/>
        <v>206.1726041611393</v>
      </c>
      <c r="L50" s="166">
        <f t="shared" si="44"/>
        <v>197.96265184716415</v>
      </c>
      <c r="M50" s="166">
        <f t="shared" si="44"/>
        <v>226.62386614110224</v>
      </c>
      <c r="N50" s="166">
        <f t="shared" ref="N50:W50" si="45">(N4/N7)*100</f>
        <v>195.6831751006352</v>
      </c>
      <c r="O50" s="166">
        <f t="shared" si="45"/>
        <v>287.31582408593977</v>
      </c>
      <c r="P50" s="166">
        <f t="shared" si="45"/>
        <v>192.20737463284624</v>
      </c>
      <c r="Q50" s="166">
        <f t="shared" si="45"/>
        <v>189.99601023336425</v>
      </c>
      <c r="R50" s="166">
        <f t="shared" si="45"/>
        <v>204.33919385390865</v>
      </c>
      <c r="S50" s="166">
        <f t="shared" ref="S50:T50" si="46">(S4/S7)*100</f>
        <v>221.82191045693048</v>
      </c>
      <c r="T50" s="166">
        <f t="shared" si="46"/>
        <v>185.27684217115595</v>
      </c>
      <c r="U50" s="166">
        <f t="shared" ref="U50:V50" si="47">(U4/U7)*100</f>
        <v>209.13529311651732</v>
      </c>
      <c r="V50" s="166">
        <f t="shared" si="47"/>
        <v>237.40855714808308</v>
      </c>
      <c r="W50" s="166">
        <f t="shared" si="45"/>
        <v>213.11649198309991</v>
      </c>
    </row>
    <row r="51" spans="1:23" x14ac:dyDescent="0.2">
      <c r="A51" s="341"/>
      <c r="B51" s="167"/>
      <c r="C51" s="168" t="s">
        <v>434</v>
      </c>
      <c r="D51" s="205" t="s">
        <v>404</v>
      </c>
      <c r="E51" s="169">
        <f>((BS!K10+BS!K11+BS!K12)/BS!K31)*100</f>
        <v>108.04166787474017</v>
      </c>
      <c r="F51" s="169">
        <f>((BS!L10+BS!L11+BS!L12)/BS!L31)*100</f>
        <v>130.48462731916572</v>
      </c>
      <c r="G51" s="169">
        <f>((BS!M10+BS!M11+BS!M12)/BS!M31)*100</f>
        <v>101.47578413788727</v>
      </c>
      <c r="H51" s="169">
        <f>((BS!N10+BS!N11+BS!N12)/BS!N31)*100</f>
        <v>92.178810424419694</v>
      </c>
      <c r="I51" s="169">
        <f>((BS!O10+BS!O11+BS!O12)/BS!O31)*100</f>
        <v>132.39672849221776</v>
      </c>
      <c r="J51" s="169">
        <f>((BS!P10+BS!P11+BS!P12)/BS!P31)*100</f>
        <v>142.65083000786137</v>
      </c>
      <c r="K51" s="169">
        <f>((BS!Q10+BS!Q11+BS!Q12)/BS!Q31)*100</f>
        <v>148.92018840575713</v>
      </c>
      <c r="L51" s="169">
        <f>((BS!R10+BS!R11+BS!R12)/BS!R31)*100</f>
        <v>145.84476253858975</v>
      </c>
      <c r="M51" s="169">
        <f>((BS!S10+BS!S11+BS!S12)/BS!S31)*100</f>
        <v>165.11860597207524</v>
      </c>
      <c r="N51" s="169">
        <f>((BS!T10+BS!T11+BS!T12)/BS!T31)*100</f>
        <v>150.7486424996649</v>
      </c>
      <c r="O51" s="169">
        <f>((BS!U10+BS!U11+BS!U12)/BS!U31)*100</f>
        <v>219.96682166830297</v>
      </c>
      <c r="P51" s="169">
        <f>((BS!V10+BS!V11+BS!V12)/BS!V31)*100</f>
        <v>132.42144022799246</v>
      </c>
      <c r="Q51" s="169">
        <f>((BS!W10+BS!W11+BS!W12)/BS!W31)*100</f>
        <v>138.86924678496885</v>
      </c>
      <c r="R51" s="169">
        <f>((BS!X10+BS!X11+BS!X12)/BS!X31)*100</f>
        <v>144.31892886320168</v>
      </c>
      <c r="S51" s="169">
        <f>((BS!Y10+BS!Y11+BS!Y12)/BS!Y31)*100</f>
        <v>160.29904085471372</v>
      </c>
      <c r="T51" s="169">
        <f>((BS!Z10+BS!Z11+BS!Z12)/BS!Z31)*100</f>
        <v>129.44368800607853</v>
      </c>
      <c r="U51" s="169">
        <f>((BS!AA10+BS!AA11+BS!AA12)/BS!AA31)*100</f>
        <v>138.10538311242507</v>
      </c>
      <c r="V51" s="169">
        <f>((BS!AB10+BS!AB11+BS!AB12)/BS!AB31)*100</f>
        <v>157.52917233987185</v>
      </c>
      <c r="W51" s="169">
        <f>((BS!AC10+BS!AC11+BS!AC12)/BS!AC31)*100</f>
        <v>136.41917062302571</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30.561736137673996</v>
      </c>
      <c r="F53" s="166">
        <f>(F9/F6)*100</f>
        <v>40.036567323171454</v>
      </c>
      <c r="G53" s="166">
        <f t="shared" si="48"/>
        <v>33.937809665007862</v>
      </c>
      <c r="H53" s="166">
        <f t="shared" si="48"/>
        <v>31.682778049596806</v>
      </c>
      <c r="I53" s="166">
        <f t="shared" si="48"/>
        <v>46.552964495669727</v>
      </c>
      <c r="J53" s="166">
        <f t="shared" si="48"/>
        <v>37.949163971036953</v>
      </c>
      <c r="K53" s="166">
        <f t="shared" si="48"/>
        <v>43.560084577134397</v>
      </c>
      <c r="L53" s="166">
        <f t="shared" si="48"/>
        <v>41.532459506932739</v>
      </c>
      <c r="M53" s="166">
        <f t="shared" si="48"/>
        <v>38.181955953201474</v>
      </c>
      <c r="N53" s="166">
        <f t="shared" ref="N53:W53" si="49">(N9/N6)*100</f>
        <v>34.289137355610229</v>
      </c>
      <c r="O53" s="166">
        <f t="shared" si="49"/>
        <v>51.203992781782624</v>
      </c>
      <c r="P53" s="166">
        <f t="shared" si="49"/>
        <v>47.882963041082512</v>
      </c>
      <c r="Q53" s="166">
        <f t="shared" si="49"/>
        <v>43.452874565137293</v>
      </c>
      <c r="R53" s="166">
        <f t="shared" si="49"/>
        <v>48.344292079044607</v>
      </c>
      <c r="S53" s="166">
        <f t="shared" ref="S53:T53" si="50">(S9/S6)*100</f>
        <v>46.994790344233991</v>
      </c>
      <c r="T53" s="166">
        <f t="shared" si="50"/>
        <v>42.857732494081326</v>
      </c>
      <c r="U53" s="166">
        <f t="shared" ref="U53:V53" si="51">(U9/U6)*100</f>
        <v>52.967618667420965</v>
      </c>
      <c r="V53" s="166">
        <f t="shared" si="51"/>
        <v>49.777357878488488</v>
      </c>
      <c r="W53" s="166">
        <f t="shared" si="49"/>
        <v>37.504494002018077</v>
      </c>
    </row>
    <row r="54" spans="1:23" x14ac:dyDescent="0.2">
      <c r="A54" s="341"/>
      <c r="B54" s="167"/>
      <c r="C54" s="168" t="s">
        <v>437</v>
      </c>
      <c r="D54" s="205" t="s">
        <v>404</v>
      </c>
      <c r="E54" s="169">
        <f t="shared" ref="E54:M54" si="52">(E7+E8)/E9*100</f>
        <v>227.20654202863929</v>
      </c>
      <c r="F54" s="169">
        <f>(F7+F8)/F9*100</f>
        <v>149.77166297202578</v>
      </c>
      <c r="G54" s="169">
        <f t="shared" si="52"/>
        <v>194.65661157003416</v>
      </c>
      <c r="H54" s="169">
        <f t="shared" si="52"/>
        <v>215.62888785654533</v>
      </c>
      <c r="I54" s="169">
        <f t="shared" si="52"/>
        <v>114.80909128633816</v>
      </c>
      <c r="J54" s="169">
        <f t="shared" si="52"/>
        <v>163.51041639895124</v>
      </c>
      <c r="K54" s="169">
        <f t="shared" si="52"/>
        <v>129.56796565195913</v>
      </c>
      <c r="L54" s="169">
        <f t="shared" si="52"/>
        <v>140.77553120423227</v>
      </c>
      <c r="M54" s="169">
        <f t="shared" si="52"/>
        <v>161.90381687770821</v>
      </c>
      <c r="N54" s="169">
        <f t="shared" ref="N54:W54" si="53">(N7+N8)/N9*100</f>
        <v>191.63754970825616</v>
      </c>
      <c r="O54" s="169">
        <f t="shared" si="53"/>
        <v>95.297269933953373</v>
      </c>
      <c r="P54" s="169">
        <f t="shared" si="53"/>
        <v>108.84254784776446</v>
      </c>
      <c r="Q54" s="169">
        <f t="shared" si="53"/>
        <v>130.13437200822409</v>
      </c>
      <c r="R54" s="169">
        <f t="shared" si="53"/>
        <v>106.84965215024033</v>
      </c>
      <c r="S54" s="169">
        <f t="shared" ref="S54:T54" si="54">(S7+S8)/S9*100</f>
        <v>112.78954383561684</v>
      </c>
      <c r="T54" s="169">
        <f t="shared" si="54"/>
        <v>133.33012313194575</v>
      </c>
      <c r="U54" s="169">
        <f t="shared" ref="U54:V54" si="55">(U7+U8)/U9*100</f>
        <v>88.79459283962008</v>
      </c>
      <c r="V54" s="169">
        <f t="shared" si="55"/>
        <v>100.89455178418677</v>
      </c>
      <c r="W54" s="169">
        <f t="shared" si="53"/>
        <v>166.63471314829394</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69.497744073519925</v>
      </c>
      <c r="F56" s="166">
        <f>(F5/(F8+F9))*100</f>
        <v>52.77373239907984</v>
      </c>
      <c r="G56" s="166">
        <f t="shared" si="56"/>
        <v>81.722592166604855</v>
      </c>
      <c r="H56" s="166">
        <f t="shared" si="56"/>
        <v>71.785716761518771</v>
      </c>
      <c r="I56" s="166">
        <f t="shared" si="56"/>
        <v>60.95222039020792</v>
      </c>
      <c r="J56" s="166">
        <f t="shared" si="56"/>
        <v>54.024574179553532</v>
      </c>
      <c r="K56" s="166">
        <f t="shared" si="56"/>
        <v>49.711476859325224</v>
      </c>
      <c r="L56" s="166">
        <f t="shared" si="56"/>
        <v>49.641043130451372</v>
      </c>
      <c r="M56" s="166">
        <f t="shared" si="56"/>
        <v>42.467397586327031</v>
      </c>
      <c r="N56" s="166">
        <f t="shared" ref="N56:W56" si="57">(N5/(N8+N9))*100</f>
        <v>54.850474853504103</v>
      </c>
      <c r="O56" s="166">
        <f t="shared" si="57"/>
        <v>47.386032406998446</v>
      </c>
      <c r="P56" s="166">
        <f t="shared" si="57"/>
        <v>55.334631834060431</v>
      </c>
      <c r="Q56" s="166">
        <f t="shared" si="57"/>
        <v>53.930051235626053</v>
      </c>
      <c r="R56" s="166">
        <f t="shared" si="57"/>
        <v>58.596499621172285</v>
      </c>
      <c r="S56" s="166">
        <f t="shared" ref="S56:T56" si="58">(S5/(S8+S9))*100</f>
        <v>49.064881219742766</v>
      </c>
      <c r="T56" s="166">
        <f t="shared" si="58"/>
        <v>51.723673225711849</v>
      </c>
      <c r="U56" s="166">
        <f t="shared" ref="U56:V56" si="59">(U5/(U8+U9))*100</f>
        <v>53.543108162772079</v>
      </c>
      <c r="V56" s="166">
        <f t="shared" si="59"/>
        <v>50.683960690321271</v>
      </c>
      <c r="W56" s="166">
        <f t="shared" si="57"/>
        <v>48.485360697805895</v>
      </c>
    </row>
    <row r="57" spans="1:23" x14ac:dyDescent="0.2">
      <c r="A57" s="341"/>
      <c r="B57" s="167"/>
      <c r="C57" s="168" t="s">
        <v>440</v>
      </c>
      <c r="D57" s="205" t="s">
        <v>404</v>
      </c>
      <c r="E57" s="169">
        <f t="shared" ref="E57:M57" si="60">(E5/E9)*100</f>
        <v>136.43911670297987</v>
      </c>
      <c r="F57" s="169">
        <f>(F5/F9)*100</f>
        <v>82.097807054800342</v>
      </c>
      <c r="G57" s="169">
        <f t="shared" si="60"/>
        <v>151.06298401046578</v>
      </c>
      <c r="H57" s="169">
        <f t="shared" si="60"/>
        <v>125.91521329740903</v>
      </c>
      <c r="I57" s="169">
        <f t="shared" si="60"/>
        <v>87.391251819894705</v>
      </c>
      <c r="J57" s="169">
        <f t="shared" si="60"/>
        <v>94.050406406411867</v>
      </c>
      <c r="K57" s="169">
        <f t="shared" si="60"/>
        <v>77.764777934051892</v>
      </c>
      <c r="L57" s="169">
        <f t="shared" si="60"/>
        <v>79.105112624849539</v>
      </c>
      <c r="M57" s="169">
        <f t="shared" si="60"/>
        <v>76.702433843253786</v>
      </c>
      <c r="N57" s="169">
        <f t="shared" ref="N57:W57" si="61">(N5/N9)*100</f>
        <v>110.02527032496978</v>
      </c>
      <c r="O57" s="169">
        <f t="shared" si="61"/>
        <v>72.340501976375435</v>
      </c>
      <c r="P57" s="169">
        <f t="shared" si="61"/>
        <v>78.030226759237863</v>
      </c>
      <c r="Q57" s="169">
        <f t="shared" si="61"/>
        <v>82.70506050523683</v>
      </c>
      <c r="R57" s="169">
        <f t="shared" si="61"/>
        <v>87.231201312447425</v>
      </c>
      <c r="S57" s="169">
        <f t="shared" ref="S57:T57" si="62">(S5/S9)*100</f>
        <v>73.652177195065576</v>
      </c>
      <c r="T57" s="169">
        <f t="shared" si="62"/>
        <v>77.254388544665758</v>
      </c>
      <c r="U57" s="169">
        <f t="shared" ref="U57:V57" si="63">(U5/U9)*100</f>
        <v>71.113436957473951</v>
      </c>
      <c r="V57" s="169">
        <f t="shared" si="63"/>
        <v>75.085520433165726</v>
      </c>
      <c r="W57" s="169">
        <f t="shared" si="61"/>
        <v>89.181140500978358</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-8.4435374656777231</v>
      </c>
      <c r="G59" s="166">
        <f>(ＣＦ!E22+PL!M32+(PL!M37-PL!M38))/PL!M32</f>
        <v>21.270372681615267</v>
      </c>
      <c r="H59" s="166">
        <f>(ＣＦ!F22+PL!N32+(PL!N37-PL!N38))/PL!N32</f>
        <v>5.2385703381658733</v>
      </c>
      <c r="I59" s="166">
        <f>(ＣＦ!G22+PL!O32+(PL!O37-PL!O38))/PL!O32</f>
        <v>13.253630609957737</v>
      </c>
      <c r="J59" s="166">
        <f>(ＣＦ!H22+PL!P32+(PL!P37-PL!P38))/PL!P32</f>
        <v>0.70357361952186792</v>
      </c>
      <c r="K59" s="166">
        <f>(ＣＦ!I22+PL!Q32+(PL!Q37-PL!Q38))/PL!Q32</f>
        <v>-0.38766236015452599</v>
      </c>
      <c r="L59" s="166">
        <f>(ＣＦ!J22+PL!R32+(PL!R37-PL!R38))/PL!R32</f>
        <v>22.080408132375283</v>
      </c>
      <c r="M59" s="166">
        <f>(ＣＦ!K22+PL!S32+(PL!S37-PL!S38))/PL!S32</f>
        <v>7.4754177741433105</v>
      </c>
      <c r="N59" s="166">
        <f>(ＣＦ!L22+PL!T32+(PL!T37-PL!T38))/PL!T32</f>
        <v>29.51955994381753</v>
      </c>
      <c r="O59" s="166">
        <f>(ＣＦ!M22+PL!U32+(PL!U37-PL!U38))/PL!U32</f>
        <v>2.6041404791020253</v>
      </c>
      <c r="P59" s="166">
        <f>(ＣＦ!N22+PL!V32+(PL!V37-PL!V38))/PL!V32</f>
        <v>-4.3460290504604311</v>
      </c>
      <c r="Q59" s="166">
        <f>(ＣＦ!O22+PL!W32+(PL!W37-PL!W38))/PL!W32</f>
        <v>26.85372144298589</v>
      </c>
      <c r="R59" s="166">
        <f>(ＣＦ!P22+PL!X32+(PL!X37-PL!X38))/PL!X32</f>
        <v>24.762854052883753</v>
      </c>
      <c r="S59" s="166">
        <f>(ＣＦ!Q22+PL!Y32+(PL!Y37-PL!Y38))/PL!Y32</f>
        <v>2.1485273668382336</v>
      </c>
      <c r="T59" s="166">
        <f>(ＣＦ!R22+PL!Z32+(PL!Z37-PL!Z38))/PL!Z32</f>
        <v>22.012429470464827</v>
      </c>
      <c r="U59" s="166">
        <f>(ＣＦ!S22+PL!AA32+(PL!AA37-PL!AA38))/PL!AA32</f>
        <v>15.471001537760467</v>
      </c>
      <c r="V59" s="166">
        <f>(ＣＦ!T22+PL!AB32+(PL!AB37-PL!AB38))/PL!AB32</f>
        <v>31.971308576286738</v>
      </c>
      <c r="W59" s="166">
        <f>(ＣＦ!U22+PL!AC32+(PL!AC37-PL!AC38))/PL!AC32</f>
        <v>14.32830137573829</v>
      </c>
    </row>
    <row r="60" spans="1:23" x14ac:dyDescent="0.2">
      <c r="A60" s="341"/>
      <c r="B60" s="163"/>
      <c r="C60" s="164" t="s">
        <v>444</v>
      </c>
      <c r="D60" s="204" t="s">
        <v>404</v>
      </c>
      <c r="E60" s="176" t="s">
        <v>455</v>
      </c>
      <c r="F60" s="166">
        <f>(ＣＦ!D22/(BS!L33+BS!L38+BS!L39))*100</f>
        <v>-29.390261409215746</v>
      </c>
      <c r="G60" s="166">
        <f>(ＣＦ!E22/(BS!M33+BS!M38+BS!M39))*100</f>
        <v>64.445510568627029</v>
      </c>
      <c r="H60" s="166">
        <f>(ＣＦ!F22/(BS!N33+BS!N38+BS!N39))*100</f>
        <v>0.91403989857334733</v>
      </c>
      <c r="I60" s="166">
        <f>(ＣＦ!G22/(BS!O33+BS!O38+BS!O39))*100</f>
        <v>22.757711031127599</v>
      </c>
      <c r="J60" s="166">
        <f>(ＣＦ!H22/(BS!P33+BS!P38+BS!P39))*100</f>
        <v>-4.3805268127193226</v>
      </c>
      <c r="K60" s="166">
        <f>(ＣＦ!I22/(BS!Q33+BS!Q38+BS!Q39))*100</f>
        <v>-7.1260565486970879</v>
      </c>
      <c r="L60" s="166">
        <f>(ＣＦ!J22/(BS!R33+BS!R38+BS!R39))*100</f>
        <v>49.968841215405071</v>
      </c>
      <c r="M60" s="166">
        <f>(ＣＦ!K22/(BS!S33+BS!S38+BS!S39))*100</f>
        <v>9.5477508954700774</v>
      </c>
      <c r="N60" s="166">
        <f>(ＣＦ!L22/(BS!T33+BS!T38+BS!T39))*100</f>
        <v>70.644050520867268</v>
      </c>
      <c r="O60" s="166">
        <f>(ＣＦ!M22/(BS!U33+BS!U38+BS!U39))*100</f>
        <v>-4.1878383442361677</v>
      </c>
      <c r="P60" s="166">
        <f>(ＣＦ!N22/(BS!V33+BS!V38+BS!V39))*100</f>
        <v>-18.006061798571221</v>
      </c>
      <c r="Q60" s="166">
        <f>(ＣＦ!O22/(BS!W33+BS!W38+BS!W39))*100</f>
        <v>43.062108640626761</v>
      </c>
      <c r="R60" s="166">
        <f>(ＣＦ!P22/(BS!X33+BS!X38+BS!X39))*100</f>
        <v>25.371714343521163</v>
      </c>
      <c r="S60" s="166">
        <f>(ＣＦ!Q22/(BS!Y33+BS!Y38+BS!Y39))*100</f>
        <v>-12.80280823991815</v>
      </c>
      <c r="T60" s="166">
        <f>(ＣＦ!R22/(BS!Z33+BS!Z38+BS!Z39))*100</f>
        <v>26.83690510359455</v>
      </c>
      <c r="U60" s="166">
        <f>(ＣＦ!S22/(BS!AA33+BS!AA38+BS!AA39))*100</f>
        <v>17.327243047130885</v>
      </c>
      <c r="V60" s="166">
        <f>(ＣＦ!T22/(BS!AB33+BS!AB38+BS!AB39))*100</f>
        <v>34.558358887794888</v>
      </c>
      <c r="W60" s="166">
        <f>(ＣＦ!U22/(BS!AC33+BS!AC38+BS!AC39))*100</f>
        <v>6.9804325546552821</v>
      </c>
    </row>
    <row r="61" spans="1:23" x14ac:dyDescent="0.2">
      <c r="A61" s="341"/>
      <c r="B61" s="167"/>
      <c r="C61" s="168" t="s">
        <v>445</v>
      </c>
      <c r="D61" s="205" t="s">
        <v>404</v>
      </c>
      <c r="E61" s="177" t="s">
        <v>455</v>
      </c>
      <c r="F61" s="169">
        <f>(ＣＦ!D22/ＣＦ!D26)</f>
        <v>-2.6163101172492285</v>
      </c>
      <c r="G61" s="169">
        <f>(ＣＦ!E22/ＣＦ!E26)</f>
        <v>-1.1520164752725945</v>
      </c>
      <c r="H61" s="169">
        <f>(ＣＦ!F22/ＣＦ!F26)</f>
        <v>-5.2273464345940761E-2</v>
      </c>
      <c r="I61" s="169">
        <f>(ＣＦ!G22/ＣＦ!G26)</f>
        <v>0.43270892695704244</v>
      </c>
      <c r="J61" s="169">
        <f>(ＣＦ!H22/ＣＦ!H26)</f>
        <v>0.18886791832877667</v>
      </c>
      <c r="K61" s="169">
        <f>(ＣＦ!I22/ＣＦ!I26)</f>
        <v>-0.29178563504568072</v>
      </c>
      <c r="L61" s="169">
        <f>(ＣＦ!J22/ＣＦ!J26)</f>
        <v>-1.4405909821404073</v>
      </c>
      <c r="M61" s="169">
        <f>(ＣＦ!K22/ＣＦ!K26)</f>
        <v>-0.41258623974649966</v>
      </c>
      <c r="N61" s="169">
        <f>(ＣＦ!L22/ＣＦ!L26)</f>
        <v>-1.0891778057759818</v>
      </c>
      <c r="O61" s="169">
        <f>(ＣＦ!M22/ＣＦ!M26)</f>
        <v>-7.7435234482178594E-2</v>
      </c>
      <c r="P61" s="169">
        <f>(ＣＦ!N22/ＣＦ!N26)</f>
        <v>0.26275874374822089</v>
      </c>
      <c r="Q61" s="169">
        <f>(ＣＦ!O22/ＣＦ!O26)</f>
        <v>-20.384240180055532</v>
      </c>
      <c r="R61" s="169">
        <f>(ＣＦ!P22/ＣＦ!P26)</f>
        <v>-0.86507802562711977</v>
      </c>
      <c r="S61" s="169">
        <f>(ＣＦ!Q22/ＣＦ!Q26)</f>
        <v>-0.53972891241903898</v>
      </c>
      <c r="T61" s="169">
        <f>(ＣＦ!R22/ＣＦ!R26)</f>
        <v>-0.60685560162576302</v>
      </c>
      <c r="U61" s="169">
        <f>(ＣＦ!S22/ＣＦ!S26)</f>
        <v>0.84130633184688042</v>
      </c>
      <c r="V61" s="169">
        <f>(ＣＦ!T22/ＣＦ!T26)</f>
        <v>-0.99147138415667291</v>
      </c>
      <c r="W61" s="169">
        <f>(ＣＦ!U22/ＣＦ!U26)</f>
        <v>-0.17482832405032134</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42.739139806822301</v>
      </c>
      <c r="F63" s="166">
        <f>(PL!L47/PL!L6)*100</f>
        <v>41.74137038654748</v>
      </c>
      <c r="G63" s="166">
        <f>(PL!M47/PL!M6)*100</f>
        <v>44.770631743229593</v>
      </c>
      <c r="H63" s="166">
        <f>(PL!N47/PL!N6)*100</f>
        <v>36.370801963874449</v>
      </c>
      <c r="I63" s="166">
        <f>(PL!O47/PL!O6)*100</f>
        <v>41.49843816741528</v>
      </c>
      <c r="J63" s="166">
        <f>(PL!P47/PL!P6)*100</f>
        <v>43.301993372494032</v>
      </c>
      <c r="K63" s="166">
        <f>(PL!Q47/PL!Q6)*100</f>
        <v>49.893390638197396</v>
      </c>
      <c r="L63" s="166">
        <f>(PL!R47/PL!R6)*100</f>
        <v>48.033742544476596</v>
      </c>
      <c r="M63" s="166">
        <f>(PL!S47/PL!S6)*100</f>
        <v>41.139197242925093</v>
      </c>
      <c r="N63" s="166">
        <f>(PL!T47/PL!T6)*100</f>
        <v>48.047654051679686</v>
      </c>
      <c r="O63" s="166">
        <f>(PL!U47/PL!U6)*100</f>
        <v>52.079860339752493</v>
      </c>
      <c r="P63" s="166">
        <f>(PL!V47/PL!V6)*100</f>
        <v>50.864123458340934</v>
      </c>
      <c r="Q63" s="166">
        <f>(PL!W47/PL!W6)*100</f>
        <v>47.122084244805897</v>
      </c>
      <c r="R63" s="166">
        <f>(PL!X47/PL!X6)*100</f>
        <v>46.014897504634988</v>
      </c>
      <c r="S63" s="166">
        <f>(PL!Y47/PL!Y6)*100</f>
        <v>44.887554972961915</v>
      </c>
      <c r="T63" s="166">
        <f>(PL!Z47/PL!Z6)*100</f>
        <v>50.248496205863326</v>
      </c>
      <c r="U63" s="166">
        <f>(PL!AA47/PL!AA6)*100</f>
        <v>48.574005626850258</v>
      </c>
      <c r="V63" s="166">
        <f>(PL!AB47/PL!AB6)*100</f>
        <v>44.265541508868992</v>
      </c>
      <c r="W63" s="166">
        <f>(PL!AC47/PL!AC6)*100</f>
        <v>46.933266016860763</v>
      </c>
    </row>
    <row r="64" spans="1:23" x14ac:dyDescent="0.2">
      <c r="A64" s="341"/>
      <c r="B64" s="167"/>
      <c r="C64" s="168" t="s">
        <v>448</v>
      </c>
      <c r="D64" s="205" t="s">
        <v>404</v>
      </c>
      <c r="E64" s="172">
        <f>(PL!K34+PL!K11+PL!K17+PL!K32+PL!K18+PL!K26+PL!K24+PL!K13)/(BS!K18+BS!K19)*100</f>
        <v>458.88972497468217</v>
      </c>
      <c r="F64" s="172">
        <f>(PL!L34+PL!L11+PL!L17+PL!L32+PL!L18+PL!L26+PL!L24+PL!L13)/(BS!L18+BS!L19)*100</f>
        <v>568.59261786660397</v>
      </c>
      <c r="G64" s="172">
        <f>(PL!M34+PL!M11+PL!M17+PL!M32+PL!M18+PL!M26+PL!M24+PL!M13)/(BS!M18+BS!M19)*100</f>
        <v>438.36175510912551</v>
      </c>
      <c r="H64" s="172">
        <f>(PL!N34+PL!N11+PL!N17+PL!N32+PL!N18+PL!N26+PL!N24+PL!N13)/(BS!N18+BS!N19)*100</f>
        <v>415.09446561873</v>
      </c>
      <c r="I64" s="172">
        <f>(PL!O34+PL!O11+PL!O17+PL!O32+PL!O18+PL!O26+PL!O24+PL!O13)/(BS!O18+BS!O19)*100</f>
        <v>499.19692219501212</v>
      </c>
      <c r="J64" s="172">
        <f>(PL!P34+PL!P11+PL!P17+PL!P32+PL!P18+PL!P26+PL!P24+PL!P13)/(BS!P18+BS!P19)*100</f>
        <v>584.63009650656954</v>
      </c>
      <c r="K64" s="172">
        <f>(PL!Q34+PL!Q11+PL!Q17+PL!Q32+PL!Q18+PL!Q26+PL!Q24+PL!Q13)/(BS!Q18+BS!Q19)*100</f>
        <v>467.27218833102677</v>
      </c>
      <c r="L64" s="172">
        <f>(PL!R34+PL!R11+PL!R17+PL!R32+PL!R18+PL!R26+PL!R24+PL!R13)/(BS!R18+BS!R19)*100</f>
        <v>398.29436355221242</v>
      </c>
      <c r="M64" s="172">
        <f>(PL!S34+PL!S11+PL!S17+PL!S32+PL!S18+PL!S26+PL!S24+PL!S13)/(BS!S18+BS!S19)*100</f>
        <v>923.66890705667652</v>
      </c>
      <c r="N64" s="172">
        <f>(PL!T34+PL!T11+PL!T17+PL!T32+PL!T18+PL!T26+PL!T24+PL!T13)/(BS!T18+BS!T19)*100</f>
        <v>428.2720193311776</v>
      </c>
      <c r="O64" s="172">
        <f>(PL!U34+PL!U11+PL!U17+PL!U32+PL!U18+PL!U26+PL!U24+PL!U13)/(BS!U18+BS!U19)*100</f>
        <v>1163.6956799509762</v>
      </c>
      <c r="P64" s="172">
        <f>(PL!V34+PL!V11+PL!V17+PL!V32+PL!V18+PL!V26+PL!V24+PL!V13)/(BS!V18+BS!V19)*100</f>
        <v>891.04246146825471</v>
      </c>
      <c r="Q64" s="172">
        <f>(PL!W34+PL!W11+PL!W17+PL!W32+PL!W18+PL!W26+PL!W24+PL!W13)/(BS!W18+BS!W19)*100</f>
        <v>853.04027592490888</v>
      </c>
      <c r="R64" s="172">
        <f>(PL!X34+PL!X11+PL!X17+PL!X32+PL!X18+PL!X26+PL!X24+PL!X13)/(BS!X18+BS!X19)*100</f>
        <v>774.26516347231836</v>
      </c>
      <c r="S64" s="172">
        <f>(PL!Y34+PL!Y11+PL!Y17+PL!Y32+PL!Y18+PL!Y26+PL!Y24+PL!Y13)/(BS!Y18+BS!Y19)*100</f>
        <v>1403.2753076349675</v>
      </c>
      <c r="T64" s="172">
        <f>(PL!Z34+PL!Z11+PL!Z17+PL!Z32+PL!Z18+PL!Z26+PL!Z24+PL!Z13)/(BS!Z18+BS!Z19)*100</f>
        <v>974.41953792481581</v>
      </c>
      <c r="U64" s="172">
        <f>(PL!AA34+PL!AA11+PL!AA17+PL!AA32+PL!AA18+PL!AA26+PL!AA24+PL!AA13)/(BS!AA18+BS!AA19)*100</f>
        <v>256.80181190633851</v>
      </c>
      <c r="V64" s="172">
        <f>(PL!AB34+PL!AB11+PL!AB17+PL!AB32+PL!AB18+PL!AB26+PL!AB24+PL!AB13)/(BS!AB18+BS!AB19)*100</f>
        <v>362.7936932380814</v>
      </c>
      <c r="W64" s="172">
        <f>(PL!AC34+PL!AC11+PL!AC17+PL!AC32+PL!AC18+PL!AC26+PL!AC24+PL!AC13)/(BS!AC18+BS!AC19)*100</f>
        <v>658.11137753142623</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53.00227846274003</v>
      </c>
      <c r="F66" s="169">
        <f>(PL!L11+PL!L17)/PL!L47*100</f>
        <v>59.944212224440982</v>
      </c>
      <c r="G66" s="169">
        <f>(PL!M11+PL!M17)/PL!M47*100</f>
        <v>55.737485843847658</v>
      </c>
      <c r="H66" s="169">
        <f>(PL!N11+PL!N17)/PL!N47*100</f>
        <v>51.469863999726904</v>
      </c>
      <c r="I66" s="169">
        <f>(PL!O11+PL!O17)/PL!O47*100</f>
        <v>62.224335228261886</v>
      </c>
      <c r="J66" s="169">
        <f>(PL!P11+PL!P17)/PL!P47*100</f>
        <v>55.13140327307211</v>
      </c>
      <c r="K66" s="169">
        <f>(PL!Q11+PL!Q17)/PL!Q47*100</f>
        <v>55.064466236671414</v>
      </c>
      <c r="L66" s="169">
        <f>(PL!R11+PL!R17)/PL!R47*100</f>
        <v>61.926028431105081</v>
      </c>
      <c r="M66" s="169">
        <f>(PL!S11+PL!S17)/PL!S47*100</f>
        <v>59.284851846184594</v>
      </c>
      <c r="N66" s="169">
        <f>(PL!T11+PL!T17)/PL!T47*100</f>
        <v>57.584277322544033</v>
      </c>
      <c r="O66" s="169">
        <f>(PL!U11+PL!U17)/PL!U47*100</f>
        <v>58.576466683152894</v>
      </c>
      <c r="P66" s="169">
        <f>(PL!V11+PL!V17)/PL!V47*100</f>
        <v>43.591349424638061</v>
      </c>
      <c r="Q66" s="169">
        <f>(PL!W11+PL!W17)/PL!W47*100</f>
        <v>57.55062632509668</v>
      </c>
      <c r="R66" s="169">
        <f>(PL!X11+PL!X17)/PL!X47*100</f>
        <v>57.976882502561644</v>
      </c>
      <c r="S66" s="169">
        <f>(PL!Y11+PL!Y17)/PL!Y47*100</f>
        <v>53.150675854212793</v>
      </c>
      <c r="T66" s="169">
        <f>(PL!Z11+PL!Z17)/PL!Z47*100</f>
        <v>53.07624173694667</v>
      </c>
      <c r="U66" s="169">
        <f>(PL!AA11+PL!AA17)/PL!AA47*100</f>
        <v>43.243259780740267</v>
      </c>
      <c r="V66" s="169">
        <f>(PL!AB11+PL!AB17)/PL!AB47*100</f>
        <v>52.581552320243439</v>
      </c>
      <c r="W66" s="169">
        <f>(PL!AC11+PL!AC17)/PL!AC47*100</f>
        <v>52.463459230029486</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37.557605602612611</v>
      </c>
      <c r="F68" s="166">
        <f>(BS!L33+BS!L34+BS!L38+BS!L39+BS!L40)/BS!L8*100</f>
        <v>33.468996215350067</v>
      </c>
      <c r="G68" s="166">
        <f>(BS!M33+BS!M34+BS!M38+BS!M39+BS!M40)/BS!M8*100</f>
        <v>39.107784496120452</v>
      </c>
      <c r="H68" s="166">
        <f>(BS!N33+BS!N34+BS!N38+BS!N39+BS!N40)/BS!N8*100</f>
        <v>32.664552063753973</v>
      </c>
      <c r="I68" s="166">
        <f>(BS!O33+BS!O34+BS!O38+BS!O39+BS!O40)/BS!O8*100</f>
        <v>26.653927199686951</v>
      </c>
      <c r="J68" s="166">
        <f>(BS!P33+BS!P34+BS!P38+BS!P39+BS!P40)/BS!P8*100</f>
        <v>39.033637791937181</v>
      </c>
      <c r="K68" s="166">
        <f>(BS!Q33+BS!Q34+BS!Q38+BS!Q39+BS!Q40)/BS!Q8*100</f>
        <v>32.189622551783764</v>
      </c>
      <c r="L68" s="166">
        <f>(BS!R33+BS!R34+BS!R38+BS!R39+BS!R40)/BS!R8*100</f>
        <v>32.359059398565911</v>
      </c>
      <c r="M68" s="166">
        <f>(BS!S33+BS!S34+BS!S38+BS!S39+BS!S40)/BS!S8*100</f>
        <v>32.590144319469402</v>
      </c>
      <c r="N68" s="166">
        <f>(BS!T33+BS!T34+BS!T38+BS!T39+BS!T40)/BS!T8*100</f>
        <v>33.781184885372255</v>
      </c>
      <c r="O68" s="166">
        <f>(BS!U33+BS!U34+BS!U38+BS!U39+BS!U40)/BS!U8*100</f>
        <v>22.784315704513428</v>
      </c>
      <c r="P68" s="166">
        <f>(BS!V33+BS!V34+BS!V38+BS!V39+BS!V40)/BS!V8*100</f>
        <v>24.142538563331073</v>
      </c>
      <c r="Q68" s="166">
        <f>(BS!W33+BS!W34+BS!W38+BS!W39+BS!W40)/BS!W8*100</f>
        <v>28.392167400539936</v>
      </c>
      <c r="R68" s="166">
        <f>(BS!X33+BS!X34+BS!X38+BS!X39+BS!X40)/BS!X8*100</f>
        <v>28.549424249021619</v>
      </c>
      <c r="S68" s="166">
        <f>(BS!Y33+BS!Y34+BS!Y38+BS!Y39+BS!Y40)/BS!Y8*100</f>
        <v>28.287096063595325</v>
      </c>
      <c r="T68" s="166">
        <f>(BS!Z33+BS!Z34+BS!Z38+BS!Z39+BS!Z40)/BS!Z8*100</f>
        <v>32.364427802716172</v>
      </c>
      <c r="U68" s="166">
        <f>(BS!AA33+BS!AA34+BS!AA38+BS!AA39+BS!AA40)/BS!AA8*100</f>
        <v>23.458855958857779</v>
      </c>
      <c r="V68" s="166">
        <f>(BS!AB33+BS!AB34+BS!AB38+BS!AB39+BS!AB40)/BS!AB8*100</f>
        <v>26.60995566571895</v>
      </c>
      <c r="W68" s="166">
        <f>(BS!AC33+BS!AC34+BS!AC38+BS!AC39+BS!AC40)/BS!AC8*100</f>
        <v>36.654315482929938</v>
      </c>
    </row>
    <row r="69" spans="1:23" x14ac:dyDescent="0.2">
      <c r="A69" s="341"/>
      <c r="B69" s="163"/>
      <c r="C69" s="164" t="s">
        <v>453</v>
      </c>
      <c r="D69" s="204" t="s">
        <v>404</v>
      </c>
      <c r="E69" s="166">
        <f>PL!K32/PL!K6*100</f>
        <v>0.659674892386658</v>
      </c>
      <c r="F69" s="166">
        <f>PL!L32/PL!L6*100</f>
        <v>0.6480532225393969</v>
      </c>
      <c r="G69" s="166">
        <f>PL!M32/PL!M6*100</f>
        <v>0.93344516091419583</v>
      </c>
      <c r="H69" s="166">
        <f>PL!N32/PL!N6*100</f>
        <v>0.42974561155283431</v>
      </c>
      <c r="I69" s="166">
        <f>PL!O32/PL!O6*100</f>
        <v>0.41893263150949089</v>
      </c>
      <c r="J69" s="166">
        <f>PL!P32/PL!P6*100</f>
        <v>0.89865694060699397</v>
      </c>
      <c r="K69" s="166">
        <f>PL!Q32/PL!Q6*100</f>
        <v>0.84909169369545845</v>
      </c>
      <c r="L69" s="166">
        <f>PL!R32/PL!R6*100</f>
        <v>0.6898074095927631</v>
      </c>
      <c r="M69" s="166">
        <f>PL!S32/PL!S6*100</f>
        <v>0.53756731662669976</v>
      </c>
      <c r="N69" s="166">
        <f>PL!T32/PL!T6*100</f>
        <v>0.60407429141654867</v>
      </c>
      <c r="O69" s="166">
        <f>PL!U32/PL!U6*100</f>
        <v>0.51435884344881921</v>
      </c>
      <c r="P69" s="166">
        <f>PL!V32/PL!V6*100</f>
        <v>0.38133331212301591</v>
      </c>
      <c r="Q69" s="166">
        <f>PL!W32/PL!W6*100</f>
        <v>0.40428553967010045</v>
      </c>
      <c r="R69" s="166">
        <f>PL!X32/PL!X6*100</f>
        <v>0.32237198927575156</v>
      </c>
      <c r="S69" s="166">
        <f>PL!Y32/PL!Y6*100</f>
        <v>0.37639933206023285</v>
      </c>
      <c r="T69" s="166">
        <f>PL!Z32/PL!Z6*100</f>
        <v>0.34454484599829538</v>
      </c>
      <c r="U69" s="166">
        <f>PL!AA32/PL!AA6*100</f>
        <v>0.31512697170584258</v>
      </c>
      <c r="V69" s="166">
        <f>PL!AB32/PL!AB6*100</f>
        <v>0.29867170944874549</v>
      </c>
      <c r="W69" s="166">
        <f>PL!AC32/PL!AC6*100</f>
        <v>0.26212238084554784</v>
      </c>
    </row>
    <row r="70" spans="1:23" x14ac:dyDescent="0.2">
      <c r="A70" s="341"/>
      <c r="B70" s="163"/>
      <c r="C70" s="164" t="s">
        <v>566</v>
      </c>
      <c r="D70" s="204" t="s">
        <v>254</v>
      </c>
      <c r="E70" s="158">
        <f>PL!K28+PL!K13+PL!K24</f>
        <v>8380.2226616860808</v>
      </c>
      <c r="F70" s="158">
        <f>PL!L28+PL!L13+PL!L24</f>
        <v>8158.0101772240751</v>
      </c>
      <c r="G70" s="158">
        <f>PL!M28+PL!M13+PL!M24</f>
        <v>10322.552042798663</v>
      </c>
      <c r="H70" s="158">
        <f>PL!N28+PL!N13+PL!N24</f>
        <v>18867.781479009387</v>
      </c>
      <c r="I70" s="158">
        <f>PL!O28+PL!O13+PL!O24</f>
        <v>9996.3574682540602</v>
      </c>
      <c r="J70" s="158">
        <f>PL!P28+PL!P13+PL!P24</f>
        <v>6125.5150688065551</v>
      </c>
      <c r="K70" s="158">
        <f>PL!Q28+PL!Q13+PL!Q24</f>
        <v>8635.4856031428899</v>
      </c>
      <c r="L70" s="158">
        <f>PL!R28+PL!R13+PL!R24</f>
        <v>17958.449681610567</v>
      </c>
      <c r="M70" s="158">
        <f>PL!S28+PL!S13+PL!S24</f>
        <v>22091.174761435781</v>
      </c>
      <c r="N70" s="158">
        <f>PL!T28+PL!T13+PL!T24</f>
        <v>26801.276896373496</v>
      </c>
      <c r="O70" s="158">
        <f>PL!U28+PL!U13+PL!U24</f>
        <v>24967.346662802189</v>
      </c>
      <c r="P70" s="158">
        <f>PL!V28+PL!V13+PL!V24</f>
        <v>31262.835202058661</v>
      </c>
      <c r="Q70" s="158">
        <f>PL!W28+PL!W13+PL!W24</f>
        <v>29776.300487131732</v>
      </c>
      <c r="R70" s="158">
        <f>PL!X28+PL!X13+PL!X24</f>
        <v>29880.050469841492</v>
      </c>
      <c r="S70" s="158">
        <f>PL!Y28+PL!Y13+PL!Y24</f>
        <v>31212.015056398737</v>
      </c>
      <c r="T70" s="158">
        <f>PL!Z28+PL!Z13+PL!Z24</f>
        <v>30718.587416431372</v>
      </c>
      <c r="U70" s="158">
        <f>PL!AA28+PL!AA13+PL!AA24</f>
        <v>36866.231438362178</v>
      </c>
      <c r="V70" s="158">
        <f>PL!AB28+PL!AB13+PL!AB24</f>
        <v>32216.362968722999</v>
      </c>
      <c r="W70" s="158">
        <f>PL!AC28+PL!AC13+PL!AC24</f>
        <v>29856.271272042457</v>
      </c>
    </row>
    <row r="71" spans="1:23" x14ac:dyDescent="0.2">
      <c r="A71" s="342"/>
      <c r="B71" s="167"/>
      <c r="C71" s="168" t="s">
        <v>567</v>
      </c>
      <c r="D71" s="205" t="s">
        <v>441</v>
      </c>
      <c r="E71" s="266">
        <f>(BS!K33+BS!K34+BS!K38+BS!K39+BS!K40-BS!K10)/E70</f>
        <v>8.0584324562527403</v>
      </c>
      <c r="F71" s="266">
        <f>(BS!L33+BS!L34+BS!L38+BS!L39+BS!L40-BS!L10)/F70</f>
        <v>7.0213260203258585</v>
      </c>
      <c r="G71" s="266">
        <f>(BS!M33+BS!M34+BS!M38+BS!M39+BS!M40-BS!M10)/G70</f>
        <v>7.7805884177810016</v>
      </c>
      <c r="H71" s="266">
        <f>(BS!N33+BS!N34+BS!N38+BS!N39+BS!N40-BS!N10)/H70</f>
        <v>5.0697385637567294</v>
      </c>
      <c r="I71" s="266">
        <f>(BS!O33+BS!O34+BS!O38+BS!O39+BS!O40-BS!O10)/I70</f>
        <v>3.3799036703550982</v>
      </c>
      <c r="J71" s="266">
        <f>(BS!P33+BS!P34+BS!P38+BS!P39+BS!P40-BS!P10)/J70</f>
        <v>10.12314644159666</v>
      </c>
      <c r="K71" s="266">
        <f>(BS!Q33+BS!Q34+BS!Q38+BS!Q39+BS!Q40-BS!Q10)/K70</f>
        <v>4.8512462206524996</v>
      </c>
      <c r="L71" s="266">
        <f>(BS!R33+BS!R34+BS!R38+BS!R39+BS!R40-BS!R10)/L70</f>
        <v>1.5446897339364407</v>
      </c>
      <c r="M71" s="266">
        <f>(BS!S33+BS!S34+BS!S38+BS!S39+BS!S40-BS!S10)/M70</f>
        <v>1.740731957755165</v>
      </c>
      <c r="N71" s="266">
        <f>(BS!T33+BS!T34+BS!T38+BS!T39+BS!T40-BS!T10)/N70</f>
        <v>1.2493146351999505</v>
      </c>
      <c r="O71" s="266">
        <f>(BS!U33+BS!U34+BS!U38+BS!U39+BS!U40-BS!U10)/O70</f>
        <v>-0.72584836910589545</v>
      </c>
      <c r="P71" s="266">
        <f>(BS!V33+BS!V34+BS!V38+BS!V39+BS!V40-BS!V10)/P70</f>
        <v>1.0061679749754209</v>
      </c>
      <c r="Q71" s="266">
        <f>(BS!W33+BS!W34+BS!W38+BS!W39+BS!W40-BS!W10)/Q70</f>
        <v>1.0301469711087898</v>
      </c>
      <c r="R71" s="266">
        <f>(BS!X33+BS!X34+BS!X38+BS!X39+BS!X40-BS!X10)/R70</f>
        <v>0.84880779200563128</v>
      </c>
      <c r="S71" s="266">
        <f>(BS!Y33+BS!Y34+BS!Y38+BS!Y39+BS!Y40-BS!Y10)/S70</f>
        <v>1.0475471902028632</v>
      </c>
      <c r="T71" s="266">
        <f>(BS!Z33+BS!Z34+BS!Z38+BS!Z39+BS!Z40-BS!Z10)/T70</f>
        <v>1.1570031451488831</v>
      </c>
      <c r="U71" s="266">
        <f>(BS!AA33+BS!AA34+BS!AA38+BS!AA39+BS!AA40-BS!AA10)/U70</f>
        <v>0.35162407598668094</v>
      </c>
      <c r="V71" s="266">
        <f>(BS!AB33+BS!AB34+BS!AB38+BS!AB39+BS!AB40-BS!AB10)/V70</f>
        <v>0.22469492595699977</v>
      </c>
      <c r="W71" s="266">
        <f>(BS!AC33+BS!AC34+BS!AC38+BS!AC39+BS!AC40-BS!AC10)/W70</f>
        <v>2.1248530420787506</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２９　電気機械器具製造業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406109.61253936804</v>
      </c>
      <c r="D4" s="258">
        <f>PL!L6</f>
        <v>484288.20845762413</v>
      </c>
      <c r="E4" s="258">
        <f>PL!M6</f>
        <v>416426.79832610243</v>
      </c>
      <c r="F4" s="258">
        <f>PL!N6</f>
        <v>733864.73974775011</v>
      </c>
      <c r="G4" s="258">
        <f>PL!O6</f>
        <v>548635.41173829371</v>
      </c>
      <c r="H4" s="258">
        <f>PL!P6</f>
        <v>435549.2760954285</v>
      </c>
      <c r="I4" s="258">
        <f>PL!Q6</f>
        <v>447411.78996418981</v>
      </c>
      <c r="J4" s="258">
        <f>PL!R6</f>
        <v>344506.67549986951</v>
      </c>
      <c r="K4" s="258">
        <f>PL!S6</f>
        <v>419786.34152781614</v>
      </c>
      <c r="L4" s="258">
        <f>PL!T6</f>
        <v>378318.34964730439</v>
      </c>
      <c r="M4" s="258">
        <f>PL!U6</f>
        <v>453482.84130994877</v>
      </c>
      <c r="N4" s="258">
        <f>PL!V6</f>
        <v>532887.90511023544</v>
      </c>
      <c r="O4" s="258">
        <f>PL!W6</f>
        <v>477457.02486995549</v>
      </c>
      <c r="P4" s="258">
        <f>PL!X6</f>
        <v>493855.36318422219</v>
      </c>
      <c r="Q4" s="258">
        <f>PL!Y6</f>
        <v>496901.22828476451</v>
      </c>
      <c r="R4" s="258">
        <f>PL!Z6</f>
        <v>488368.73248863994</v>
      </c>
      <c r="S4" s="258">
        <f>PL!AA6</f>
        <v>541381.79843598977</v>
      </c>
      <c r="T4" s="258">
        <f>PL!AB6</f>
        <v>527460.97356143082</v>
      </c>
      <c r="U4" s="258">
        <f>PL!AC6</f>
        <v>542406.32066426985</v>
      </c>
    </row>
    <row r="5" spans="1:21" ht="12.6" x14ac:dyDescent="0.2">
      <c r="A5" s="259" t="s">
        <v>69</v>
      </c>
      <c r="B5" s="256" t="s">
        <v>254</v>
      </c>
      <c r="C5" s="258">
        <f>PL!K42</f>
        <v>14275.1929978751</v>
      </c>
      <c r="D5" s="258">
        <f>PL!L42</f>
        <v>16172.223197052139</v>
      </c>
      <c r="E5" s="258">
        <f>PL!M42</f>
        <v>15611.055939696322</v>
      </c>
      <c r="F5" s="258">
        <f>PL!N42</f>
        <v>29989.665620941669</v>
      </c>
      <c r="G5" s="258">
        <f>PL!O42</f>
        <v>14528.430940357735</v>
      </c>
      <c r="H5" s="258">
        <f>PL!P42</f>
        <v>8874.1776438745437</v>
      </c>
      <c r="I5" s="258">
        <f>PL!Q42</f>
        <v>189.43328614985074</v>
      </c>
      <c r="J5" s="258">
        <f>PL!R42</f>
        <v>11266.355704716734</v>
      </c>
      <c r="K5" s="258">
        <f>PL!S42</f>
        <v>15460.30983469151</v>
      </c>
      <c r="L5" s="258">
        <f>PL!T42</f>
        <v>19089.618807152841</v>
      </c>
      <c r="M5" s="258">
        <f>PL!U42</f>
        <v>17127.573960358695</v>
      </c>
      <c r="N5" s="258">
        <f>PL!V42</f>
        <v>22155.893111532238</v>
      </c>
      <c r="O5" s="258">
        <f>PL!W42</f>
        <v>20320.520657159497</v>
      </c>
      <c r="P5" s="258">
        <f>PL!X42</f>
        <v>18783.872203889347</v>
      </c>
      <c r="Q5" s="258">
        <f>PL!Y42</f>
        <v>23903.87237241786</v>
      </c>
      <c r="R5" s="258">
        <f>PL!Z42</f>
        <v>19234.433819077665</v>
      </c>
      <c r="S5" s="258">
        <f>PL!AA42</f>
        <v>24612.228538792726</v>
      </c>
      <c r="T5" s="258">
        <f>PL!AB42</f>
        <v>19511.056505961638</v>
      </c>
      <c r="U5" s="258">
        <f>PL!AC42</f>
        <v>19347.807824002739</v>
      </c>
    </row>
    <row r="6" spans="1:21" ht="12.6" x14ac:dyDescent="0.2">
      <c r="A6" s="255" t="s">
        <v>317</v>
      </c>
      <c r="B6" s="256" t="s">
        <v>318</v>
      </c>
      <c r="C6" s="260">
        <f>PL!K5</f>
        <v>27.136819746575799</v>
      </c>
      <c r="D6" s="260">
        <f>PL!L5</f>
        <v>28.864713107562729</v>
      </c>
      <c r="E6" s="260">
        <f>PL!M5</f>
        <v>27.245225161506383</v>
      </c>
      <c r="F6" s="260">
        <f>PL!N5</f>
        <v>44.514729278154569</v>
      </c>
      <c r="G6" s="260">
        <f>PL!O5</f>
        <v>31.859551816157666</v>
      </c>
      <c r="H6" s="260">
        <f>PL!P5</f>
        <v>25.113564474086207</v>
      </c>
      <c r="I6" s="260">
        <f>PL!Q5</f>
        <v>29.938145678231695</v>
      </c>
      <c r="J6" s="260">
        <f>PL!R5</f>
        <v>23.598707218075045</v>
      </c>
      <c r="K6" s="260">
        <f>PL!S5</f>
        <v>24.10675612319605</v>
      </c>
      <c r="L6" s="260">
        <f>PL!T5</f>
        <v>27.825857428271824</v>
      </c>
      <c r="M6" s="260">
        <f>PL!U5</f>
        <v>27.890840815536151</v>
      </c>
      <c r="N6" s="260">
        <f>PL!V5</f>
        <v>29.91593372801378</v>
      </c>
      <c r="O6" s="260">
        <f>PL!W5</f>
        <v>29.012128747338206</v>
      </c>
      <c r="P6" s="260">
        <f>PL!X5</f>
        <v>28.169827847924175</v>
      </c>
      <c r="Q6" s="260">
        <f>PL!Y5</f>
        <v>27.089217565231777</v>
      </c>
      <c r="R6" s="260">
        <f>PL!Z5</f>
        <v>28.901053070980453</v>
      </c>
      <c r="S6" s="260">
        <f>PL!AA5</f>
        <v>28.699938493981197</v>
      </c>
      <c r="T6" s="260">
        <f>PL!AB5</f>
        <v>27.771902540176256</v>
      </c>
      <c r="U6" s="260">
        <f>PL!AC5</f>
        <v>30.704759458996747</v>
      </c>
    </row>
    <row r="7" spans="1:21" ht="12.6" x14ac:dyDescent="0.2">
      <c r="A7" s="259" t="s">
        <v>344</v>
      </c>
      <c r="B7" s="256" t="s">
        <v>254</v>
      </c>
      <c r="C7" s="258">
        <f>BS!K33+BS!K34+BS!K38+BS!K39+BS!K40</f>
        <v>125711.05251593054</v>
      </c>
      <c r="D7" s="258">
        <f>BS!L33+BS!L34+BS!L38+BS!L39+BS!L40</f>
        <v>133829.61923144411</v>
      </c>
      <c r="E7" s="258">
        <f>BS!M33+BS!M34+BS!M38+BS!M39+BS!M40</f>
        <v>125087.19447112871</v>
      </c>
      <c r="F7" s="258">
        <f>BS!N33+BS!N34+BS!N38+BS!N39+BS!N40</f>
        <v>143416.72815093122</v>
      </c>
      <c r="G7" s="258">
        <f>BS!O33+BS!O34+BS!O38+BS!O39+BS!O40</f>
        <v>109686.17721124504</v>
      </c>
      <c r="H7" s="258">
        <f>BS!P33+BS!P34+BS!P38+BS!P39+BS!P40</f>
        <v>144420.23895498624</v>
      </c>
      <c r="I7" s="258">
        <f>BS!Q33+BS!Q34+BS!Q38+BS!Q39+BS!Q40</f>
        <v>143749.11474677225</v>
      </c>
      <c r="J7" s="258">
        <f>BS!R33+BS!R34+BS!R38+BS!R39+BS!R40</f>
        <v>106944.27405396827</v>
      </c>
      <c r="K7" s="258">
        <f>BS!S33+BS!S34+BS!S38+BS!S39+BS!S40</f>
        <v>113439.24187769614</v>
      </c>
      <c r="L7" s="258">
        <f>BS!T33+BS!T34+BS!T38+BS!T39+BS!T40</f>
        <v>102877.93776981541</v>
      </c>
      <c r="M7" s="258">
        <f>BS!U33+BS!U34+BS!U38+BS!U39+BS!U40</f>
        <v>102077.37149902055</v>
      </c>
      <c r="N7" s="258">
        <f>BS!V33+BS!V34+BS!V38+BS!V39+BS!V40</f>
        <v>124853.96797245808</v>
      </c>
      <c r="O7" s="258">
        <f>BS!W33+BS!W34+BS!W38+BS!W39+BS!W40</f>
        <v>114062.01395665506</v>
      </c>
      <c r="P7" s="258">
        <f>BS!X33+BS!X34+BS!X38+BS!X39+BS!X40</f>
        <v>137633.79321047218</v>
      </c>
      <c r="Q7" s="258">
        <f>BS!Y33+BS!Y34+BS!Y38+BS!Y39+BS!Y40</f>
        <v>119815.85817704201</v>
      </c>
      <c r="R7" s="258">
        <f>BS!Z33+BS!Z34+BS!Z38+BS!Z39+BS!Z40</f>
        <v>145678.81633362942</v>
      </c>
      <c r="S7" s="258">
        <f>BS!AA33+BS!AA34+BS!AA38+BS!AA39+BS!AA40</f>
        <v>118144.92918021262</v>
      </c>
      <c r="T7" s="258">
        <f>BS!AB33+BS!AB34+BS!AB38+BS!AB39+BS!AB40</f>
        <v>142158.09538621045</v>
      </c>
      <c r="U7" s="258">
        <f>BS!AC33+BS!AC34+BS!AC38+BS!AC39+BS!AC40</f>
        <v>195544.5417736689</v>
      </c>
    </row>
    <row r="8" spans="1:21" ht="12.6" x14ac:dyDescent="0.2">
      <c r="A8" s="259" t="s">
        <v>486</v>
      </c>
      <c r="B8" s="256" t="s">
        <v>254</v>
      </c>
      <c r="C8" s="258">
        <f>BS!K10</f>
        <v>58179.594228374699</v>
      </c>
      <c r="D8" s="258">
        <f>BS!L10</f>
        <v>76549.570100017547</v>
      </c>
      <c r="E8" s="258">
        <f>BS!M10</f>
        <v>44771.665604987807</v>
      </c>
      <c r="F8" s="258">
        <f>BS!N10</f>
        <v>47762.008774262344</v>
      </c>
      <c r="G8" s="258">
        <f>BS!O10</f>
        <v>75899.451914111545</v>
      </c>
      <c r="H8" s="258">
        <f>BS!P10</f>
        <v>82410.752883250447</v>
      </c>
      <c r="I8" s="258">
        <f>BS!Q10</f>
        <v>101856.24785102623</v>
      </c>
      <c r="J8" s="258">
        <f>BS!R10</f>
        <v>79204.041193370285</v>
      </c>
      <c r="K8" s="258">
        <f>BS!S10</f>
        <v>74984.427986110546</v>
      </c>
      <c r="L8" s="258">
        <f>BS!T10</f>
        <v>69394.7103011297</v>
      </c>
      <c r="M8" s="258">
        <f>BS!U10</f>
        <v>120199.87935511704</v>
      </c>
      <c r="N8" s="258">
        <f>BS!V10</f>
        <v>93398.30438521241</v>
      </c>
      <c r="O8" s="258">
        <f>BS!W10</f>
        <v>83388.048199011129</v>
      </c>
      <c r="P8" s="258">
        <f>BS!X10</f>
        <v>112271.3735461492</v>
      </c>
      <c r="Q8" s="258">
        <f>BS!Y10</f>
        <v>87119.799504142051</v>
      </c>
      <c r="R8" s="258">
        <f>BS!Z10</f>
        <v>110137.31407828743</v>
      </c>
      <c r="S8" s="258">
        <f>BS!AA10</f>
        <v>105181.8746155874</v>
      </c>
      <c r="T8" s="258">
        <f>BS!AB10</f>
        <v>134919.24209434941</v>
      </c>
      <c r="U8" s="258">
        <f>BS!AC10</f>
        <v>132104.35293614108</v>
      </c>
    </row>
    <row r="9" spans="1:21" ht="12.6" x14ac:dyDescent="0.2">
      <c r="A9" s="259" t="s">
        <v>326</v>
      </c>
      <c r="B9" s="256" t="s">
        <v>254</v>
      </c>
      <c r="C9" s="258">
        <f>PL!K13+PL!K24</f>
        <v>8380.2226616860808</v>
      </c>
      <c r="D9" s="258">
        <f>PL!L13+PL!L24</f>
        <v>8158.0101772240751</v>
      </c>
      <c r="E9" s="258">
        <f>PL!M13+PL!M24</f>
        <v>10322.552042798663</v>
      </c>
      <c r="F9" s="258">
        <f>PL!N13+PL!N24</f>
        <v>18867.781479009387</v>
      </c>
      <c r="G9" s="258">
        <f>PL!O13+PL!O24</f>
        <v>9996.3574682540602</v>
      </c>
      <c r="H9" s="258">
        <f>PL!P13+PL!P24</f>
        <v>6125.5150688065551</v>
      </c>
      <c r="I9" s="258">
        <f>PL!Q13+PL!Q24</f>
        <v>8446.0523169930384</v>
      </c>
      <c r="J9" s="258">
        <f>PL!R13+PL!R24</f>
        <v>6692.0939768938333</v>
      </c>
      <c r="K9" s="258">
        <f>PL!S13+PL!S24</f>
        <v>6630.8649267442706</v>
      </c>
      <c r="L9" s="258">
        <f>PL!T13+PL!T24</f>
        <v>7711.6580892206548</v>
      </c>
      <c r="M9" s="258">
        <f>PL!U13+PL!U24</f>
        <v>7839.7727024434935</v>
      </c>
      <c r="N9" s="258">
        <f>PL!V13+PL!V24</f>
        <v>9106.9420905264233</v>
      </c>
      <c r="O9" s="258">
        <f>PL!W13+PL!W24</f>
        <v>9455.7798299722363</v>
      </c>
      <c r="P9" s="258">
        <f>PL!X13+PL!X24</f>
        <v>11096.178265952145</v>
      </c>
      <c r="Q9" s="258">
        <f>PL!Y13+PL!Y24</f>
        <v>7308.1426839808773</v>
      </c>
      <c r="R9" s="258">
        <f>PL!Z13+PL!Z24</f>
        <v>11484.153597353707</v>
      </c>
      <c r="S9" s="258">
        <f>PL!AA13+PL!AA24</f>
        <v>12254.002899569459</v>
      </c>
      <c r="T9" s="258">
        <f>PL!AB13+PL!AB24</f>
        <v>12705.306462761362</v>
      </c>
      <c r="U9" s="258">
        <f>PL!AC13+PL!AC24</f>
        <v>10508.463448039718</v>
      </c>
    </row>
    <row r="10" spans="1:21" ht="12.6" x14ac:dyDescent="0.2">
      <c r="A10" s="255" t="s">
        <v>314</v>
      </c>
      <c r="B10" s="256" t="s">
        <v>254</v>
      </c>
      <c r="C10" s="258">
        <f>BS!K43</f>
        <v>102294.807002124</v>
      </c>
      <c r="D10" s="258">
        <f>BS!L43</f>
        <v>160090.80540445691</v>
      </c>
      <c r="E10" s="258">
        <f>BS!M43</f>
        <v>108550.90494610141</v>
      </c>
      <c r="F10" s="258">
        <f>BS!N43</f>
        <v>139106.15880287433</v>
      </c>
      <c r="G10" s="258">
        <f>BS!O43</f>
        <v>191574.64771048079</v>
      </c>
      <c r="H10" s="258">
        <f>BS!P43</f>
        <v>140407.80308647518</v>
      </c>
      <c r="I10" s="258">
        <f>BS!Q43</f>
        <v>194526.15780704789</v>
      </c>
      <c r="J10" s="258">
        <f>BS!R43</f>
        <v>137261.67614876965</v>
      </c>
      <c r="K10" s="258">
        <f>BS!S43</f>
        <v>132903.12845135876</v>
      </c>
      <c r="L10" s="258">
        <f>BS!T43</f>
        <v>104424.86700869461</v>
      </c>
      <c r="M10" s="258">
        <f>BS!U43</f>
        <v>229402.06154112416</v>
      </c>
      <c r="N10" s="258">
        <f>BS!V43</f>
        <v>247628.38913046109</v>
      </c>
      <c r="O10" s="258">
        <f>BS!W43</f>
        <v>174566.53855215071</v>
      </c>
      <c r="P10" s="258">
        <f>BS!X43</f>
        <v>233062.78406444282</v>
      </c>
      <c r="Q10" s="258">
        <f>BS!Y43</f>
        <v>199056.17467008712</v>
      </c>
      <c r="R10" s="258">
        <f>BS!Z43</f>
        <v>192911.29688865112</v>
      </c>
      <c r="S10" s="258">
        <f>BS!AA43</f>
        <v>266758.76979175821</v>
      </c>
      <c r="T10" s="258">
        <f>BS!AB43</f>
        <v>265925.07249006396</v>
      </c>
      <c r="U10" s="258">
        <f>BS!AC43</f>
        <v>200080.09964047253</v>
      </c>
    </row>
    <row r="11" spans="1:21" ht="12.6" x14ac:dyDescent="0.2">
      <c r="A11" s="255" t="s">
        <v>542</v>
      </c>
      <c r="B11" s="256" t="s">
        <v>254</v>
      </c>
      <c r="C11" s="258">
        <f>BS!K30</f>
        <v>232420.49366439602</v>
      </c>
      <c r="D11" s="258">
        <f>BS!L30</f>
        <v>239770.66151956483</v>
      </c>
      <c r="E11" s="258">
        <f>BS!M30</f>
        <v>211301.51339668961</v>
      </c>
      <c r="F11" s="258">
        <f>BS!N30</f>
        <v>299953.06316659745</v>
      </c>
      <c r="G11" s="258">
        <f>BS!O30</f>
        <v>219945.11217140753</v>
      </c>
      <c r="H11" s="258">
        <f>BS!P30</f>
        <v>229581.38348331413</v>
      </c>
      <c r="I11" s="258">
        <f>BS!Q30</f>
        <v>252043.5853315116</v>
      </c>
      <c r="J11" s="258">
        <f>BS!R30</f>
        <v>193230.85373826348</v>
      </c>
      <c r="K11" s="258">
        <f>BS!S30</f>
        <v>215175.23771263339</v>
      </c>
      <c r="L11" s="258">
        <f>BS!T30</f>
        <v>200117.25642156738</v>
      </c>
      <c r="M11" s="258">
        <f>BS!U30</f>
        <v>218613.90182089867</v>
      </c>
      <c r="N11" s="258">
        <f>BS!V30</f>
        <v>269525.04792397027</v>
      </c>
      <c r="O11" s="258">
        <f>BS!W30</f>
        <v>227171.06868133586</v>
      </c>
      <c r="P11" s="258">
        <f>BS!X30</f>
        <v>249026.77406452302</v>
      </c>
      <c r="Q11" s="258">
        <f>BS!Y30</f>
        <v>224514.55138701978</v>
      </c>
      <c r="R11" s="258">
        <f>BS!Z30</f>
        <v>257208.86967707254</v>
      </c>
      <c r="S11" s="258">
        <f>BS!AA30</f>
        <v>236867.36350057114</v>
      </c>
      <c r="T11" s="258">
        <f>BS!AB30</f>
        <v>268303.90997062379</v>
      </c>
      <c r="U11" s="258">
        <f>BS!AC30</f>
        <v>333402.90010272211</v>
      </c>
    </row>
    <row r="12" spans="1:21" ht="12.6" x14ac:dyDescent="0.2">
      <c r="A12" s="255" t="s">
        <v>543</v>
      </c>
      <c r="B12" s="256" t="s">
        <v>254</v>
      </c>
      <c r="C12" s="258">
        <f>BS!K11</f>
        <v>82761.590859151795</v>
      </c>
      <c r="D12" s="258">
        <f>BS!L11</f>
        <v>113077.99613967363</v>
      </c>
      <c r="E12" s="258">
        <f>BS!M11</f>
        <v>73445.004664519001</v>
      </c>
      <c r="F12" s="258">
        <f>BS!N11</f>
        <v>128770.50756758029</v>
      </c>
      <c r="G12" s="258">
        <f>BS!O11</f>
        <v>100032.3612984487</v>
      </c>
      <c r="H12" s="258">
        <f>BS!P11</f>
        <v>95185.840832964808</v>
      </c>
      <c r="I12" s="258">
        <f>BS!Q11</f>
        <v>106829.94690092247</v>
      </c>
      <c r="J12" s="258">
        <f>BS!R11</f>
        <v>77612.733926365458</v>
      </c>
      <c r="K12" s="258">
        <f>BS!S11</f>
        <v>90637.898911536206</v>
      </c>
      <c r="L12" s="258">
        <f>BS!T11</f>
        <v>67125.020232442388</v>
      </c>
      <c r="M12" s="258">
        <f>BS!U11</f>
        <v>89522.676142954922</v>
      </c>
      <c r="N12" s="258">
        <f>BS!V11</f>
        <v>124966.49337454379</v>
      </c>
      <c r="O12" s="258">
        <f>BS!W11</f>
        <v>101337.01825433754</v>
      </c>
      <c r="P12" s="258">
        <f>BS!X11</f>
        <v>81501.580745373241</v>
      </c>
      <c r="Q12" s="258">
        <f>BS!Y11</f>
        <v>110086.92828174544</v>
      </c>
      <c r="R12" s="258">
        <f>BS!Z11</f>
        <v>99546.171121672509</v>
      </c>
      <c r="S12" s="258">
        <f>BS!AA11</f>
        <v>101050.46138300677</v>
      </c>
      <c r="T12" s="258">
        <f>BS!AB11</f>
        <v>86055.60307585969</v>
      </c>
      <c r="U12" s="258">
        <f>BS!AC11</f>
        <v>93624.834788563603</v>
      </c>
    </row>
    <row r="13" spans="1:21" ht="12.6" x14ac:dyDescent="0.2">
      <c r="A13" s="255" t="s">
        <v>544</v>
      </c>
      <c r="B13" s="256" t="s">
        <v>254</v>
      </c>
      <c r="C13" s="258">
        <f>BS!K13</f>
        <v>32283.014722039101</v>
      </c>
      <c r="D13" s="258">
        <f>BS!L13</f>
        <v>38822.249517459204</v>
      </c>
      <c r="E13" s="258">
        <f>BS!M13</f>
        <v>24029.989523217049</v>
      </c>
      <c r="F13" s="258">
        <f>BS!N13</f>
        <v>72332.922818576393</v>
      </c>
      <c r="G13" s="258">
        <f>BS!O13</f>
        <v>44043.626692401231</v>
      </c>
      <c r="H13" s="258">
        <f>BS!P13</f>
        <v>40745.342958707173</v>
      </c>
      <c r="I13" s="258">
        <f>BS!Q13</f>
        <v>47148.743742733153</v>
      </c>
      <c r="J13" s="258">
        <f>BS!R13</f>
        <v>36360.768962914946</v>
      </c>
      <c r="K13" s="258">
        <f>BS!S13</f>
        <v>42103.672583234329</v>
      </c>
      <c r="L13" s="258">
        <f>BS!T13</f>
        <v>29670.492519739917</v>
      </c>
      <c r="M13" s="258">
        <f>BS!U13</f>
        <v>41840.793216325379</v>
      </c>
      <c r="N13" s="258">
        <f>BS!V13</f>
        <v>66966.71848150903</v>
      </c>
      <c r="O13" s="258">
        <f>BS!W13</f>
        <v>50210.634976573267</v>
      </c>
      <c r="P13" s="258">
        <f>BS!X13</f>
        <v>46581.337341519196</v>
      </c>
      <c r="Q13" s="258">
        <f>BS!Y13</f>
        <v>54774.806786077999</v>
      </c>
      <c r="R13" s="258">
        <f>BS!Z13</f>
        <v>52826.787361151655</v>
      </c>
      <c r="S13" s="258">
        <f>BS!AA13</f>
        <v>61397.64994288727</v>
      </c>
      <c r="T13" s="258">
        <f>BS!AB13</f>
        <v>70492.818040435464</v>
      </c>
      <c r="U13" s="258">
        <f>BS!AC13</f>
        <v>78244.371169320322</v>
      </c>
    </row>
    <row r="14" spans="1:21" ht="12.6" x14ac:dyDescent="0.2">
      <c r="A14" s="255" t="s">
        <v>545</v>
      </c>
      <c r="B14" s="256" t="s">
        <v>254</v>
      </c>
      <c r="C14" s="258">
        <f>BS!K32</f>
        <v>58835.933494470097</v>
      </c>
      <c r="D14" s="258">
        <f>BS!L32</f>
        <v>63581.856466046673</v>
      </c>
      <c r="E14" s="258">
        <f>BS!M32</f>
        <v>53670.388044204628</v>
      </c>
      <c r="F14" s="258">
        <f>BS!N32</f>
        <v>106544.72294139687</v>
      </c>
      <c r="G14" s="258">
        <f>BS!O32</f>
        <v>70194.474148613765</v>
      </c>
      <c r="H14" s="258">
        <f>BS!P32</f>
        <v>60786.117249184383</v>
      </c>
      <c r="I14" s="258">
        <f>BS!Q32</f>
        <v>71918.183487442962</v>
      </c>
      <c r="J14" s="258">
        <f>BS!R32</f>
        <v>47811.972860396207</v>
      </c>
      <c r="K14" s="258">
        <f>BS!S32</f>
        <v>54743.309465107515</v>
      </c>
      <c r="L14" s="258">
        <f>BS!T32</f>
        <v>37799.357418395455</v>
      </c>
      <c r="M14" s="258">
        <f>BS!U32</f>
        <v>41531.890965300932</v>
      </c>
      <c r="N14" s="258">
        <f>BS!V32</f>
        <v>82051.451367190923</v>
      </c>
      <c r="O14" s="258">
        <f>BS!W32</f>
        <v>62932.724077380932</v>
      </c>
      <c r="P14" s="258">
        <f>BS!X32</f>
        <v>57692.896381345956</v>
      </c>
      <c r="Q14" s="258">
        <f>BS!Y32</f>
        <v>57242.562438133871</v>
      </c>
      <c r="R14" s="258">
        <f>BS!Z32</f>
        <v>62868.15698306261</v>
      </c>
      <c r="S14" s="258">
        <f>BS!AA32</f>
        <v>67186.431245057553</v>
      </c>
      <c r="T14" s="258">
        <f>BS!AB32</f>
        <v>62541.701226887853</v>
      </c>
      <c r="U14" s="258">
        <f>BS!AC32</f>
        <v>80835.662300975862</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0.19250614490361895</v>
      </c>
      <c r="E16" s="262">
        <f t="shared" ref="E16:M16" si="0">E4/D4-1</f>
        <v>-0.14012608390290726</v>
      </c>
      <c r="F16" s="262">
        <f t="shared" si="0"/>
        <v>0.76228989752254872</v>
      </c>
      <c r="G16" s="262">
        <f t="shared" si="0"/>
        <v>-0.25240254501548187</v>
      </c>
      <c r="H16" s="262">
        <f t="shared" si="0"/>
        <v>-0.20612256012524544</v>
      </c>
      <c r="I16" s="262">
        <f t="shared" si="0"/>
        <v>2.723575613557494E-2</v>
      </c>
      <c r="J16" s="262">
        <f t="shared" si="0"/>
        <v>-0.23000090022785646</v>
      </c>
      <c r="K16" s="262">
        <f t="shared" si="0"/>
        <v>0.218514389942424</v>
      </c>
      <c r="L16" s="262">
        <f t="shared" si="0"/>
        <v>-9.8783566253224486E-2</v>
      </c>
      <c r="M16" s="262">
        <f t="shared" si="0"/>
        <v>0.19868053382215822</v>
      </c>
      <c r="N16" s="262">
        <f t="shared" ref="N16:R16" si="1">N4/M4-1</f>
        <v>0.17510048135650291</v>
      </c>
      <c r="O16" s="262">
        <f t="shared" si="1"/>
        <v>-0.10401977547006491</v>
      </c>
      <c r="P16" s="262">
        <f t="shared" si="1"/>
        <v>3.4345160841927402E-2</v>
      </c>
      <c r="Q16" s="262">
        <f t="shared" si="1"/>
        <v>6.1675245985051141E-3</v>
      </c>
      <c r="R16" s="262">
        <f t="shared" si="1"/>
        <v>-1.7171412164903588E-2</v>
      </c>
      <c r="S16" s="262">
        <f>S4/R4-1</f>
        <v>0.1085513105583249</v>
      </c>
      <c r="T16" s="262">
        <f>T4/S4-1</f>
        <v>-2.571350738937872E-2</v>
      </c>
      <c r="U16" s="262">
        <f>U4/T4-1</f>
        <v>2.8334507863070124E-2</v>
      </c>
    </row>
    <row r="17" spans="1:21" ht="12.6" x14ac:dyDescent="0.2">
      <c r="A17" s="255" t="s">
        <v>548</v>
      </c>
      <c r="B17" s="256" t="s">
        <v>110</v>
      </c>
      <c r="C17" s="262">
        <f>C5/C4</f>
        <v>3.5151083739716378E-2</v>
      </c>
      <c r="D17" s="262">
        <f t="shared" ref="D17:M17" si="2">D5/D4</f>
        <v>3.3393799218357861E-2</v>
      </c>
      <c r="E17" s="262">
        <f t="shared" si="2"/>
        <v>3.7488115564242232E-2</v>
      </c>
      <c r="F17" s="262">
        <f t="shared" si="2"/>
        <v>4.0865385672092594E-2</v>
      </c>
      <c r="G17" s="262">
        <f t="shared" si="2"/>
        <v>2.6481030260744429E-2</v>
      </c>
      <c r="H17" s="262">
        <f t="shared" si="2"/>
        <v>2.0374681192054645E-2</v>
      </c>
      <c r="I17" s="262">
        <f t="shared" si="2"/>
        <v>4.2339806504654851E-4</v>
      </c>
      <c r="J17" s="262">
        <f t="shared" si="2"/>
        <v>3.2702866173404531E-2</v>
      </c>
      <c r="K17" s="262">
        <f t="shared" si="2"/>
        <v>3.6828996814006795E-2</v>
      </c>
      <c r="L17" s="262">
        <f t="shared" si="2"/>
        <v>5.0459140628387598E-2</v>
      </c>
      <c r="M17" s="262">
        <f t="shared" si="2"/>
        <v>3.7768957058845483E-2</v>
      </c>
      <c r="N17" s="262">
        <f>N5/N4</f>
        <v>4.1577023796306609E-2</v>
      </c>
      <c r="O17" s="262">
        <f>O5/O4</f>
        <v>4.2559894605580843E-2</v>
      </c>
      <c r="P17" s="262">
        <f t="shared" ref="P17:Q17" si="3">P5/P4</f>
        <v>3.803516900733226E-2</v>
      </c>
      <c r="Q17" s="262">
        <f t="shared" si="3"/>
        <v>4.8105883044263699E-2</v>
      </c>
      <c r="R17" s="262">
        <f>R5/R4</f>
        <v>3.9385064070466637E-2</v>
      </c>
      <c r="S17" s="262">
        <f>S5/S4</f>
        <v>4.5461869257325524E-2</v>
      </c>
      <c r="T17" s="262">
        <f>T5/T4</f>
        <v>3.699052154365555E-2</v>
      </c>
      <c r="U17" s="262">
        <f>U5/U4</f>
        <v>3.567032146732365E-2</v>
      </c>
    </row>
    <row r="18" spans="1:21" ht="12.6" x14ac:dyDescent="0.2">
      <c r="A18" s="255" t="s">
        <v>549</v>
      </c>
      <c r="B18" s="256" t="s">
        <v>254</v>
      </c>
      <c r="C18" s="263">
        <f>C5/C6</f>
        <v>526.04517151190441</v>
      </c>
      <c r="D18" s="263">
        <f t="shared" ref="D18:M18" si="4">D5/D6</f>
        <v>560.27659574468169</v>
      </c>
      <c r="E18" s="263">
        <f t="shared" si="4"/>
        <v>572.98318685772938</v>
      </c>
      <c r="F18" s="263">
        <f t="shared" si="4"/>
        <v>673.70207810426871</v>
      </c>
      <c r="G18" s="263">
        <f t="shared" si="4"/>
        <v>456.01491898544532</v>
      </c>
      <c r="H18" s="263">
        <f t="shared" si="4"/>
        <v>353.36193127946819</v>
      </c>
      <c r="I18" s="263">
        <f t="shared" si="4"/>
        <v>6.3274889562578842</v>
      </c>
      <c r="J18" s="263">
        <f t="shared" si="4"/>
        <v>477.41410580692542</v>
      </c>
      <c r="K18" s="263">
        <f t="shared" si="4"/>
        <v>641.32684446146868</v>
      </c>
      <c r="L18" s="263">
        <f t="shared" si="4"/>
        <v>686.03883479102683</v>
      </c>
      <c r="M18" s="263">
        <f t="shared" si="4"/>
        <v>614.09313808919137</v>
      </c>
      <c r="N18" s="263">
        <f>N5/N6</f>
        <v>740.60510071210274</v>
      </c>
      <c r="O18" s="263">
        <f>O5/O6</f>
        <v>700.41467257116926</v>
      </c>
      <c r="P18" s="263">
        <f t="shared" ref="P18:R18" si="5">P5/P6</f>
        <v>666.80820008183059</v>
      </c>
      <c r="Q18" s="263">
        <f t="shared" si="5"/>
        <v>882.41280187796133</v>
      </c>
      <c r="R18" s="263">
        <f t="shared" si="5"/>
        <v>665.52709245016956</v>
      </c>
      <c r="S18" s="263">
        <f t="shared" ref="S18:T18" si="6">S5/S6</f>
        <v>857.57077646540165</v>
      </c>
      <c r="T18" s="263">
        <f t="shared" si="6"/>
        <v>702.54662883595915</v>
      </c>
      <c r="U18" s="263">
        <f>U5/U6</f>
        <v>630.1240643112634</v>
      </c>
    </row>
    <row r="19" spans="1:21" ht="12.6" x14ac:dyDescent="0.2">
      <c r="A19" s="255" t="s">
        <v>550</v>
      </c>
      <c r="B19" s="256" t="s">
        <v>441</v>
      </c>
      <c r="C19" s="264">
        <f>(C7-C8)/(C5+C9)</f>
        <v>2.9808086199935069</v>
      </c>
      <c r="D19" s="264">
        <f t="shared" ref="D19:M19" si="7">(D7-D8)/(D5+D9)</f>
        <v>2.3542745460052767</v>
      </c>
      <c r="E19" s="264">
        <f t="shared" si="7"/>
        <v>3.0969670290517755</v>
      </c>
      <c r="F19" s="264">
        <f t="shared" si="7"/>
        <v>1.9578329416389975</v>
      </c>
      <c r="G19" s="264">
        <f t="shared" si="7"/>
        <v>1.3776561385242942</v>
      </c>
      <c r="H19" s="264">
        <f t="shared" si="7"/>
        <v>4.1340504275338583</v>
      </c>
      <c r="I19" s="264">
        <f t="shared" si="7"/>
        <v>4.8512462206524996</v>
      </c>
      <c r="J19" s="264">
        <f t="shared" si="7"/>
        <v>1.5446897339364407</v>
      </c>
      <c r="K19" s="264">
        <f t="shared" si="7"/>
        <v>1.740731957755165</v>
      </c>
      <c r="L19" s="264">
        <f t="shared" si="7"/>
        <v>1.2493146351999505</v>
      </c>
      <c r="M19" s="264">
        <f t="shared" si="7"/>
        <v>-0.72584836910589545</v>
      </c>
      <c r="N19" s="264">
        <f>(N7-N8)/(N5+N9)</f>
        <v>1.0061679749754209</v>
      </c>
      <c r="O19" s="264">
        <f>(O7-O8)/(O5+O9)</f>
        <v>1.0301469711087898</v>
      </c>
      <c r="P19" s="264">
        <f t="shared" ref="P19:Q19" si="8">(P7-P8)/(P5+P9)</f>
        <v>0.84880779200563128</v>
      </c>
      <c r="Q19" s="264">
        <f t="shared" si="8"/>
        <v>1.0475471902028632</v>
      </c>
      <c r="R19" s="264">
        <f>(R7-R8)/(R5+R9)</f>
        <v>1.1570031451488831</v>
      </c>
      <c r="S19" s="264">
        <f>(S7-S8)/(S5+S9)</f>
        <v>0.35162407598668088</v>
      </c>
      <c r="T19" s="264">
        <f>(T7-T8)/(T5+T9)</f>
        <v>0.22469492595699977</v>
      </c>
      <c r="U19" s="264">
        <f>(U7-U8)/(U5+U9)</f>
        <v>2.1248530420787506</v>
      </c>
    </row>
    <row r="20" spans="1:21" ht="12.6" x14ac:dyDescent="0.2">
      <c r="A20" s="255" t="s">
        <v>551</v>
      </c>
      <c r="B20" s="256" t="s">
        <v>552</v>
      </c>
      <c r="C20" s="264">
        <f>(C12+C13-C14)/(C4/12)</f>
        <v>1.6608916514510319</v>
      </c>
      <c r="D20" s="264">
        <f t="shared" ref="D20:M20" si="9">(D12+D13-D14)/(D4/12)</f>
        <v>2.1884089923815879</v>
      </c>
      <c r="E20" s="264">
        <f t="shared" si="9"/>
        <v>1.2622993424902933</v>
      </c>
      <c r="F20" s="264">
        <f t="shared" si="9"/>
        <v>1.5462038545783621</v>
      </c>
      <c r="G20" s="264">
        <f t="shared" si="9"/>
        <v>1.6159696350948332</v>
      </c>
      <c r="H20" s="264">
        <f t="shared" si="9"/>
        <v>2.0703531104303359</v>
      </c>
      <c r="I20" s="264">
        <f t="shared" si="9"/>
        <v>2.2009390632137076</v>
      </c>
      <c r="J20" s="264">
        <f t="shared" si="9"/>
        <v>2.304565968698947</v>
      </c>
      <c r="K20" s="264">
        <f t="shared" si="9"/>
        <v>2.229656022036</v>
      </c>
      <c r="L20" s="264">
        <f t="shared" si="9"/>
        <v>1.8713178059310305</v>
      </c>
      <c r="M20" s="264">
        <f t="shared" si="9"/>
        <v>2.3771107581796462</v>
      </c>
      <c r="N20" s="264">
        <f t="shared" ref="N20:R20" si="10">(N12+N13-N14)/(N4/12)</f>
        <v>2.4744061804021902</v>
      </c>
      <c r="O20" s="264">
        <f t="shared" si="10"/>
        <v>2.2271724876851273</v>
      </c>
      <c r="P20" s="264">
        <f t="shared" si="10"/>
        <v>1.7103798468853881</v>
      </c>
      <c r="Q20" s="264">
        <f t="shared" si="10"/>
        <v>2.5989673561768321</v>
      </c>
      <c r="R20" s="264">
        <f t="shared" si="10"/>
        <v>2.1992759702774838</v>
      </c>
      <c r="S20" s="264">
        <f t="shared" ref="S20:T20" si="11">(S12+S13-S14)/(S4/12)</f>
        <v>2.1115230771933624</v>
      </c>
      <c r="T20" s="264">
        <f t="shared" si="11"/>
        <v>2.1386997241825427</v>
      </c>
      <c r="U20" s="264">
        <f>(U12+U13-U14)/(U4/12)</f>
        <v>2.0139929832400587</v>
      </c>
    </row>
    <row r="21" spans="1:21" ht="12.6" x14ac:dyDescent="0.2">
      <c r="A21" s="255" t="s">
        <v>553</v>
      </c>
      <c r="B21" s="256" t="s">
        <v>110</v>
      </c>
      <c r="C21" s="262">
        <f>C10/(C10+C11)</f>
        <v>0.30561736137673989</v>
      </c>
      <c r="D21" s="262">
        <f t="shared" ref="D21:U21" si="12">D10/(D10+D11)</f>
        <v>0.40036567323171457</v>
      </c>
      <c r="E21" s="262">
        <f t="shared" si="12"/>
        <v>0.33937809665007951</v>
      </c>
      <c r="F21" s="262">
        <f t="shared" si="12"/>
        <v>0.31682778049596805</v>
      </c>
      <c r="G21" s="262">
        <f t="shared" si="12"/>
        <v>0.4655296449566973</v>
      </c>
      <c r="H21" s="262">
        <f t="shared" si="12"/>
        <v>0.37949163971036953</v>
      </c>
      <c r="I21" s="262">
        <f t="shared" si="12"/>
        <v>0.43560084577134295</v>
      </c>
      <c r="J21" s="262">
        <f t="shared" si="12"/>
        <v>0.41532459506932745</v>
      </c>
      <c r="K21" s="262">
        <f t="shared" si="12"/>
        <v>0.38181955953201457</v>
      </c>
      <c r="L21" s="262">
        <f t="shared" si="12"/>
        <v>0.34289137355610244</v>
      </c>
      <c r="M21" s="262">
        <f t="shared" si="12"/>
        <v>0.51203992781782648</v>
      </c>
      <c r="N21" s="262">
        <f>N10/(N10+N11)</f>
        <v>0.47882963041082477</v>
      </c>
      <c r="O21" s="262">
        <f>O10/(O10+O11)</f>
        <v>0.43452874565137256</v>
      </c>
      <c r="P21" s="262">
        <f>P10/(P10+P11)</f>
        <v>0.48344292079044615</v>
      </c>
      <c r="Q21" s="262">
        <f>Q10/(Q10+Q11)</f>
        <v>0.46994790344234005</v>
      </c>
      <c r="R21" s="262">
        <f t="shared" ref="R21:S21" si="13">R10/(R10+R11)</f>
        <v>0.42857732494081324</v>
      </c>
      <c r="S21" s="262">
        <f t="shared" si="13"/>
        <v>0.52967618667420957</v>
      </c>
      <c r="T21" s="262">
        <f t="shared" ref="T21" si="14">T10/(T10+T11)</f>
        <v>0.49777357878488476</v>
      </c>
      <c r="U21" s="262">
        <f t="shared" si="12"/>
        <v>0.37504494002018074</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２９　電気機械器具製造業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13653</v>
      </c>
      <c r="L4" s="68">
        <v>11398</v>
      </c>
      <c r="M4" s="68">
        <v>11095.1497475019</v>
      </c>
      <c r="N4" s="68">
        <v>9497.9089165771002</v>
      </c>
      <c r="O4" s="68">
        <v>11121.968536598401</v>
      </c>
      <c r="P4" s="68">
        <v>10872.0368789164</v>
      </c>
      <c r="Q4" s="68">
        <v>9781.1197773644799</v>
      </c>
      <c r="R4" s="68">
        <v>11836.349255306866</v>
      </c>
      <c r="S4" s="68">
        <v>11561.672096000028</v>
      </c>
      <c r="T4" s="68">
        <v>12088.165173891553</v>
      </c>
      <c r="U4" s="68">
        <v>12038.196718999983</v>
      </c>
      <c r="V4" s="68">
        <v>11998.27552100001</v>
      </c>
      <c r="W4" s="68">
        <v>11968.32784500004</v>
      </c>
      <c r="X4" s="68">
        <v>11948.291200000027</v>
      </c>
      <c r="Y4" s="68">
        <v>10843.784799000012</v>
      </c>
      <c r="Z4" s="68">
        <v>11293</v>
      </c>
      <c r="AA4" s="68">
        <v>11381</v>
      </c>
      <c r="AB4" s="68">
        <v>11574</v>
      </c>
      <c r="AC4" s="68">
        <v>11682</v>
      </c>
    </row>
    <row r="5" spans="1:29" s="31" customFormat="1" ht="18" customHeight="1" x14ac:dyDescent="0.2">
      <c r="A5" s="363" t="s">
        <v>34</v>
      </c>
      <c r="B5" s="364"/>
      <c r="C5" s="364"/>
      <c r="D5" s="364"/>
      <c r="E5" s="364"/>
      <c r="F5" s="364"/>
      <c r="G5" s="364"/>
      <c r="H5" s="364"/>
      <c r="I5" s="364"/>
      <c r="J5" s="364"/>
      <c r="K5" s="251">
        <v>27.136819746575799</v>
      </c>
      <c r="L5" s="251">
        <v>28.864713107562729</v>
      </c>
      <c r="M5" s="251">
        <v>27.245225161506383</v>
      </c>
      <c r="N5" s="251">
        <v>44.514729278154569</v>
      </c>
      <c r="O5" s="251">
        <v>31.859551816157666</v>
      </c>
      <c r="P5" s="251">
        <v>25.113564474086207</v>
      </c>
      <c r="Q5" s="251">
        <v>29.938145678231695</v>
      </c>
      <c r="R5" s="251">
        <v>23.598707218075045</v>
      </c>
      <c r="S5" s="251">
        <v>24.10675612319605</v>
      </c>
      <c r="T5" s="251">
        <v>27.825857428271824</v>
      </c>
      <c r="U5" s="251">
        <v>27.890840815536151</v>
      </c>
      <c r="V5" s="251">
        <v>29.91593372801378</v>
      </c>
      <c r="W5" s="251">
        <v>29.012128747338206</v>
      </c>
      <c r="X5" s="251">
        <v>28.169827847924175</v>
      </c>
      <c r="Y5" s="251">
        <v>27.089217565231777</v>
      </c>
      <c r="Z5" s="251">
        <v>28.901053070980453</v>
      </c>
      <c r="AA5" s="251">
        <v>28.699938493981197</v>
      </c>
      <c r="AB5" s="251">
        <v>27.771902540176256</v>
      </c>
      <c r="AC5" s="251">
        <v>30.704759458996747</v>
      </c>
    </row>
    <row r="6" spans="1:29" s="31" customFormat="1" ht="18" customHeight="1" x14ac:dyDescent="0.2">
      <c r="A6" s="359" t="s">
        <v>514</v>
      </c>
      <c r="B6" s="360"/>
      <c r="C6" s="360"/>
      <c r="D6" s="360"/>
      <c r="E6" s="360"/>
      <c r="F6" s="360"/>
      <c r="G6" s="360"/>
      <c r="H6" s="360"/>
      <c r="I6" s="360"/>
      <c r="J6" s="360"/>
      <c r="K6" s="71">
        <v>406109.61253936804</v>
      </c>
      <c r="L6" s="71">
        <v>484288.20845762413</v>
      </c>
      <c r="M6" s="71">
        <v>416426.79832610243</v>
      </c>
      <c r="N6" s="71">
        <v>733864.73974775011</v>
      </c>
      <c r="O6" s="71">
        <v>548635.41173829371</v>
      </c>
      <c r="P6" s="71">
        <v>435549.2760954285</v>
      </c>
      <c r="Q6" s="71">
        <v>447411.78996418981</v>
      </c>
      <c r="R6" s="71">
        <v>344506.67549986951</v>
      </c>
      <c r="S6" s="71">
        <v>419786.34152781614</v>
      </c>
      <c r="T6" s="71">
        <v>378318.34964730439</v>
      </c>
      <c r="U6" s="71">
        <v>453482.84130994877</v>
      </c>
      <c r="V6" s="71">
        <v>532887.90511023544</v>
      </c>
      <c r="W6" s="71">
        <v>477457.02486995549</v>
      </c>
      <c r="X6" s="71">
        <v>493855.36318422219</v>
      </c>
      <c r="Y6" s="71">
        <v>496901.22828476451</v>
      </c>
      <c r="Z6" s="71">
        <v>488368.73248863994</v>
      </c>
      <c r="AA6" s="71">
        <v>541381.79843598977</v>
      </c>
      <c r="AB6" s="71">
        <v>527460.97356143082</v>
      </c>
      <c r="AC6" s="71">
        <v>542406.32066426985</v>
      </c>
    </row>
    <row r="7" spans="1:29" s="31" customFormat="1" ht="18" customHeight="1" x14ac:dyDescent="0.2">
      <c r="A7" s="366" t="s">
        <v>35</v>
      </c>
      <c r="B7" s="367"/>
      <c r="C7" s="367"/>
      <c r="D7" s="367"/>
      <c r="E7" s="367"/>
      <c r="F7" s="367"/>
      <c r="G7" s="367"/>
      <c r="H7" s="367"/>
      <c r="I7" s="367"/>
      <c r="J7" s="367"/>
      <c r="K7" s="211">
        <v>391834.41954149294</v>
      </c>
      <c r="L7" s="211">
        <v>468115.98526057199</v>
      </c>
      <c r="M7" s="211">
        <v>400815.74238640611</v>
      </c>
      <c r="N7" s="211">
        <v>703875.07412680844</v>
      </c>
      <c r="O7" s="211">
        <v>534106.98079793598</v>
      </c>
      <c r="P7" s="211">
        <v>426675.09845155396</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322568.51461217296</v>
      </c>
      <c r="L8" s="211">
        <v>380964.73065450077</v>
      </c>
      <c r="M8" s="211">
        <v>326933.16700563068</v>
      </c>
      <c r="N8" s="211">
        <v>629894.66121148353</v>
      </c>
      <c r="O8" s="211">
        <v>451776.36832937243</v>
      </c>
      <c r="P8" s="211">
        <v>352433.96082492749</v>
      </c>
      <c r="Q8" s="211">
        <v>370056.74545869452</v>
      </c>
      <c r="R8" s="211">
        <v>264621.52442052012</v>
      </c>
      <c r="S8" s="211">
        <v>331269.40758474113</v>
      </c>
      <c r="T8" s="211">
        <v>296193.55669915577</v>
      </c>
      <c r="U8" s="211">
        <v>357960.98202119913</v>
      </c>
      <c r="V8" s="211">
        <v>417018.06433590699</v>
      </c>
      <c r="W8" s="211">
        <v>379418.32699211093</v>
      </c>
      <c r="X8" s="211">
        <v>394157.8637323596</v>
      </c>
      <c r="Y8" s="211">
        <v>392806.85832620139</v>
      </c>
      <c r="Z8" s="211">
        <v>390446.32698035927</v>
      </c>
      <c r="AA8" s="211">
        <v>427192.8223354714</v>
      </c>
      <c r="AB8" s="211">
        <v>419126.99801278725</v>
      </c>
      <c r="AC8" s="211">
        <v>434633.10486218112</v>
      </c>
    </row>
    <row r="9" spans="1:29" s="31" customFormat="1" ht="18" customHeight="1" x14ac:dyDescent="0.2">
      <c r="A9" s="212"/>
      <c r="B9" s="73"/>
      <c r="C9" s="346" t="s">
        <v>37</v>
      </c>
      <c r="D9" s="347"/>
      <c r="E9" s="347"/>
      <c r="F9" s="347"/>
      <c r="G9" s="347"/>
      <c r="H9" s="347"/>
      <c r="I9" s="347"/>
      <c r="J9" s="347"/>
      <c r="K9" s="68">
        <v>53539.136453526698</v>
      </c>
      <c r="L9" s="68">
        <v>40116.599403404107</v>
      </c>
      <c r="M9" s="68">
        <v>28875.328917233626</v>
      </c>
      <c r="N9" s="68">
        <v>29813.618880452268</v>
      </c>
      <c r="O9" s="68">
        <v>67876.032285694469</v>
      </c>
      <c r="P9" s="68">
        <v>33283.322343228734</v>
      </c>
      <c r="Q9" s="68">
        <v>41745.464740877047</v>
      </c>
      <c r="R9" s="68">
        <v>44877.555050480434</v>
      </c>
      <c r="S9" s="68">
        <v>63111.430120821366</v>
      </c>
      <c r="T9" s="68">
        <v>45286.461108153897</v>
      </c>
      <c r="U9" s="68">
        <v>65504.634108674793</v>
      </c>
      <c r="V9" s="68">
        <v>96578.794763808895</v>
      </c>
      <c r="W9" s="68">
        <v>55907.283735555553</v>
      </c>
      <c r="X9" s="68">
        <v>19555.42221846024</v>
      </c>
      <c r="Y9" s="68">
        <v>45795.581060552307</v>
      </c>
      <c r="Z9" s="68">
        <v>192028.40889498865</v>
      </c>
      <c r="AA9" s="68">
        <v>233987.96608382391</v>
      </c>
      <c r="AB9" s="68">
        <v>245154.48678071538</v>
      </c>
      <c r="AC9" s="68">
        <v>237885.38204074642</v>
      </c>
    </row>
    <row r="10" spans="1:29" s="31" customFormat="1" ht="18" customHeight="1" x14ac:dyDescent="0.2">
      <c r="A10" s="212"/>
      <c r="B10" s="73"/>
      <c r="C10" s="355" t="s">
        <v>38</v>
      </c>
      <c r="D10" s="356"/>
      <c r="E10" s="356"/>
      <c r="F10" s="356"/>
      <c r="G10" s="356"/>
      <c r="H10" s="356"/>
      <c r="I10" s="356"/>
      <c r="J10" s="356"/>
      <c r="K10" s="69">
        <v>126944.51768842</v>
      </c>
      <c r="L10" s="69">
        <v>203401.73714686788</v>
      </c>
      <c r="M10" s="69">
        <v>147142.53234195753</v>
      </c>
      <c r="N10" s="69">
        <v>362424.89002251183</v>
      </c>
      <c r="O10" s="69">
        <v>194666.34960130061</v>
      </c>
      <c r="P10" s="69">
        <v>157865.67034121606</v>
      </c>
      <c r="Q10" s="69">
        <v>145022.23859668642</v>
      </c>
      <c r="R10" s="69">
        <v>94275.022109128593</v>
      </c>
      <c r="S10" s="69">
        <v>130393.86273281474</v>
      </c>
      <c r="T10" s="69">
        <v>118383.5616629234</v>
      </c>
      <c r="U10" s="69">
        <v>82627.711369556273</v>
      </c>
      <c r="V10" s="69">
        <v>115102.01765033847</v>
      </c>
      <c r="W10" s="69">
        <v>143080.45748852298</v>
      </c>
      <c r="X10" s="69">
        <v>170934.78052049674</v>
      </c>
      <c r="Y10" s="69">
        <v>173757.40107458178</v>
      </c>
      <c r="Z10" s="69"/>
      <c r="AA10" s="69"/>
      <c r="AB10" s="69"/>
      <c r="AC10" s="69"/>
    </row>
    <row r="11" spans="1:29" s="31" customFormat="1" ht="18" customHeight="1" x14ac:dyDescent="0.2">
      <c r="A11" s="212"/>
      <c r="B11" s="73"/>
      <c r="C11" s="355" t="s">
        <v>39</v>
      </c>
      <c r="D11" s="356"/>
      <c r="E11" s="356"/>
      <c r="F11" s="356"/>
      <c r="G11" s="356"/>
      <c r="H11" s="356"/>
      <c r="I11" s="356"/>
      <c r="J11" s="356"/>
      <c r="K11" s="69">
        <v>53967.260675309401</v>
      </c>
      <c r="L11" s="69">
        <v>72014.300754518335</v>
      </c>
      <c r="M11" s="69">
        <v>65828.29362809498</v>
      </c>
      <c r="N11" s="69">
        <v>97851.565063093178</v>
      </c>
      <c r="O11" s="69">
        <v>95532.330394043049</v>
      </c>
      <c r="P11" s="69">
        <v>65188.59775750414</v>
      </c>
      <c r="Q11" s="69">
        <v>83171.635569420716</v>
      </c>
      <c r="R11" s="69">
        <v>65308.59438956622</v>
      </c>
      <c r="S11" s="69">
        <v>63669.998883738386</v>
      </c>
      <c r="T11" s="69">
        <v>72467.316706303885</v>
      </c>
      <c r="U11" s="69">
        <v>97145.621253775753</v>
      </c>
      <c r="V11" s="69">
        <v>72854.035197584919</v>
      </c>
      <c r="W11" s="69">
        <v>90212.587284047899</v>
      </c>
      <c r="X11" s="69">
        <v>89240.116274716245</v>
      </c>
      <c r="Y11" s="69">
        <v>78247.935143096765</v>
      </c>
      <c r="Z11" s="69">
        <v>90904.239545376608</v>
      </c>
      <c r="AA11" s="69">
        <v>71478.728143396889</v>
      </c>
      <c r="AB11" s="69">
        <v>78594.497321582865</v>
      </c>
      <c r="AC11" s="69">
        <v>88991.905324430743</v>
      </c>
    </row>
    <row r="12" spans="1:29" s="31" customFormat="1" ht="18" customHeight="1" x14ac:dyDescent="0.2">
      <c r="A12" s="212"/>
      <c r="B12" s="73"/>
      <c r="C12" s="355" t="s">
        <v>40</v>
      </c>
      <c r="D12" s="356"/>
      <c r="E12" s="356"/>
      <c r="F12" s="356"/>
      <c r="G12" s="356"/>
      <c r="H12" s="356"/>
      <c r="I12" s="356"/>
      <c r="J12" s="356"/>
      <c r="K12" s="69">
        <v>52058.203325276496</v>
      </c>
      <c r="L12" s="69">
        <v>38621.337076680124</v>
      </c>
      <c r="M12" s="69">
        <v>53972.028708210586</v>
      </c>
      <c r="N12" s="69">
        <v>74713.739668429218</v>
      </c>
      <c r="O12" s="69">
        <v>58417.902746538552</v>
      </c>
      <c r="P12" s="69">
        <v>55798.764742195541</v>
      </c>
      <c r="Q12" s="69">
        <v>37415.174498441876</v>
      </c>
      <c r="R12" s="69">
        <v>39874.648782117751</v>
      </c>
      <c r="S12" s="69">
        <v>53584.317634192586</v>
      </c>
      <c r="T12" s="69">
        <v>32875.235023666304</v>
      </c>
      <c r="U12" s="69">
        <v>69177.265412755005</v>
      </c>
      <c r="V12" s="69">
        <v>50158.330746251238</v>
      </c>
      <c r="W12" s="69">
        <v>53481.582153912706</v>
      </c>
      <c r="X12" s="69">
        <v>76118.121254902522</v>
      </c>
      <c r="Y12" s="69">
        <v>54301.434141983758</v>
      </c>
      <c r="Z12" s="69">
        <v>50942.379578474247</v>
      </c>
      <c r="AA12" s="69">
        <v>44423.007117125031</v>
      </c>
      <c r="AB12" s="69">
        <v>48823.030585795757</v>
      </c>
      <c r="AC12" s="69">
        <v>49951.937253894874</v>
      </c>
    </row>
    <row r="13" spans="1:29" s="31" customFormat="1" ht="18" customHeight="1" x14ac:dyDescent="0.2">
      <c r="A13" s="212"/>
      <c r="B13" s="73"/>
      <c r="C13" s="355" t="s">
        <v>41</v>
      </c>
      <c r="D13" s="356"/>
      <c r="E13" s="356"/>
      <c r="F13" s="356"/>
      <c r="G13" s="356"/>
      <c r="H13" s="356"/>
      <c r="I13" s="356"/>
      <c r="J13" s="356"/>
      <c r="K13" s="69">
        <v>5829.1056910569105</v>
      </c>
      <c r="L13" s="69">
        <v>4902.9654325320234</v>
      </c>
      <c r="M13" s="69">
        <v>7040.5406787413731</v>
      </c>
      <c r="N13" s="69">
        <v>17027.901412340645</v>
      </c>
      <c r="O13" s="69">
        <v>7593.1782129276507</v>
      </c>
      <c r="P13" s="69">
        <v>3945.8588744951098</v>
      </c>
      <c r="Q13" s="69">
        <v>6679.8780826901557</v>
      </c>
      <c r="R13" s="69">
        <v>4755.674742442231</v>
      </c>
      <c r="S13" s="69">
        <v>4503.9349551472087</v>
      </c>
      <c r="T13" s="69">
        <v>5727.3736556957338</v>
      </c>
      <c r="U13" s="69">
        <v>5204.5146541537479</v>
      </c>
      <c r="V13" s="69">
        <v>5817.3230944762854</v>
      </c>
      <c r="W13" s="69">
        <v>7000.7816580806139</v>
      </c>
      <c r="X13" s="69">
        <v>8608.3169457418408</v>
      </c>
      <c r="Y13" s="69">
        <v>4643.1609488360846</v>
      </c>
      <c r="Z13" s="69">
        <v>8844.3588224050491</v>
      </c>
      <c r="AA13" s="69">
        <v>8851.1356647043322</v>
      </c>
      <c r="AB13" s="69">
        <v>9312.3638327285298</v>
      </c>
      <c r="AC13" s="69">
        <v>7416.6700907378863</v>
      </c>
    </row>
    <row r="14" spans="1:29" s="31" customFormat="1" ht="18" customHeight="1" x14ac:dyDescent="0.2">
      <c r="A14" s="212"/>
      <c r="B14" s="73"/>
      <c r="C14" s="363" t="s">
        <v>42</v>
      </c>
      <c r="D14" s="364"/>
      <c r="E14" s="364"/>
      <c r="F14" s="364"/>
      <c r="G14" s="364"/>
      <c r="H14" s="364"/>
      <c r="I14" s="364"/>
      <c r="J14" s="364"/>
      <c r="K14" s="70">
        <v>30230.290778583498</v>
      </c>
      <c r="L14" s="70">
        <v>21907.703105808036</v>
      </c>
      <c r="M14" s="70">
        <v>24074.442731392821</v>
      </c>
      <c r="N14" s="70">
        <v>48062.946164656598</v>
      </c>
      <c r="O14" s="70">
        <v>27690.575088867517</v>
      </c>
      <c r="P14" s="70">
        <v>36351.746766288445</v>
      </c>
      <c r="Q14" s="70">
        <v>56022.3539705781</v>
      </c>
      <c r="R14" s="70">
        <v>15530.029346784902</v>
      </c>
      <c r="S14" s="70">
        <v>16005.863258026786</v>
      </c>
      <c r="T14" s="70">
        <v>21453.608542412509</v>
      </c>
      <c r="U14" s="70">
        <v>38301.235222283642</v>
      </c>
      <c r="V14" s="70">
        <v>76507.562883447448</v>
      </c>
      <c r="W14" s="70">
        <v>29735.634671991218</v>
      </c>
      <c r="X14" s="70">
        <v>29701.106518042056</v>
      </c>
      <c r="Y14" s="70">
        <v>36061.345957150843</v>
      </c>
      <c r="Z14" s="70">
        <v>47726.940139114682</v>
      </c>
      <c r="AA14" s="70">
        <v>68451.985326421272</v>
      </c>
      <c r="AB14" s="70">
        <v>37242.619491964695</v>
      </c>
      <c r="AC14" s="70">
        <v>50387.210152371204</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77355.044505495855</v>
      </c>
      <c r="R15" s="211">
        <v>79885.15107934938</v>
      </c>
      <c r="S15" s="211">
        <v>88516.933943075041</v>
      </c>
      <c r="T15" s="211">
        <v>82124.792948148621</v>
      </c>
      <c r="U15" s="211">
        <v>95521.85928874962</v>
      </c>
      <c r="V15" s="211">
        <v>115869.84077432846</v>
      </c>
      <c r="W15" s="211">
        <v>98038.697877844577</v>
      </c>
      <c r="X15" s="211">
        <v>99697.499451862634</v>
      </c>
      <c r="Y15" s="211">
        <v>104094.3699585631</v>
      </c>
      <c r="Z15" s="211">
        <v>97922.405508280412</v>
      </c>
      <c r="AA15" s="211">
        <v>114188.97601265267</v>
      </c>
      <c r="AB15" s="211">
        <v>108333.9755486435</v>
      </c>
      <c r="AC15" s="211">
        <v>107773.21580208867</v>
      </c>
    </row>
    <row r="16" spans="1:29" s="31" customFormat="1" ht="18" customHeight="1" x14ac:dyDescent="0.2">
      <c r="A16" s="73"/>
      <c r="B16" s="366" t="s">
        <v>43</v>
      </c>
      <c r="C16" s="367"/>
      <c r="D16" s="367"/>
      <c r="E16" s="367"/>
      <c r="F16" s="367"/>
      <c r="G16" s="367"/>
      <c r="H16" s="367"/>
      <c r="I16" s="367"/>
      <c r="J16" s="367"/>
      <c r="K16" s="211">
        <v>69265.9049293196</v>
      </c>
      <c r="L16" s="211">
        <v>87151.254606071234</v>
      </c>
      <c r="M16" s="211">
        <v>73882.575380774928</v>
      </c>
      <c r="N16" s="211">
        <v>73980.412915324472</v>
      </c>
      <c r="O16" s="211">
        <v>82330.612468563224</v>
      </c>
      <c r="P16" s="211">
        <v>74241.137626625918</v>
      </c>
      <c r="Q16" s="211">
        <v>77165.611219346043</v>
      </c>
      <c r="R16" s="211">
        <v>68618.795374632653</v>
      </c>
      <c r="S16" s="211">
        <v>73056.624108383548</v>
      </c>
      <c r="T16" s="211">
        <v>63035.174140995783</v>
      </c>
      <c r="U16" s="211">
        <v>78394.285328390935</v>
      </c>
      <c r="V16" s="211">
        <v>93713.947662796229</v>
      </c>
      <c r="W16" s="211">
        <v>77718.177220685073</v>
      </c>
      <c r="X16" s="211">
        <v>80913.627247973302</v>
      </c>
      <c r="Y16" s="211">
        <v>80190.49758614524</v>
      </c>
      <c r="Z16" s="211">
        <v>78687.971689202648</v>
      </c>
      <c r="AA16" s="211">
        <v>89576.747473859941</v>
      </c>
      <c r="AB16" s="211">
        <v>88822.919129082424</v>
      </c>
      <c r="AC16" s="211">
        <v>88425.407978085947</v>
      </c>
    </row>
    <row r="17" spans="1:29" s="31" customFormat="1" ht="18" customHeight="1" x14ac:dyDescent="0.2">
      <c r="A17" s="212"/>
      <c r="B17" s="73"/>
      <c r="C17" s="346" t="s">
        <v>44</v>
      </c>
      <c r="D17" s="347"/>
      <c r="E17" s="347"/>
      <c r="F17" s="347"/>
      <c r="G17" s="347"/>
      <c r="H17" s="347"/>
      <c r="I17" s="347"/>
      <c r="J17" s="347"/>
      <c r="K17" s="68">
        <v>38027.604189555401</v>
      </c>
      <c r="L17" s="68">
        <v>49162.045972977714</v>
      </c>
      <c r="M17" s="68">
        <v>38086.951776043039</v>
      </c>
      <c r="N17" s="68">
        <v>39527.931143660746</v>
      </c>
      <c r="O17" s="68">
        <v>46137.00392699417</v>
      </c>
      <c r="P17" s="68">
        <v>38790.066078923839</v>
      </c>
      <c r="Q17" s="68">
        <v>39748.173379892309</v>
      </c>
      <c r="R17" s="68">
        <v>37166.256591445446</v>
      </c>
      <c r="S17" s="68">
        <v>38713.002256522079</v>
      </c>
      <c r="T17" s="68">
        <v>32205.404603837393</v>
      </c>
      <c r="U17" s="68">
        <v>41196.312377113849</v>
      </c>
      <c r="V17" s="68">
        <v>45299.777735123869</v>
      </c>
      <c r="W17" s="68">
        <v>39269.244079016426</v>
      </c>
      <c r="X17" s="68">
        <v>42510.632627230589</v>
      </c>
      <c r="Y17" s="68">
        <v>40302.952910242871</v>
      </c>
      <c r="Z17" s="68">
        <v>39343.766437615821</v>
      </c>
      <c r="AA17" s="68">
        <v>42238.428960548285</v>
      </c>
      <c r="AB17" s="68">
        <v>44174.728356661486</v>
      </c>
      <c r="AC17" s="68">
        <v>44563.798921417561</v>
      </c>
    </row>
    <row r="18" spans="1:29" s="31" customFormat="1" ht="18" customHeight="1" x14ac:dyDescent="0.2">
      <c r="A18" s="212"/>
      <c r="B18" s="73"/>
      <c r="C18" s="355" t="s">
        <v>45</v>
      </c>
      <c r="D18" s="356"/>
      <c r="E18" s="356"/>
      <c r="F18" s="356"/>
      <c r="G18" s="356"/>
      <c r="H18" s="356"/>
      <c r="I18" s="356"/>
      <c r="J18" s="356"/>
      <c r="K18" s="69">
        <v>2838.5944481066399</v>
      </c>
      <c r="L18" s="69">
        <v>3265.2219687664501</v>
      </c>
      <c r="M18" s="69">
        <v>3539.5771273457503</v>
      </c>
      <c r="N18" s="69">
        <v>2447.0137200387871</v>
      </c>
      <c r="O18" s="69">
        <v>3345.3519713539263</v>
      </c>
      <c r="P18" s="69">
        <v>3008.1596172666164</v>
      </c>
      <c r="Q18" s="69">
        <v>2949.9717206033752</v>
      </c>
      <c r="R18" s="69">
        <v>2842.5794787068594</v>
      </c>
      <c r="S18" s="69">
        <v>3397.4111275321229</v>
      </c>
      <c r="T18" s="69">
        <v>2500.2240667609985</v>
      </c>
      <c r="U18" s="69">
        <v>2737.8102532067096</v>
      </c>
      <c r="V18" s="69">
        <v>3268.1774318140328</v>
      </c>
      <c r="W18" s="69">
        <v>2880.427419214549</v>
      </c>
      <c r="X18" s="69">
        <v>2515.0711843986464</v>
      </c>
      <c r="Y18" s="69">
        <v>2625.6692562766161</v>
      </c>
      <c r="Z18" s="69">
        <v>2702.3351349409236</v>
      </c>
      <c r="AA18" s="69">
        <v>3143.6860557068799</v>
      </c>
      <c r="AB18" s="69">
        <v>2971.5171073094866</v>
      </c>
      <c r="AC18" s="69">
        <v>2337.3241739428181</v>
      </c>
    </row>
    <row r="19" spans="1:29" s="31" customFormat="1" ht="18" customHeight="1" x14ac:dyDescent="0.2">
      <c r="A19" s="212"/>
      <c r="B19" s="73"/>
      <c r="C19" s="355" t="s">
        <v>46</v>
      </c>
      <c r="D19" s="356"/>
      <c r="E19" s="356"/>
      <c r="F19" s="356"/>
      <c r="G19" s="356"/>
      <c r="H19" s="356"/>
      <c r="I19" s="356"/>
      <c r="J19" s="356"/>
      <c r="K19" s="69">
        <v>863.58529260968396</v>
      </c>
      <c r="L19" s="69">
        <v>1529.1279171784524</v>
      </c>
      <c r="M19" s="69">
        <v>1092.2476697733839</v>
      </c>
      <c r="N19" s="69">
        <v>842.97714409112768</v>
      </c>
      <c r="O19" s="69">
        <v>830.89239827723463</v>
      </c>
      <c r="P19" s="69">
        <v>731.74942561329522</v>
      </c>
      <c r="Q19" s="69">
        <v>828.45696363177797</v>
      </c>
      <c r="R19" s="69">
        <v>972.15467299191687</v>
      </c>
      <c r="S19" s="69">
        <v>523.69760836449836</v>
      </c>
      <c r="T19" s="69">
        <v>695.90614290753922</v>
      </c>
      <c r="U19" s="69">
        <v>844.07688034471721</v>
      </c>
      <c r="V19" s="69">
        <v>1408.8491824026291</v>
      </c>
      <c r="W19" s="69">
        <v>917.75576188270668</v>
      </c>
      <c r="X19" s="69">
        <v>519.88520247300585</v>
      </c>
      <c r="Y19" s="69">
        <v>603.01490031058802</v>
      </c>
      <c r="Z19" s="69"/>
      <c r="AA19" s="69"/>
      <c r="AB19" s="69"/>
      <c r="AC19" s="69"/>
    </row>
    <row r="20" spans="1:29" s="31" customFormat="1" ht="18" customHeight="1" x14ac:dyDescent="0.2">
      <c r="A20" s="212"/>
      <c r="B20" s="73"/>
      <c r="C20" s="355" t="s">
        <v>47</v>
      </c>
      <c r="D20" s="356"/>
      <c r="E20" s="356"/>
      <c r="F20" s="356"/>
      <c r="G20" s="356"/>
      <c r="H20" s="356"/>
      <c r="I20" s="356"/>
      <c r="J20" s="356"/>
      <c r="K20" s="69">
        <v>3592.1101589394302</v>
      </c>
      <c r="L20" s="69">
        <v>5412.4407790840496</v>
      </c>
      <c r="M20" s="69">
        <v>2182.758185078831</v>
      </c>
      <c r="N20" s="69">
        <v>3741.233718896282</v>
      </c>
      <c r="O20" s="69">
        <v>2971.4709756333341</v>
      </c>
      <c r="P20" s="69">
        <v>1784.1139956018126</v>
      </c>
      <c r="Q20" s="69">
        <v>2790.4312821027474</v>
      </c>
      <c r="R20" s="69">
        <v>2827.4752624806351</v>
      </c>
      <c r="S20" s="69">
        <v>4188.5508002211473</v>
      </c>
      <c r="T20" s="69">
        <v>4313.7637775532903</v>
      </c>
      <c r="U20" s="69">
        <v>3063.91695650362</v>
      </c>
      <c r="V20" s="69">
        <v>4566.822684517063</v>
      </c>
      <c r="W20" s="69">
        <v>2124.1215598000877</v>
      </c>
      <c r="X20" s="69">
        <v>5235.285593424629</v>
      </c>
      <c r="Y20" s="69">
        <v>1894.4895686869763</v>
      </c>
      <c r="Z20" s="69">
        <v>2837.3669174600936</v>
      </c>
      <c r="AA20" s="69">
        <v>3585.6060100166947</v>
      </c>
      <c r="AB20" s="69">
        <v>5179.8132884050456</v>
      </c>
      <c r="AC20" s="69">
        <v>3055.0961307995208</v>
      </c>
    </row>
    <row r="21" spans="1:29" s="31" customFormat="1" ht="18" customHeight="1" x14ac:dyDescent="0.2">
      <c r="A21" s="212"/>
      <c r="B21" s="73"/>
      <c r="C21" s="355" t="s">
        <v>48</v>
      </c>
      <c r="D21" s="356"/>
      <c r="E21" s="356"/>
      <c r="F21" s="356"/>
      <c r="G21" s="356"/>
      <c r="H21" s="356"/>
      <c r="I21" s="356"/>
      <c r="J21" s="356"/>
      <c r="K21" s="69">
        <v>827.86054347029904</v>
      </c>
      <c r="L21" s="69">
        <v>917.61712581154586</v>
      </c>
      <c r="M21" s="69">
        <v>679.03807135709951</v>
      </c>
      <c r="N21" s="69">
        <v>645.65309104538096</v>
      </c>
      <c r="O21" s="69">
        <v>761.49429937256491</v>
      </c>
      <c r="P21" s="69">
        <v>641.52545926948028</v>
      </c>
      <c r="Q21" s="69">
        <v>769.839781873314</v>
      </c>
      <c r="R21" s="69">
        <v>819.57824411207059</v>
      </c>
      <c r="S21" s="69">
        <v>1968.748220243798</v>
      </c>
      <c r="T21" s="69">
        <v>1033.2294237413917</v>
      </c>
      <c r="U21" s="69">
        <v>694.74836858354638</v>
      </c>
      <c r="V21" s="69">
        <v>631.02103984061421</v>
      </c>
      <c r="W21" s="69">
        <v>429.25146614586714</v>
      </c>
      <c r="X21" s="69">
        <v>498.55831686644996</v>
      </c>
      <c r="Y21" s="69">
        <v>174.90757996922429</v>
      </c>
      <c r="Z21" s="69"/>
      <c r="AA21" s="69"/>
      <c r="AB21" s="69"/>
      <c r="AC21" s="69"/>
    </row>
    <row r="22" spans="1:29" s="31" customFormat="1" ht="18" customHeight="1" x14ac:dyDescent="0.2">
      <c r="A22" s="212"/>
      <c r="B22" s="73"/>
      <c r="C22" s="355" t="s">
        <v>49</v>
      </c>
      <c r="D22" s="356"/>
      <c r="E22" s="356"/>
      <c r="F22" s="356"/>
      <c r="G22" s="356"/>
      <c r="H22" s="356"/>
      <c r="I22" s="356"/>
      <c r="J22" s="356"/>
      <c r="K22" s="69">
        <v>541.57401303742802</v>
      </c>
      <c r="L22" s="69">
        <v>394.10422881207228</v>
      </c>
      <c r="M22" s="69">
        <v>432.71491570740494</v>
      </c>
      <c r="N22" s="69">
        <v>529.04113133808244</v>
      </c>
      <c r="O22" s="69">
        <v>460.3032298295862</v>
      </c>
      <c r="P22" s="69">
        <v>486.54406578302451</v>
      </c>
      <c r="Q22" s="69">
        <v>578.80313368800569</v>
      </c>
      <c r="R22" s="69">
        <v>649.69777657188649</v>
      </c>
      <c r="S22" s="69">
        <v>516.39146565004648</v>
      </c>
      <c r="T22" s="69">
        <v>283.47423453710337</v>
      </c>
      <c r="U22" s="69">
        <v>1985.420857377766</v>
      </c>
      <c r="V22" s="69">
        <v>723.03330852525789</v>
      </c>
      <c r="W22" s="69">
        <v>549.39442893546095</v>
      </c>
      <c r="X22" s="69">
        <v>759.16042326238085</v>
      </c>
      <c r="Y22" s="69">
        <v>384.17276975118102</v>
      </c>
      <c r="Z22" s="69">
        <v>731.41651934041943</v>
      </c>
      <c r="AA22" s="69">
        <v>679.0483261576311</v>
      </c>
      <c r="AB22" s="69">
        <v>659.71176775531364</v>
      </c>
      <c r="AC22" s="69">
        <v>515.70167779489805</v>
      </c>
    </row>
    <row r="23" spans="1:29" s="31" customFormat="1" ht="18" customHeight="1" x14ac:dyDescent="0.2">
      <c r="A23" s="212"/>
      <c r="B23" s="73"/>
      <c r="C23" s="355" t="s">
        <v>50</v>
      </c>
      <c r="D23" s="356"/>
      <c r="E23" s="356"/>
      <c r="F23" s="356"/>
      <c r="G23" s="356"/>
      <c r="H23" s="356"/>
      <c r="I23" s="356"/>
      <c r="J23" s="356"/>
      <c r="K23" s="69">
        <v>1175.6148831758601</v>
      </c>
      <c r="L23" s="69">
        <v>1459.0278996315142</v>
      </c>
      <c r="M23" s="69">
        <v>1344.8671475989418</v>
      </c>
      <c r="N23" s="69">
        <v>1411.8687492463221</v>
      </c>
      <c r="O23" s="69">
        <v>1201.5849400290078</v>
      </c>
      <c r="P23" s="69">
        <v>1447.5259026626793</v>
      </c>
      <c r="Q23" s="69">
        <v>1333.5221207706675</v>
      </c>
      <c r="R23" s="69">
        <v>1063.6573011606404</v>
      </c>
      <c r="S23" s="69">
        <v>933.87905012379099</v>
      </c>
      <c r="T23" s="69">
        <v>782.26852128999815</v>
      </c>
      <c r="U23" s="69">
        <v>814.5389500392173</v>
      </c>
      <c r="V23" s="69">
        <v>1148.3665249447806</v>
      </c>
      <c r="W23" s="69">
        <v>1681.7542648798769</v>
      </c>
      <c r="X23" s="69">
        <v>953.84287811662387</v>
      </c>
      <c r="Y23" s="69">
        <v>1063.9298761438731</v>
      </c>
      <c r="Z23" s="69">
        <v>1157.894426506638</v>
      </c>
      <c r="AA23" s="69">
        <v>1357.3218522098234</v>
      </c>
      <c r="AB23" s="69">
        <v>924.35450146880942</v>
      </c>
      <c r="AC23" s="69">
        <v>851.00992980653984</v>
      </c>
    </row>
    <row r="24" spans="1:29" s="31" customFormat="1" ht="18" customHeight="1" x14ac:dyDescent="0.2">
      <c r="A24" s="212"/>
      <c r="B24" s="73"/>
      <c r="C24" s="355" t="s">
        <v>41</v>
      </c>
      <c r="D24" s="356"/>
      <c r="E24" s="356"/>
      <c r="F24" s="356"/>
      <c r="G24" s="356"/>
      <c r="H24" s="356"/>
      <c r="I24" s="356"/>
      <c r="J24" s="356"/>
      <c r="K24" s="69">
        <v>2551.1169706291698</v>
      </c>
      <c r="L24" s="69">
        <v>3255.0447446920516</v>
      </c>
      <c r="M24" s="69">
        <v>3282.011364057289</v>
      </c>
      <c r="N24" s="69">
        <v>1839.8800666687405</v>
      </c>
      <c r="O24" s="69">
        <v>2403.1792553264095</v>
      </c>
      <c r="P24" s="69">
        <v>2179.6561943114452</v>
      </c>
      <c r="Q24" s="69">
        <v>1766.1742343028834</v>
      </c>
      <c r="R24" s="69">
        <v>1936.4192344516023</v>
      </c>
      <c r="S24" s="69">
        <v>2126.9299715970624</v>
      </c>
      <c r="T24" s="69">
        <v>1984.2844335249215</v>
      </c>
      <c r="U24" s="69">
        <v>2635.2580482897461</v>
      </c>
      <c r="V24" s="69">
        <v>3289.6189960501379</v>
      </c>
      <c r="W24" s="69">
        <v>2454.9981718916224</v>
      </c>
      <c r="X24" s="69">
        <v>2487.8613202103033</v>
      </c>
      <c r="Y24" s="69">
        <v>2664.9817351447932</v>
      </c>
      <c r="Z24" s="69">
        <v>2639.7947749486566</v>
      </c>
      <c r="AA24" s="69">
        <v>3402.8672348651262</v>
      </c>
      <c r="AB24" s="69">
        <v>3392.9426300328319</v>
      </c>
      <c r="AC24" s="69">
        <v>3091.7933573018322</v>
      </c>
    </row>
    <row r="25" spans="1:29" s="31" customFormat="1" ht="18" customHeight="1" x14ac:dyDescent="0.2">
      <c r="A25" s="212"/>
      <c r="B25" s="73"/>
      <c r="C25" s="355" t="s">
        <v>51</v>
      </c>
      <c r="D25" s="356"/>
      <c r="E25" s="356"/>
      <c r="F25" s="356"/>
      <c r="G25" s="356"/>
      <c r="H25" s="356"/>
      <c r="I25" s="356"/>
      <c r="J25" s="356"/>
      <c r="K25" s="69"/>
      <c r="L25" s="69">
        <v>314.52886471310751</v>
      </c>
      <c r="M25" s="69">
        <v>118.35650960768568</v>
      </c>
      <c r="N25" s="69">
        <v>162.8060253876175</v>
      </c>
      <c r="O25" s="69">
        <v>214.60668945429296</v>
      </c>
      <c r="P25" s="69">
        <v>112.63791477009913</v>
      </c>
      <c r="Q25" s="69">
        <v>121.21572743577796</v>
      </c>
      <c r="R25" s="69">
        <v>117.2991654572851</v>
      </c>
      <c r="S25" s="69">
        <v>118.30776944865697</v>
      </c>
      <c r="T25" s="69">
        <v>73.451316137707138</v>
      </c>
      <c r="U25" s="69">
        <v>157.92506387794808</v>
      </c>
      <c r="V25" s="69">
        <v>213.63131280267908</v>
      </c>
      <c r="W25" s="69">
        <v>153.00808491260372</v>
      </c>
      <c r="X25" s="69">
        <v>81.751589063605238</v>
      </c>
      <c r="Y25" s="69">
        <v>169.43054223223228</v>
      </c>
      <c r="Z25" s="69">
        <v>119.63404097557839</v>
      </c>
      <c r="AA25" s="69">
        <v>125.01897900008785</v>
      </c>
      <c r="AB25" s="69">
        <v>127.26740971142215</v>
      </c>
      <c r="AC25" s="69">
        <v>184.61162472179421</v>
      </c>
    </row>
    <row r="26" spans="1:29" s="31" customFormat="1" ht="18" customHeight="1" x14ac:dyDescent="0.2">
      <c r="A26" s="212"/>
      <c r="B26" s="73"/>
      <c r="C26" s="355" t="s">
        <v>52</v>
      </c>
      <c r="D26" s="356"/>
      <c r="E26" s="356"/>
      <c r="F26" s="356"/>
      <c r="G26" s="356"/>
      <c r="H26" s="356"/>
      <c r="I26" s="356"/>
      <c r="J26" s="356"/>
      <c r="K26" s="69">
        <v>2561.6033106277</v>
      </c>
      <c r="L26" s="69">
        <v>2951.4827162660117</v>
      </c>
      <c r="M26" s="69">
        <v>3079.6683464253392</v>
      </c>
      <c r="N26" s="69">
        <v>2008.7916451295569</v>
      </c>
      <c r="O26" s="69">
        <v>2618.0563008385907</v>
      </c>
      <c r="P26" s="69">
        <v>2694.7983137209321</v>
      </c>
      <c r="Q26" s="69">
        <v>2795.6334528139423</v>
      </c>
      <c r="R26" s="69">
        <v>1988.6590608812942</v>
      </c>
      <c r="S26" s="69">
        <v>1943.1222665639125</v>
      </c>
      <c r="T26" s="69">
        <v>2141.9481827209315</v>
      </c>
      <c r="U26" s="69">
        <v>1823.1044907238158</v>
      </c>
      <c r="V26" s="69">
        <v>2480.3297433700395</v>
      </c>
      <c r="W26" s="69">
        <v>2310.9783425270034</v>
      </c>
      <c r="X26" s="69">
        <v>2431.6837614816118</v>
      </c>
      <c r="Y26" s="69">
        <v>2500.1609974562389</v>
      </c>
      <c r="Z26" s="69">
        <v>2551.4922529333644</v>
      </c>
      <c r="AA26" s="69">
        <v>2565.2503294965295</v>
      </c>
      <c r="AB26" s="69">
        <v>2438.0010368066355</v>
      </c>
      <c r="AC26" s="69">
        <v>2856.6003252867658</v>
      </c>
    </row>
    <row r="27" spans="1:29" s="31" customFormat="1" ht="18" customHeight="1" x14ac:dyDescent="0.2">
      <c r="A27" s="214"/>
      <c r="B27" s="74"/>
      <c r="C27" s="348" t="s">
        <v>53</v>
      </c>
      <c r="D27" s="349"/>
      <c r="E27" s="349"/>
      <c r="F27" s="349"/>
      <c r="G27" s="349"/>
      <c r="H27" s="349"/>
      <c r="I27" s="349"/>
      <c r="J27" s="349"/>
      <c r="K27" s="210">
        <v>16286.241119168</v>
      </c>
      <c r="L27" s="210">
        <v>18490.61238813827</v>
      </c>
      <c r="M27" s="210">
        <v>20044.384267780148</v>
      </c>
      <c r="N27" s="210">
        <v>20823.216479821727</v>
      </c>
      <c r="O27" s="210">
        <v>21386.668481454082</v>
      </c>
      <c r="P27" s="210">
        <v>22364.360658702713</v>
      </c>
      <c r="Q27" s="210">
        <v>23483.389422231263</v>
      </c>
      <c r="R27" s="210">
        <v>18235.018586373011</v>
      </c>
      <c r="S27" s="210">
        <v>18626.583572116462</v>
      </c>
      <c r="T27" s="210">
        <v>17021.21943798443</v>
      </c>
      <c r="U27" s="210">
        <v>22441.173082330046</v>
      </c>
      <c r="V27" s="210">
        <v>30684.31970340517</v>
      </c>
      <c r="W27" s="210">
        <v>24947.243641478908</v>
      </c>
      <c r="X27" s="210">
        <v>22919.894351445451</v>
      </c>
      <c r="Y27" s="210">
        <v>27806.787449930645</v>
      </c>
      <c r="Z27" s="210">
        <v>26604.271184481157</v>
      </c>
      <c r="AA27" s="210">
        <v>32479.519725858889</v>
      </c>
      <c r="AB27" s="210">
        <v>28954.583030931397</v>
      </c>
      <c r="AC27" s="210">
        <v>30969.471837014215</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189.43328614985074</v>
      </c>
      <c r="R28" s="71">
        <v>11266.355704716734</v>
      </c>
      <c r="S28" s="71">
        <v>15460.30983469151</v>
      </c>
      <c r="T28" s="71">
        <v>19089.618807152841</v>
      </c>
      <c r="U28" s="71">
        <v>17127.573960358695</v>
      </c>
      <c r="V28" s="71">
        <v>22155.893111532238</v>
      </c>
      <c r="W28" s="71">
        <v>20320.520657159497</v>
      </c>
      <c r="X28" s="71">
        <v>18783.872203889347</v>
      </c>
      <c r="Y28" s="71">
        <v>23903.87237241786</v>
      </c>
      <c r="Z28" s="71">
        <v>19234.433819077665</v>
      </c>
      <c r="AA28" s="71">
        <v>24612.228538792726</v>
      </c>
      <c r="AB28" s="71">
        <v>19511.056505961638</v>
      </c>
      <c r="AC28" s="71">
        <v>19347.807824002739</v>
      </c>
    </row>
    <row r="29" spans="1:29" s="31" customFormat="1" ht="18" customHeight="1" x14ac:dyDescent="0.2">
      <c r="A29" s="357" t="s">
        <v>54</v>
      </c>
      <c r="B29" s="358"/>
      <c r="C29" s="358"/>
      <c r="D29" s="358"/>
      <c r="E29" s="358"/>
      <c r="F29" s="358"/>
      <c r="G29" s="358"/>
      <c r="H29" s="358"/>
      <c r="I29" s="358"/>
      <c r="J29" s="358"/>
      <c r="K29" s="188">
        <v>-922.54376327547004</v>
      </c>
      <c r="L29" s="188">
        <v>116.4239340235129</v>
      </c>
      <c r="M29" s="188">
        <v>-1395.1441058677563</v>
      </c>
      <c r="N29" s="188">
        <v>792.61164958195877</v>
      </c>
      <c r="O29" s="188">
        <v>1372.1556704927007</v>
      </c>
      <c r="P29" s="188">
        <v>1445.5210787800756</v>
      </c>
      <c r="Q29" s="188">
        <v>3532.3724607704521</v>
      </c>
      <c r="R29" s="188">
        <v>2195.3751713247948</v>
      </c>
      <c r="S29" s="188">
        <v>-285.59809680135135</v>
      </c>
      <c r="T29" s="188">
        <v>1645.3584154852545</v>
      </c>
      <c r="U29" s="188">
        <v>2553.9342099341088</v>
      </c>
      <c r="V29" s="188">
        <v>5914.8729208135901</v>
      </c>
      <c r="W29" s="188">
        <v>2447.059845949701</v>
      </c>
      <c r="X29" s="188">
        <v>953.35672830659416</v>
      </c>
      <c r="Y29" s="188">
        <v>2522.7399399142428</v>
      </c>
      <c r="Z29" s="188">
        <v>2253.9122662596128</v>
      </c>
      <c r="AA29" s="188">
        <v>2843.6337755908976</v>
      </c>
      <c r="AB29" s="188">
        <v>6802.8725591843786</v>
      </c>
      <c r="AC29" s="188">
        <v>5368.3035439137129</v>
      </c>
    </row>
    <row r="30" spans="1:29" s="31" customFormat="1" ht="18" customHeight="1" x14ac:dyDescent="0.2">
      <c r="A30" s="212"/>
      <c r="B30" s="359" t="s">
        <v>55</v>
      </c>
      <c r="C30" s="360"/>
      <c r="D30" s="360"/>
      <c r="E30" s="360"/>
      <c r="F30" s="360"/>
      <c r="G30" s="360"/>
      <c r="H30" s="360"/>
      <c r="I30" s="360"/>
      <c r="J30" s="360"/>
      <c r="K30" s="71">
        <v>4581.6589760492197</v>
      </c>
      <c r="L30" s="71">
        <v>5793.7357431128275</v>
      </c>
      <c r="M30" s="71">
        <v>3058.4416178795327</v>
      </c>
      <c r="N30" s="71">
        <v>6202.6375782910654</v>
      </c>
      <c r="O30" s="71">
        <v>6033.8174778290941</v>
      </c>
      <c r="P30" s="71">
        <v>6032.2055155843063</v>
      </c>
      <c r="Q30" s="71">
        <v>8935.610882884188</v>
      </c>
      <c r="R30" s="71">
        <v>6261.3237280144222</v>
      </c>
      <c r="S30" s="71">
        <v>3799.903725271809</v>
      </c>
      <c r="T30" s="71">
        <v>5698.1478370313462</v>
      </c>
      <c r="U30" s="71">
        <v>6056.7380013670554</v>
      </c>
      <c r="V30" s="71">
        <v>9563.1138870268824</v>
      </c>
      <c r="W30" s="71">
        <v>5920.8896396134942</v>
      </c>
      <c r="X30" s="71">
        <v>5983.417979957846</v>
      </c>
      <c r="Y30" s="71">
        <v>5457.7092542205219</v>
      </c>
      <c r="Z30" s="71">
        <v>6236.5235346066738</v>
      </c>
      <c r="AA30" s="71">
        <v>6057.9911255601437</v>
      </c>
      <c r="AB30" s="71">
        <v>11518.71522377743</v>
      </c>
      <c r="AC30" s="71">
        <v>9508.0679678137294</v>
      </c>
    </row>
    <row r="31" spans="1:29" s="31" customFormat="1" ht="18" customHeight="1" x14ac:dyDescent="0.2">
      <c r="A31" s="212"/>
      <c r="B31" s="357" t="s">
        <v>56</v>
      </c>
      <c r="C31" s="358"/>
      <c r="D31" s="358"/>
      <c r="E31" s="358"/>
      <c r="F31" s="358"/>
      <c r="G31" s="358"/>
      <c r="H31" s="358"/>
      <c r="I31" s="358"/>
      <c r="J31" s="358"/>
      <c r="K31" s="188">
        <v>5504.2027393246899</v>
      </c>
      <c r="L31" s="188">
        <v>5677.311809089314</v>
      </c>
      <c r="M31" s="188">
        <v>4453.5857237472983</v>
      </c>
      <c r="N31" s="188">
        <v>5410.025928709103</v>
      </c>
      <c r="O31" s="188">
        <v>4661.6618073363843</v>
      </c>
      <c r="P31" s="188">
        <v>4586.6844368042412</v>
      </c>
      <c r="Q31" s="188">
        <v>5403.2384221137354</v>
      </c>
      <c r="R31" s="188">
        <v>4065.9485566896283</v>
      </c>
      <c r="S31" s="188">
        <v>4085.5018220731586</v>
      </c>
      <c r="T31" s="188">
        <v>4052.7894215460883</v>
      </c>
      <c r="U31" s="188">
        <v>3502.8037914329461</v>
      </c>
      <c r="V31" s="188">
        <v>3648.2409662132877</v>
      </c>
      <c r="W31" s="188">
        <v>3473.8297936637982</v>
      </c>
      <c r="X31" s="188">
        <v>5030.061251651251</v>
      </c>
      <c r="Y31" s="188">
        <v>2934.9693143062818</v>
      </c>
      <c r="Z31" s="188">
        <v>3982.6112683470587</v>
      </c>
      <c r="AA31" s="188">
        <v>3214.3574378349881</v>
      </c>
      <c r="AB31" s="188">
        <v>4715.842664593054</v>
      </c>
      <c r="AC31" s="188">
        <v>4139.7645095017979</v>
      </c>
    </row>
    <row r="32" spans="1:29" s="31" customFormat="1" ht="18" customHeight="1" x14ac:dyDescent="0.2">
      <c r="A32" s="212"/>
      <c r="B32" s="73"/>
      <c r="C32" s="346" t="s">
        <v>57</v>
      </c>
      <c r="D32" s="347"/>
      <c r="E32" s="347"/>
      <c r="F32" s="347"/>
      <c r="G32" s="347"/>
      <c r="H32" s="347"/>
      <c r="I32" s="347"/>
      <c r="J32" s="347"/>
      <c r="K32" s="68">
        <v>2679.0031494909499</v>
      </c>
      <c r="L32" s="68">
        <v>3138.4453412879452</v>
      </c>
      <c r="M32" s="68">
        <v>3887.1157977249204</v>
      </c>
      <c r="N32" s="68">
        <v>3153.7515137995842</v>
      </c>
      <c r="O32" s="68">
        <v>2298.4127677881638</v>
      </c>
      <c r="P32" s="68">
        <v>3914.0937993950874</v>
      </c>
      <c r="Q32" s="68">
        <v>3798.9363452001066</v>
      </c>
      <c r="R32" s="68">
        <v>2376.4325741397961</v>
      </c>
      <c r="S32" s="68">
        <v>2256.6341717164746</v>
      </c>
      <c r="T32" s="68">
        <v>2285.3238899307353</v>
      </c>
      <c r="U32" s="68">
        <v>2332.5290978006965</v>
      </c>
      <c r="V32" s="68">
        <v>2032.079098459815</v>
      </c>
      <c r="W32" s="68">
        <v>1930.2897096883053</v>
      </c>
      <c r="X32" s="68">
        <v>1592.0513584419646</v>
      </c>
      <c r="Y32" s="68">
        <v>1870.3329042629464</v>
      </c>
      <c r="Z32" s="68">
        <v>1682.6492972568117</v>
      </c>
      <c r="AA32" s="68">
        <v>1706.0400667779631</v>
      </c>
      <c r="AB32" s="68">
        <v>1575.3767064109211</v>
      </c>
      <c r="AC32" s="68">
        <v>1421.768361581921</v>
      </c>
    </row>
    <row r="33" spans="1:29" s="31" customFormat="1" ht="18" customHeight="1" x14ac:dyDescent="0.2">
      <c r="A33" s="212"/>
      <c r="B33" s="73"/>
      <c r="C33" s="363" t="s">
        <v>58</v>
      </c>
      <c r="D33" s="364"/>
      <c r="E33" s="364"/>
      <c r="F33" s="364"/>
      <c r="G33" s="364"/>
      <c r="H33" s="364"/>
      <c r="I33" s="364"/>
      <c r="J33" s="364"/>
      <c r="K33" s="210">
        <v>2825.19958983374</v>
      </c>
      <c r="L33" s="210">
        <v>2538.8664678013688</v>
      </c>
      <c r="M33" s="210">
        <v>566.46992602237367</v>
      </c>
      <c r="N33" s="210">
        <v>2256.2744149095292</v>
      </c>
      <c r="O33" s="210">
        <v>2363.2490395482205</v>
      </c>
      <c r="P33" s="210">
        <v>672.59063740914939</v>
      </c>
      <c r="Q33" s="210">
        <v>1604.3020769136283</v>
      </c>
      <c r="R33" s="210">
        <v>1689.5159825498315</v>
      </c>
      <c r="S33" s="210">
        <v>1828.8676503566837</v>
      </c>
      <c r="T33" s="210">
        <v>1767.4655316153544</v>
      </c>
      <c r="U33" s="210">
        <v>1170.2746936322535</v>
      </c>
      <c r="V33" s="210">
        <v>1616.1618677534734</v>
      </c>
      <c r="W33" s="210">
        <v>1543.540083975493</v>
      </c>
      <c r="X33" s="210">
        <v>3438.009893209286</v>
      </c>
      <c r="Y33" s="210">
        <v>1064.6364100433393</v>
      </c>
      <c r="Z33" s="210">
        <v>2299.9619710902471</v>
      </c>
      <c r="AA33" s="210">
        <v>1508.317371057025</v>
      </c>
      <c r="AB33" s="210">
        <v>3140.4659581821329</v>
      </c>
      <c r="AC33" s="210">
        <v>2717.9961479198769</v>
      </c>
    </row>
    <row r="34" spans="1:29" s="31" customFormat="1" ht="18" customHeight="1" x14ac:dyDescent="0.2">
      <c r="A34" s="359" t="s">
        <v>59</v>
      </c>
      <c r="B34" s="360"/>
      <c r="C34" s="360"/>
      <c r="D34" s="360"/>
      <c r="E34" s="360"/>
      <c r="F34" s="360"/>
      <c r="G34" s="360"/>
      <c r="H34" s="360"/>
      <c r="I34" s="360"/>
      <c r="J34" s="365"/>
      <c r="K34" s="218">
        <v>13352.649967040199</v>
      </c>
      <c r="L34" s="218">
        <v>16288.647131075628</v>
      </c>
      <c r="M34" s="218">
        <v>14215.91183382935</v>
      </c>
      <c r="N34" s="218">
        <v>30782.277270524366</v>
      </c>
      <c r="O34" s="218">
        <v>15900.586610850854</v>
      </c>
      <c r="P34" s="218">
        <v>10319.69872265439</v>
      </c>
      <c r="Q34" s="218">
        <v>3721.8057469202972</v>
      </c>
      <c r="R34" s="218">
        <v>13461.730876041527</v>
      </c>
      <c r="S34" s="218">
        <v>15174.711737890315</v>
      </c>
      <c r="T34" s="218">
        <v>20734.977222637892</v>
      </c>
      <c r="U34" s="218">
        <v>19681.508170292218</v>
      </c>
      <c r="V34" s="218">
        <v>28070.766032345389</v>
      </c>
      <c r="W34" s="218">
        <v>22767.58050310929</v>
      </c>
      <c r="X34" s="218">
        <v>19737.228932195911</v>
      </c>
      <c r="Y34" s="218">
        <v>26426.612312332018</v>
      </c>
      <c r="Z34" s="218">
        <v>21488.346085337296</v>
      </c>
      <c r="AA34" s="218">
        <v>27455.862314383623</v>
      </c>
      <c r="AB34" s="218">
        <v>26313.929065146018</v>
      </c>
      <c r="AC34" s="218">
        <v>24716.111282314676</v>
      </c>
    </row>
    <row r="35" spans="1:29" s="31" customFormat="1" ht="18" customHeight="1" x14ac:dyDescent="0.2">
      <c r="A35" s="353" t="s">
        <v>60</v>
      </c>
      <c r="B35" s="354"/>
      <c r="C35" s="354"/>
      <c r="D35" s="354"/>
      <c r="E35" s="354"/>
      <c r="F35" s="354"/>
      <c r="G35" s="354"/>
      <c r="H35" s="354"/>
      <c r="I35" s="354"/>
      <c r="J35" s="354"/>
      <c r="K35" s="219"/>
      <c r="L35" s="219"/>
      <c r="M35" s="219"/>
      <c r="N35" s="219"/>
      <c r="O35" s="219">
        <v>2460.8495006861372</v>
      </c>
      <c r="P35" s="219">
        <v>917.24455709064944</v>
      </c>
      <c r="Q35" s="219">
        <v>5057.1997539877739</v>
      </c>
      <c r="R35" s="219">
        <v>3678.9623233077346</v>
      </c>
      <c r="S35" s="219">
        <v>16651.664382165109</v>
      </c>
      <c r="T35" s="219">
        <v>1696.8421176231536</v>
      </c>
      <c r="U35" s="219">
        <v>2008.3724438057202</v>
      </c>
      <c r="V35" s="219">
        <v>2750.9178093394198</v>
      </c>
      <c r="W35" s="219">
        <v>2841.9786970304781</v>
      </c>
      <c r="X35" s="219">
        <v>5056.4540224802304</v>
      </c>
      <c r="Y35" s="219">
        <v>2907.8596746619946</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3987.137291238269</v>
      </c>
      <c r="P36" s="220">
        <v>4951.1261019019867</v>
      </c>
      <c r="Q36" s="220">
        <v>7348.2327256730432</v>
      </c>
      <c r="R36" s="220">
        <v>6998.9798358868138</v>
      </c>
      <c r="S36" s="220">
        <v>8198.5482330943141</v>
      </c>
      <c r="T36" s="220">
        <v>2443.4426916655439</v>
      </c>
      <c r="U36" s="220">
        <v>2925.2659757775277</v>
      </c>
      <c r="V36" s="220">
        <v>5043.2398969444648</v>
      </c>
      <c r="W36" s="220">
        <v>5717.6499741399648</v>
      </c>
      <c r="X36" s="220">
        <v>4471.5352617940389</v>
      </c>
      <c r="Y36" s="220">
        <v>4246.2633979150114</v>
      </c>
      <c r="Z36" s="220"/>
      <c r="AA36" s="220"/>
      <c r="AB36" s="220"/>
      <c r="AC36" s="220"/>
    </row>
    <row r="37" spans="1:29" s="31" customFormat="1" ht="18" customHeight="1" x14ac:dyDescent="0.2">
      <c r="A37" s="359" t="s">
        <v>62</v>
      </c>
      <c r="B37" s="360"/>
      <c r="C37" s="360"/>
      <c r="D37" s="360"/>
      <c r="E37" s="360"/>
      <c r="F37" s="360"/>
      <c r="G37" s="360"/>
      <c r="H37" s="360"/>
      <c r="I37" s="360"/>
      <c r="J37" s="360"/>
      <c r="K37" s="71">
        <v>10228.9877682561</v>
      </c>
      <c r="L37" s="71">
        <v>14555.272854886824</v>
      </c>
      <c r="M37" s="71">
        <v>10444.765013129459</v>
      </c>
      <c r="N37" s="71">
        <v>29478.758519091156</v>
      </c>
      <c r="O37" s="71">
        <v>14374.298820298642</v>
      </c>
      <c r="P37" s="71">
        <v>6285.8171778430542</v>
      </c>
      <c r="Q37" s="71">
        <v>1430.7727752350386</v>
      </c>
      <c r="R37" s="71">
        <v>10141.713363462448</v>
      </c>
      <c r="S37" s="71">
        <v>23627.827886961124</v>
      </c>
      <c r="T37" s="71">
        <v>19988.376648595517</v>
      </c>
      <c r="U37" s="71">
        <v>18764.614638320414</v>
      </c>
      <c r="V37" s="71">
        <v>25778.443944740349</v>
      </c>
      <c r="W37" s="71">
        <v>19891.909225999829</v>
      </c>
      <c r="X37" s="71">
        <v>20322.147692882092</v>
      </c>
      <c r="Y37" s="71">
        <v>25088.208589078993</v>
      </c>
      <c r="Z37" s="71">
        <v>21485.056192915719</v>
      </c>
      <c r="AA37" s="71">
        <v>25877.87777875406</v>
      </c>
      <c r="AB37" s="71">
        <v>26361.250475203044</v>
      </c>
      <c r="AC37" s="71">
        <v>25403.469782571472</v>
      </c>
    </row>
    <row r="38" spans="1:29" s="31" customFormat="1" ht="18" customHeight="1" x14ac:dyDescent="0.2">
      <c r="A38" s="361" t="s">
        <v>63</v>
      </c>
      <c r="B38" s="362"/>
      <c r="C38" s="362"/>
      <c r="D38" s="362"/>
      <c r="E38" s="362"/>
      <c r="F38" s="362"/>
      <c r="G38" s="362"/>
      <c r="H38" s="362"/>
      <c r="I38" s="362"/>
      <c r="J38" s="362"/>
      <c r="K38" s="218">
        <v>5517.7470153079903</v>
      </c>
      <c r="L38" s="218">
        <v>9127.4785050008759</v>
      </c>
      <c r="M38" s="218">
        <v>3577.1446193826596</v>
      </c>
      <c r="N38" s="218">
        <v>17079.226625996056</v>
      </c>
      <c r="O38" s="218">
        <v>6659.4918801793892</v>
      </c>
      <c r="P38" s="218">
        <v>2463.6837859254802</v>
      </c>
      <c r="Q38" s="218">
        <v>-1797.7817804879176</v>
      </c>
      <c r="R38" s="218">
        <v>4677.0994597093013</v>
      </c>
      <c r="S38" s="218">
        <v>18330.605961998706</v>
      </c>
      <c r="T38" s="218">
        <v>12258.669644283404</v>
      </c>
      <c r="U38" s="218">
        <v>11457.792954600152</v>
      </c>
      <c r="V38" s="218">
        <v>17642.907715193411</v>
      </c>
      <c r="W38" s="218">
        <v>13084.615362251294</v>
      </c>
      <c r="X38" s="218">
        <v>14263.983767058991</v>
      </c>
      <c r="Y38" s="218">
        <v>9870.8653483552771</v>
      </c>
      <c r="Z38" s="218">
        <v>14249.19386772373</v>
      </c>
      <c r="AA38" s="218">
        <v>16846.532554257094</v>
      </c>
      <c r="AB38" s="218">
        <v>17523.236305512357</v>
      </c>
      <c r="AC38" s="218">
        <v>18128.290960451977</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83541.097927195078</v>
      </c>
      <c r="L41" s="71">
        <f>+L6-L8</f>
        <v>103323.47780312336</v>
      </c>
      <c r="M41" s="71">
        <f t="shared" si="0"/>
        <v>89493.631320471759</v>
      </c>
      <c r="N41" s="71">
        <f t="shared" si="0"/>
        <v>103970.07853626658</v>
      </c>
      <c r="O41" s="71">
        <f t="shared" si="0"/>
        <v>96859.043408921279</v>
      </c>
      <c r="P41" s="71">
        <f t="shared" si="0"/>
        <v>83115.315270501014</v>
      </c>
      <c r="Q41" s="71">
        <f t="shared" si="0"/>
        <v>77355.044505495287</v>
      </c>
      <c r="R41" s="71">
        <f t="shared" ref="R41:AC41" si="1">R15</f>
        <v>79885.15107934938</v>
      </c>
      <c r="S41" s="71">
        <f t="shared" si="1"/>
        <v>88516.933943075041</v>
      </c>
      <c r="T41" s="71">
        <f t="shared" si="1"/>
        <v>82124.792948148621</v>
      </c>
      <c r="U41" s="71">
        <f t="shared" si="1"/>
        <v>95521.85928874962</v>
      </c>
      <c r="V41" s="71">
        <f t="shared" si="1"/>
        <v>115869.84077432846</v>
      </c>
      <c r="W41" s="71">
        <f t="shared" ref="W41:X41" si="2">W15</f>
        <v>98038.697877844577</v>
      </c>
      <c r="X41" s="71">
        <f t="shared" si="2"/>
        <v>99697.499451862634</v>
      </c>
      <c r="Y41" s="71">
        <f t="shared" ref="Y41:Z41" si="3">Y15</f>
        <v>104094.3699585631</v>
      </c>
      <c r="Z41" s="71">
        <f t="shared" si="3"/>
        <v>97922.405508280412</v>
      </c>
      <c r="AA41" s="71">
        <f t="shared" ref="AA41:AB41" si="4">AA15</f>
        <v>114188.97601265267</v>
      </c>
      <c r="AB41" s="71">
        <f t="shared" si="4"/>
        <v>108333.9755486435</v>
      </c>
      <c r="AC41" s="71">
        <f t="shared" si="1"/>
        <v>107773.21580208867</v>
      </c>
    </row>
    <row r="42" spans="1:29" s="31" customFormat="1" ht="18" customHeight="1" x14ac:dyDescent="0.2">
      <c r="A42" s="208" t="s">
        <v>27</v>
      </c>
      <c r="B42" s="343" t="s">
        <v>69</v>
      </c>
      <c r="C42" s="343"/>
      <c r="D42" s="343"/>
      <c r="E42" s="343"/>
      <c r="F42" s="343"/>
      <c r="G42" s="343"/>
      <c r="H42" s="343"/>
      <c r="I42" s="343"/>
      <c r="J42" s="343"/>
      <c r="K42" s="71">
        <f t="shared" ref="K42:P42" si="5">+K6-K7</f>
        <v>14275.1929978751</v>
      </c>
      <c r="L42" s="71">
        <f t="shared" si="5"/>
        <v>16172.223197052139</v>
      </c>
      <c r="M42" s="71">
        <f t="shared" si="5"/>
        <v>15611.055939696322</v>
      </c>
      <c r="N42" s="71">
        <f t="shared" si="5"/>
        <v>29989.665620941669</v>
      </c>
      <c r="O42" s="71">
        <f t="shared" si="5"/>
        <v>14528.430940357735</v>
      </c>
      <c r="P42" s="71">
        <f t="shared" si="5"/>
        <v>8874.1776438745437</v>
      </c>
      <c r="Q42" s="71">
        <f t="shared" ref="Q42:AC42" si="6">Q28</f>
        <v>189.43328614985074</v>
      </c>
      <c r="R42" s="71">
        <f t="shared" si="6"/>
        <v>11266.355704716734</v>
      </c>
      <c r="S42" s="71">
        <f t="shared" si="6"/>
        <v>15460.30983469151</v>
      </c>
      <c r="T42" s="71">
        <f t="shared" si="6"/>
        <v>19089.618807152841</v>
      </c>
      <c r="U42" s="71">
        <f t="shared" si="6"/>
        <v>17127.573960358695</v>
      </c>
      <c r="V42" s="71">
        <f>V28</f>
        <v>22155.893111532238</v>
      </c>
      <c r="W42" s="71">
        <f>W28</f>
        <v>20320.520657159497</v>
      </c>
      <c r="X42" s="71">
        <f>X28</f>
        <v>18783.872203889347</v>
      </c>
      <c r="Y42" s="71">
        <f>Y28</f>
        <v>23903.87237241786</v>
      </c>
      <c r="Z42" s="71">
        <f t="shared" ref="Z42:AA42" si="7">Z28</f>
        <v>19234.433819077665</v>
      </c>
      <c r="AA42" s="71">
        <f t="shared" si="7"/>
        <v>24612.228538792726</v>
      </c>
      <c r="AB42" s="71">
        <f t="shared" ref="AB42" si="8">AB28</f>
        <v>19511.056505961638</v>
      </c>
      <c r="AC42" s="71">
        <f t="shared" si="6"/>
        <v>19347.807824002739</v>
      </c>
    </row>
    <row r="43" spans="1:29" s="31" customFormat="1" ht="18" customHeight="1" x14ac:dyDescent="0.2">
      <c r="A43" s="208" t="s">
        <v>28</v>
      </c>
      <c r="B43" s="343" t="s">
        <v>182</v>
      </c>
      <c r="C43" s="343"/>
      <c r="D43" s="343"/>
      <c r="E43" s="343"/>
      <c r="F43" s="343"/>
      <c r="G43" s="343"/>
      <c r="H43" s="343"/>
      <c r="I43" s="343"/>
      <c r="J43" s="343"/>
      <c r="K43" s="71">
        <f t="shared" ref="K43:AC43" si="9">+K9+K10+K12</f>
        <v>232541.85746722319</v>
      </c>
      <c r="L43" s="71">
        <f>+L9+L10+L12</f>
        <v>282139.67362695211</v>
      </c>
      <c r="M43" s="71">
        <f t="shared" si="9"/>
        <v>229989.88996740174</v>
      </c>
      <c r="N43" s="71">
        <f t="shared" si="9"/>
        <v>466952.24857139331</v>
      </c>
      <c r="O43" s="71">
        <f t="shared" si="9"/>
        <v>320960.28463353362</v>
      </c>
      <c r="P43" s="71">
        <f t="shared" si="9"/>
        <v>246947.75742664034</v>
      </c>
      <c r="Q43" s="71">
        <f t="shared" si="9"/>
        <v>224182.87783600535</v>
      </c>
      <c r="R43" s="71">
        <f t="shared" si="9"/>
        <v>179027.22594172679</v>
      </c>
      <c r="S43" s="71">
        <f t="shared" si="9"/>
        <v>247089.6104878287</v>
      </c>
      <c r="T43" s="71">
        <f t="shared" ref="T43:Z43" si="10">+T9+T10+T12</f>
        <v>196545.25779474358</v>
      </c>
      <c r="U43" s="71">
        <f t="shared" si="10"/>
        <v>217309.61089098605</v>
      </c>
      <c r="V43" s="71">
        <f t="shared" si="10"/>
        <v>261839.14316039861</v>
      </c>
      <c r="W43" s="71">
        <f t="shared" si="10"/>
        <v>252469.32337799121</v>
      </c>
      <c r="X43" s="71">
        <f t="shared" si="10"/>
        <v>266608.32399385952</v>
      </c>
      <c r="Y43" s="71">
        <f t="shared" si="10"/>
        <v>273854.41627711785</v>
      </c>
      <c r="Z43" s="71">
        <f t="shared" si="10"/>
        <v>242970.78847346289</v>
      </c>
      <c r="AA43" s="71">
        <f t="shared" ref="AA43:AB43" si="11">+AA9+AA10+AA12</f>
        <v>278410.97320094891</v>
      </c>
      <c r="AB43" s="71">
        <f t="shared" si="11"/>
        <v>293977.51736651117</v>
      </c>
      <c r="AC43" s="71">
        <f t="shared" si="9"/>
        <v>287837.31929464132</v>
      </c>
    </row>
    <row r="44" spans="1:29" s="31" customFormat="1" ht="18" customHeight="1" x14ac:dyDescent="0.2">
      <c r="A44" s="208" t="s">
        <v>29</v>
      </c>
      <c r="B44" s="343" t="s">
        <v>184</v>
      </c>
      <c r="C44" s="343"/>
      <c r="D44" s="343"/>
      <c r="E44" s="343"/>
      <c r="F44" s="343"/>
      <c r="G44" s="343"/>
      <c r="H44" s="343"/>
      <c r="I44" s="343"/>
      <c r="J44" s="343"/>
      <c r="K44" s="71">
        <f t="shared" ref="K44:AC44" si="12">+K6-K43</f>
        <v>173567.75507214485</v>
      </c>
      <c r="L44" s="71">
        <f t="shared" si="12"/>
        <v>202148.53483067203</v>
      </c>
      <c r="M44" s="71">
        <f t="shared" si="12"/>
        <v>186436.90835870069</v>
      </c>
      <c r="N44" s="71">
        <f t="shared" si="12"/>
        <v>266912.49117635679</v>
      </c>
      <c r="O44" s="71">
        <f t="shared" si="12"/>
        <v>227675.12710476009</v>
      </c>
      <c r="P44" s="71">
        <f t="shared" si="12"/>
        <v>188601.51866878817</v>
      </c>
      <c r="Q44" s="71">
        <f t="shared" si="12"/>
        <v>223228.91212818446</v>
      </c>
      <c r="R44" s="71">
        <f t="shared" si="12"/>
        <v>165479.44955814272</v>
      </c>
      <c r="S44" s="71">
        <f t="shared" si="12"/>
        <v>172696.73103998744</v>
      </c>
      <c r="T44" s="71">
        <f t="shared" ref="T44:Z44" si="13">+T6-T43</f>
        <v>181773.09185256081</v>
      </c>
      <c r="U44" s="71">
        <f t="shared" si="13"/>
        <v>236173.23041896272</v>
      </c>
      <c r="V44" s="71">
        <f t="shared" si="13"/>
        <v>271048.76194983686</v>
      </c>
      <c r="W44" s="71">
        <f t="shared" si="13"/>
        <v>224987.70149196428</v>
      </c>
      <c r="X44" s="71">
        <f t="shared" si="13"/>
        <v>227247.03919036267</v>
      </c>
      <c r="Y44" s="71">
        <f t="shared" si="13"/>
        <v>223046.81200764666</v>
      </c>
      <c r="Z44" s="71">
        <f t="shared" si="13"/>
        <v>245397.94401517705</v>
      </c>
      <c r="AA44" s="71">
        <f t="shared" ref="AA44:AB44" si="14">+AA6-AA43</f>
        <v>262970.82523504086</v>
      </c>
      <c r="AB44" s="71">
        <f t="shared" si="14"/>
        <v>233483.45619491965</v>
      </c>
      <c r="AC44" s="71">
        <f t="shared" si="12"/>
        <v>254569.00136962853</v>
      </c>
    </row>
    <row r="45" spans="1:29" s="31" customFormat="1" ht="18" customHeight="1" x14ac:dyDescent="0.2">
      <c r="A45" s="208" t="s">
        <v>30</v>
      </c>
      <c r="B45" s="343" t="s">
        <v>183</v>
      </c>
      <c r="C45" s="343"/>
      <c r="D45" s="343"/>
      <c r="E45" s="343"/>
      <c r="F45" s="343"/>
      <c r="G45" s="343"/>
      <c r="H45" s="343"/>
      <c r="I45" s="343"/>
      <c r="J45" s="343"/>
      <c r="K45" s="71">
        <f t="shared" ref="K45:AC45" si="15">+K11+K13+K14+K16</f>
        <v>159292.5620742694</v>
      </c>
      <c r="L45" s="71">
        <f>+L11+L13+L14+L16</f>
        <v>185976.22389892963</v>
      </c>
      <c r="M45" s="71">
        <f t="shared" si="15"/>
        <v>170825.85241900408</v>
      </c>
      <c r="N45" s="71">
        <f t="shared" si="15"/>
        <v>236922.82555541489</v>
      </c>
      <c r="O45" s="71">
        <f t="shared" si="15"/>
        <v>213146.69616440145</v>
      </c>
      <c r="P45" s="71">
        <f t="shared" si="15"/>
        <v>179727.34102491359</v>
      </c>
      <c r="Q45" s="71">
        <f t="shared" si="15"/>
        <v>223039.47884203499</v>
      </c>
      <c r="R45" s="71">
        <f t="shared" si="15"/>
        <v>154213.09385342599</v>
      </c>
      <c r="S45" s="71">
        <f t="shared" si="15"/>
        <v>157236.42120529595</v>
      </c>
      <c r="T45" s="71">
        <f t="shared" ref="T45:Z45" si="16">+T11+T13+T14+T16</f>
        <v>162683.47304540791</v>
      </c>
      <c r="U45" s="71">
        <f t="shared" si="16"/>
        <v>219045.65645860409</v>
      </c>
      <c r="V45" s="71">
        <f t="shared" si="16"/>
        <v>248892.86883830489</v>
      </c>
      <c r="W45" s="71">
        <f t="shared" si="16"/>
        <v>204667.18083480478</v>
      </c>
      <c r="X45" s="71">
        <f t="shared" si="16"/>
        <v>208463.16698647343</v>
      </c>
      <c r="Y45" s="71">
        <f t="shared" si="16"/>
        <v>199142.93963522895</v>
      </c>
      <c r="Z45" s="71">
        <f t="shared" si="16"/>
        <v>226163.510196099</v>
      </c>
      <c r="AA45" s="71">
        <f t="shared" ref="AA45:AB45" si="17">+AA11+AA13+AA14+AA16</f>
        <v>238358.59660838242</v>
      </c>
      <c r="AB45" s="71">
        <f t="shared" si="17"/>
        <v>213972.3997753585</v>
      </c>
      <c r="AC45" s="71">
        <f t="shared" si="15"/>
        <v>235221.19354562578</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121806.93840181637</v>
      </c>
      <c r="L46" s="71">
        <f>+L34+L11+L17+L32+L18+L26+L13+L24</f>
        <v>154978.15406211614</v>
      </c>
      <c r="M46" s="71">
        <f t="shared" si="18"/>
        <v>138960.07055226204</v>
      </c>
      <c r="N46" s="71">
        <f t="shared" si="18"/>
        <v>194639.11183525561</v>
      </c>
      <c r="O46" s="71">
        <f t="shared" si="18"/>
        <v>175828.09944012284</v>
      </c>
      <c r="P46" s="71">
        <f t="shared" si="18"/>
        <v>130040.92935827158</v>
      </c>
      <c r="Q46" s="71">
        <f t="shared" si="18"/>
        <v>144632.20853184379</v>
      </c>
      <c r="R46" s="71">
        <f t="shared" si="18"/>
        <v>129836.34694767499</v>
      </c>
      <c r="S46" s="71">
        <f t="shared" si="18"/>
        <v>131785.74537070756</v>
      </c>
      <c r="T46" s="71">
        <f t="shared" ref="T46:Z46" si="19">+T34+T11+T17+T32+T18+T26+T13+T24</f>
        <v>140046.85276141248</v>
      </c>
      <c r="U46" s="71">
        <f t="shared" si="19"/>
        <v>172756.65834535653</v>
      </c>
      <c r="V46" s="71">
        <f t="shared" si="19"/>
        <v>163112.1073292245</v>
      </c>
      <c r="W46" s="71">
        <f t="shared" si="19"/>
        <v>168826.88716757568</v>
      </c>
      <c r="X46" s="71">
        <f t="shared" si="19"/>
        <v>169122.96240441708</v>
      </c>
      <c r="Y46" s="71">
        <f t="shared" si="19"/>
        <v>159281.8062076483</v>
      </c>
      <c r="Z46" s="71">
        <f t="shared" si="19"/>
        <v>170156.98235081451</v>
      </c>
      <c r="AA46" s="71">
        <f t="shared" ref="AA46:AB46" si="20">+AA34+AA11+AA17+AA32+AA18+AA26+AA13+AA24</f>
        <v>160841.99876987963</v>
      </c>
      <c r="AB46" s="71">
        <f t="shared" si="20"/>
        <v>168773.35605667878</v>
      </c>
      <c r="AC46" s="71">
        <f t="shared" si="18"/>
        <v>175395.97183701422</v>
      </c>
    </row>
    <row r="47" spans="1:29" s="31" customFormat="1" ht="18" customHeight="1" x14ac:dyDescent="0.2">
      <c r="A47" s="208" t="s">
        <v>32</v>
      </c>
      <c r="B47" s="343" t="s">
        <v>185</v>
      </c>
      <c r="C47" s="343"/>
      <c r="D47" s="343"/>
      <c r="E47" s="343"/>
      <c r="F47" s="343"/>
      <c r="G47" s="343"/>
      <c r="H47" s="343"/>
      <c r="I47" s="343"/>
      <c r="J47" s="343"/>
      <c r="K47" s="71">
        <f t="shared" ref="K47:AC47" si="21">+K6-K9-K10-K12</f>
        <v>173567.75507214485</v>
      </c>
      <c r="L47" s="71">
        <f>+L6-L9-L10-L12</f>
        <v>202148.53483067203</v>
      </c>
      <c r="M47" s="71">
        <f t="shared" si="21"/>
        <v>186436.90835870069</v>
      </c>
      <c r="N47" s="71">
        <f t="shared" si="21"/>
        <v>266912.49117635679</v>
      </c>
      <c r="O47" s="71">
        <f t="shared" si="21"/>
        <v>227675.12710476006</v>
      </c>
      <c r="P47" s="71">
        <f t="shared" si="21"/>
        <v>188601.51866878817</v>
      </c>
      <c r="Q47" s="71">
        <f t="shared" si="21"/>
        <v>223228.91212818446</v>
      </c>
      <c r="R47" s="71">
        <f t="shared" si="21"/>
        <v>165479.44955814275</v>
      </c>
      <c r="S47" s="71">
        <f t="shared" si="21"/>
        <v>172696.73103998747</v>
      </c>
      <c r="T47" s="71">
        <f t="shared" ref="T47:Z47" si="22">+T6-T9-T10-T12</f>
        <v>181773.09185256076</v>
      </c>
      <c r="U47" s="71">
        <f t="shared" si="22"/>
        <v>236173.23041896272</v>
      </c>
      <c r="V47" s="71">
        <f t="shared" si="22"/>
        <v>271048.76194983686</v>
      </c>
      <c r="W47" s="71">
        <f t="shared" si="22"/>
        <v>224987.70149196428</v>
      </c>
      <c r="X47" s="71">
        <f t="shared" si="22"/>
        <v>227247.03919036273</v>
      </c>
      <c r="Y47" s="71">
        <f t="shared" si="22"/>
        <v>223046.81200764666</v>
      </c>
      <c r="Z47" s="71">
        <f t="shared" si="22"/>
        <v>245397.94401517705</v>
      </c>
      <c r="AA47" s="71">
        <f t="shared" ref="AA47:AB47" si="23">+AA6-AA9-AA10-AA12</f>
        <v>262970.8252350408</v>
      </c>
      <c r="AB47" s="71">
        <f t="shared" si="23"/>
        <v>233483.45619491965</v>
      </c>
      <c r="AC47" s="71">
        <f t="shared" si="21"/>
        <v>254569.00136962859</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13653</v>
      </c>
      <c r="L4" s="68">
        <v>11398</v>
      </c>
      <c r="M4" s="68">
        <v>11095.1497475019</v>
      </c>
      <c r="N4" s="68">
        <v>9497.9089165771002</v>
      </c>
      <c r="O4" s="68">
        <v>11121.968536598401</v>
      </c>
      <c r="P4" s="68">
        <v>10872.0368789164</v>
      </c>
      <c r="Q4" s="68">
        <v>9781.1197773644799</v>
      </c>
      <c r="R4" s="68">
        <v>11836.349255306866</v>
      </c>
      <c r="S4" s="68">
        <v>11561.672096000017</v>
      </c>
      <c r="T4" s="68">
        <v>12088.165173891577</v>
      </c>
      <c r="U4" s="68">
        <v>12038.196718999985</v>
      </c>
      <c r="V4" s="68">
        <v>11998.27552100001</v>
      </c>
      <c r="W4" s="68">
        <v>11968.327845000063</v>
      </c>
      <c r="X4" s="68">
        <v>11948.291200000007</v>
      </c>
      <c r="Y4" s="68">
        <v>10843.784799000012</v>
      </c>
      <c r="Z4" s="68">
        <v>11293</v>
      </c>
      <c r="AA4" s="68">
        <v>11381</v>
      </c>
      <c r="AB4" s="68">
        <v>11574</v>
      </c>
      <c r="AC4" s="68">
        <v>11682</v>
      </c>
    </row>
    <row r="5" spans="1:29" s="31" customFormat="1" ht="18" customHeight="1" x14ac:dyDescent="0.2">
      <c r="A5" s="380" t="s">
        <v>34</v>
      </c>
      <c r="B5" s="380"/>
      <c r="C5" s="380"/>
      <c r="D5" s="380"/>
      <c r="E5" s="380"/>
      <c r="F5" s="380"/>
      <c r="G5" s="380"/>
      <c r="H5" s="380"/>
      <c r="I5" s="380"/>
      <c r="J5" s="380"/>
      <c r="K5" s="251">
        <v>27.136819746575799</v>
      </c>
      <c r="L5" s="251">
        <v>28.864713107562729</v>
      </c>
      <c r="M5" s="251">
        <v>27.245225161506383</v>
      </c>
      <c r="N5" s="251">
        <v>44.514729278154569</v>
      </c>
      <c r="O5" s="251">
        <v>31.859551816157666</v>
      </c>
      <c r="P5" s="251">
        <v>25.113564474086207</v>
      </c>
      <c r="Q5" s="251">
        <v>29.938145678231695</v>
      </c>
      <c r="R5" s="251">
        <v>23.598707218075045</v>
      </c>
      <c r="S5" s="251">
        <v>24.106756123196071</v>
      </c>
      <c r="T5" s="251">
        <v>27.825857428271767</v>
      </c>
      <c r="U5" s="251">
        <v>27.890840815536148</v>
      </c>
      <c r="V5" s="251">
        <v>29.915933728013783</v>
      </c>
      <c r="W5" s="251">
        <v>29.012128747338132</v>
      </c>
      <c r="X5" s="251">
        <v>28.169827847924203</v>
      </c>
      <c r="Y5" s="251">
        <v>27.089217565231777</v>
      </c>
      <c r="Z5" s="251">
        <v>28.901053070980453</v>
      </c>
      <c r="AA5" s="251">
        <v>28.699938493981197</v>
      </c>
      <c r="AB5" s="251">
        <v>27.771902540176256</v>
      </c>
      <c r="AC5" s="251">
        <v>30.704759458996747</v>
      </c>
    </row>
    <row r="6" spans="1:29" s="31" customFormat="1" ht="18" customHeight="1" x14ac:dyDescent="0.2">
      <c r="A6" s="381" t="s">
        <v>70</v>
      </c>
      <c r="B6" s="381"/>
      <c r="C6" s="381"/>
      <c r="D6" s="381"/>
      <c r="E6" s="381"/>
      <c r="F6" s="381"/>
      <c r="G6" s="381"/>
      <c r="H6" s="381"/>
      <c r="I6" s="381"/>
      <c r="J6" s="381"/>
      <c r="K6" s="211"/>
      <c r="L6" s="211">
        <v>6967</v>
      </c>
      <c r="M6" s="211">
        <v>6585.53943429837</v>
      </c>
      <c r="N6" s="211">
        <v>5422.269740793</v>
      </c>
      <c r="O6" s="211">
        <v>6975.3412061741301</v>
      </c>
      <c r="P6" s="211">
        <v>6752.7536833043996</v>
      </c>
      <c r="Q6" s="211">
        <v>7299.4360528994503</v>
      </c>
      <c r="R6" s="211">
        <v>8102.2163828219336</v>
      </c>
      <c r="S6" s="211">
        <v>7510.1473292202172</v>
      </c>
      <c r="T6" s="211">
        <v>6689.2640176986715</v>
      </c>
      <c r="U6" s="211">
        <v>7740.204009798862</v>
      </c>
      <c r="V6" s="211">
        <v>7944.7119875551462</v>
      </c>
      <c r="W6" s="211">
        <v>8477.6416550143949</v>
      </c>
      <c r="X6" s="211">
        <v>8234.6371964291957</v>
      </c>
      <c r="Y6" s="211">
        <v>7283.0990052989282</v>
      </c>
      <c r="Z6" s="211">
        <v>8174.4191150478837</v>
      </c>
      <c r="AA6" s="211">
        <v>7821</v>
      </c>
      <c r="AB6" s="211">
        <v>8115</v>
      </c>
      <c r="AC6" s="211">
        <v>7825</v>
      </c>
    </row>
    <row r="7" spans="1:29" s="31" customFormat="1" ht="18" customHeight="1" x14ac:dyDescent="0.2">
      <c r="A7" s="215" t="s">
        <v>360</v>
      </c>
      <c r="B7" s="394" t="s">
        <v>361</v>
      </c>
      <c r="C7" s="394"/>
      <c r="D7" s="394"/>
      <c r="E7" s="394"/>
      <c r="F7" s="394"/>
      <c r="G7" s="394"/>
      <c r="H7" s="394"/>
      <c r="I7" s="394"/>
      <c r="J7" s="394"/>
      <c r="K7" s="213"/>
      <c r="L7" s="213">
        <v>3487</v>
      </c>
      <c r="M7" s="213">
        <v>4255.2396468989</v>
      </c>
      <c r="N7" s="213">
        <v>3895.4997450390401</v>
      </c>
      <c r="O7" s="213">
        <v>5256.7291023300604</v>
      </c>
      <c r="P7" s="213">
        <v>5593.0743014394802</v>
      </c>
      <c r="Q7" s="213">
        <v>5544.2627809321002</v>
      </c>
      <c r="R7" s="213">
        <v>6400.3224702215048</v>
      </c>
      <c r="S7" s="213">
        <v>5556.6272145670682</v>
      </c>
      <c r="T7" s="213">
        <v>5545.1053078651785</v>
      </c>
      <c r="U7" s="213">
        <v>5815.391690198463</v>
      </c>
      <c r="V7" s="213">
        <v>5817.2818774797552</v>
      </c>
      <c r="W7" s="213">
        <v>5824.7638694734305</v>
      </c>
      <c r="X7" s="213">
        <v>6184.0923549918298</v>
      </c>
      <c r="Y7" s="213">
        <v>5583.7143829196784</v>
      </c>
      <c r="Z7" s="213">
        <v>6192.8832566899673</v>
      </c>
      <c r="AA7" s="213">
        <v>5726</v>
      </c>
      <c r="AB7" s="213">
        <v>6030</v>
      </c>
      <c r="AC7" s="213">
        <v>5952</v>
      </c>
    </row>
    <row r="8" spans="1:29" s="31" customFormat="1" ht="18" customHeight="1" x14ac:dyDescent="0.2">
      <c r="A8" s="381" t="s">
        <v>71</v>
      </c>
      <c r="B8" s="381"/>
      <c r="C8" s="381"/>
      <c r="D8" s="381"/>
      <c r="E8" s="381"/>
      <c r="F8" s="381"/>
      <c r="G8" s="381"/>
      <c r="H8" s="381"/>
      <c r="I8" s="381"/>
      <c r="J8" s="381"/>
      <c r="K8" s="211">
        <v>334715.30066651996</v>
      </c>
      <c r="L8" s="211">
        <v>399861.46692402178</v>
      </c>
      <c r="M8" s="211">
        <v>319852.41834279191</v>
      </c>
      <c r="N8" s="211">
        <v>439059.22196947178</v>
      </c>
      <c r="O8" s="211">
        <v>411519.75988188828</v>
      </c>
      <c r="P8" s="211">
        <v>369989.18656978931</v>
      </c>
      <c r="Q8" s="211">
        <v>446569.74313855846</v>
      </c>
      <c r="R8" s="211">
        <v>330492.52988703322</v>
      </c>
      <c r="S8" s="211">
        <v>348078.36616399197</v>
      </c>
      <c r="T8" s="211">
        <v>304542.12343026209</v>
      </c>
      <c r="U8" s="211">
        <v>448015.96336202306</v>
      </c>
      <c r="V8" s="211">
        <v>517153.43705443095</v>
      </c>
      <c r="W8" s="211">
        <v>401737.60723348631</v>
      </c>
      <c r="X8" s="211">
        <v>482089.5581289659</v>
      </c>
      <c r="Y8" s="211">
        <v>423570.72605710692</v>
      </c>
      <c r="Z8" s="211">
        <v>450120.16656572366</v>
      </c>
      <c r="AA8" s="211">
        <v>503626.13329232932</v>
      </c>
      <c r="AB8" s="211">
        <v>534228.98246068764</v>
      </c>
      <c r="AC8" s="211">
        <v>533482.99974319467</v>
      </c>
    </row>
    <row r="9" spans="1:29" s="31" customFormat="1" ht="18" customHeight="1" x14ac:dyDescent="0.2">
      <c r="A9" s="73"/>
      <c r="B9" s="381" t="s">
        <v>72</v>
      </c>
      <c r="C9" s="381"/>
      <c r="D9" s="381"/>
      <c r="E9" s="381"/>
      <c r="F9" s="381"/>
      <c r="G9" s="381"/>
      <c r="H9" s="381"/>
      <c r="I9" s="381"/>
      <c r="J9" s="381"/>
      <c r="K9" s="211">
        <v>193409.72679997099</v>
      </c>
      <c r="L9" s="211">
        <v>257778.55764169153</v>
      </c>
      <c r="M9" s="211">
        <v>154839.62442458019</v>
      </c>
      <c r="N9" s="211">
        <v>263263.18402791483</v>
      </c>
      <c r="O9" s="211">
        <v>242785.98009825882</v>
      </c>
      <c r="P9" s="211">
        <v>237314.61141043369</v>
      </c>
      <c r="Q9" s="211">
        <v>293317.87266084732</v>
      </c>
      <c r="R9" s="211">
        <v>221243.48239326297</v>
      </c>
      <c r="S9" s="211">
        <v>244834.35591527296</v>
      </c>
      <c r="T9" s="211">
        <v>186045.67045341473</v>
      </c>
      <c r="U9" s="211">
        <v>281012.13835993927</v>
      </c>
      <c r="V9" s="211">
        <v>322831.19111882587</v>
      </c>
      <c r="W9" s="211">
        <v>254649.85018438409</v>
      </c>
      <c r="X9" s="211">
        <v>276132.9326386762</v>
      </c>
      <c r="Y9" s="211">
        <v>276753.70178473729</v>
      </c>
      <c r="Z9" s="211">
        <v>300126.60015887808</v>
      </c>
      <c r="AA9" s="211">
        <v>312301.07811264391</v>
      </c>
      <c r="AB9" s="211">
        <v>333026.05719716608</v>
      </c>
      <c r="AC9" s="211">
        <v>352638.21357644239</v>
      </c>
    </row>
    <row r="10" spans="1:29" s="31" customFormat="1" ht="18" customHeight="1" x14ac:dyDescent="0.2">
      <c r="A10" s="73"/>
      <c r="B10" s="73"/>
      <c r="C10" s="390" t="s">
        <v>73</v>
      </c>
      <c r="D10" s="390"/>
      <c r="E10" s="390"/>
      <c r="F10" s="390"/>
      <c r="G10" s="390"/>
      <c r="H10" s="390"/>
      <c r="I10" s="390"/>
      <c r="J10" s="390"/>
      <c r="K10" s="68">
        <v>58179.594228374699</v>
      </c>
      <c r="L10" s="68">
        <v>76549.570100017547</v>
      </c>
      <c r="M10" s="68">
        <v>44771.665604987807</v>
      </c>
      <c r="N10" s="68">
        <v>47762.008774262344</v>
      </c>
      <c r="O10" s="68">
        <v>75899.451914111545</v>
      </c>
      <c r="P10" s="68">
        <v>82410.752883250447</v>
      </c>
      <c r="Q10" s="68">
        <v>101856.24785102623</v>
      </c>
      <c r="R10" s="68">
        <v>79204.041193370285</v>
      </c>
      <c r="S10" s="68">
        <v>74984.427986110546</v>
      </c>
      <c r="T10" s="68">
        <v>69394.7103011297</v>
      </c>
      <c r="U10" s="68">
        <v>120199.87935511704</v>
      </c>
      <c r="V10" s="68">
        <v>93398.30438521241</v>
      </c>
      <c r="W10" s="68">
        <v>83388.048199011129</v>
      </c>
      <c r="X10" s="68">
        <v>112271.3735461492</v>
      </c>
      <c r="Y10" s="68">
        <v>87119.799504142051</v>
      </c>
      <c r="Z10" s="68">
        <v>110137.31407828743</v>
      </c>
      <c r="AA10" s="68">
        <v>105181.8746155874</v>
      </c>
      <c r="AB10" s="68">
        <v>134919.24209434941</v>
      </c>
      <c r="AC10" s="68">
        <v>132104.35293614108</v>
      </c>
    </row>
    <row r="11" spans="1:29" s="31" customFormat="1" ht="18" customHeight="1" x14ac:dyDescent="0.2">
      <c r="A11" s="73"/>
      <c r="B11" s="73"/>
      <c r="C11" s="382" t="s">
        <v>74</v>
      </c>
      <c r="D11" s="382"/>
      <c r="E11" s="382"/>
      <c r="F11" s="382"/>
      <c r="G11" s="382"/>
      <c r="H11" s="382"/>
      <c r="I11" s="382"/>
      <c r="J11" s="382"/>
      <c r="K11" s="69">
        <v>82761.590859151795</v>
      </c>
      <c r="L11" s="69">
        <v>113077.99613967363</v>
      </c>
      <c r="M11" s="69">
        <v>73445.004664519001</v>
      </c>
      <c r="N11" s="69">
        <v>128770.50756758029</v>
      </c>
      <c r="O11" s="69">
        <v>100032.3612984487</v>
      </c>
      <c r="P11" s="69">
        <v>95185.840832964808</v>
      </c>
      <c r="Q11" s="69">
        <v>106829.94690092247</v>
      </c>
      <c r="R11" s="69">
        <v>77612.733926365458</v>
      </c>
      <c r="S11" s="69">
        <v>90637.898911536206</v>
      </c>
      <c r="T11" s="69">
        <v>67125.020232442388</v>
      </c>
      <c r="U11" s="69">
        <v>89522.676142954922</v>
      </c>
      <c r="V11" s="69">
        <v>124966.49337454379</v>
      </c>
      <c r="W11" s="69">
        <v>101337.01825433754</v>
      </c>
      <c r="X11" s="69">
        <v>81501.580745373241</v>
      </c>
      <c r="Y11" s="69">
        <v>110086.92828174544</v>
      </c>
      <c r="Z11" s="69">
        <v>99546.171121672509</v>
      </c>
      <c r="AA11" s="69">
        <v>101050.46138300677</v>
      </c>
      <c r="AB11" s="69">
        <v>86055.60307585969</v>
      </c>
      <c r="AC11" s="69">
        <v>93624.834788563603</v>
      </c>
    </row>
    <row r="12" spans="1:29" s="31" customFormat="1" ht="18" customHeight="1" x14ac:dyDescent="0.2">
      <c r="A12" s="73"/>
      <c r="B12" s="73"/>
      <c r="C12" s="382" t="s">
        <v>75</v>
      </c>
      <c r="D12" s="382"/>
      <c r="E12" s="382"/>
      <c r="F12" s="382"/>
      <c r="G12" s="382"/>
      <c r="H12" s="382"/>
      <c r="I12" s="382"/>
      <c r="J12" s="382"/>
      <c r="K12" s="69">
        <v>3714.1287629092499</v>
      </c>
      <c r="L12" s="69">
        <v>7163.0110545709767</v>
      </c>
      <c r="M12" s="69">
        <v>2740.131662404297</v>
      </c>
      <c r="N12" s="69">
        <v>3272.4649169961317</v>
      </c>
      <c r="O12" s="69">
        <v>5248.4061448717139</v>
      </c>
      <c r="P12" s="69">
        <v>1509.7622995777749</v>
      </c>
      <c r="Q12" s="69">
        <v>3179.7465895562609</v>
      </c>
      <c r="R12" s="69">
        <v>6179.6429004057236</v>
      </c>
      <c r="S12" s="69">
        <v>12764.47865455403</v>
      </c>
      <c r="T12" s="69">
        <v>6804.4579122093619</v>
      </c>
      <c r="U12" s="69">
        <v>5418.2120593741784</v>
      </c>
      <c r="V12" s="69">
        <v>4050.0360109752737</v>
      </c>
      <c r="W12" s="69">
        <v>1400.0676774977078</v>
      </c>
      <c r="X12" s="69">
        <v>1251.8390956913768</v>
      </c>
      <c r="Y12" s="69">
        <v>2788.6327161516601</v>
      </c>
      <c r="Z12" s="69"/>
      <c r="AA12" s="69"/>
      <c r="AB12" s="69"/>
      <c r="AC12" s="69"/>
    </row>
    <row r="13" spans="1:29" s="31" customFormat="1" ht="18" customHeight="1" x14ac:dyDescent="0.2">
      <c r="A13" s="73"/>
      <c r="B13" s="73"/>
      <c r="C13" s="382" t="s">
        <v>76</v>
      </c>
      <c r="D13" s="382"/>
      <c r="E13" s="382"/>
      <c r="F13" s="382"/>
      <c r="G13" s="382"/>
      <c r="H13" s="382"/>
      <c r="I13" s="382"/>
      <c r="J13" s="382"/>
      <c r="K13" s="69">
        <v>32283.014722039101</v>
      </c>
      <c r="L13" s="69">
        <v>38822.249517459204</v>
      </c>
      <c r="M13" s="69">
        <v>24029.989523217049</v>
      </c>
      <c r="N13" s="69">
        <v>72332.922818576393</v>
      </c>
      <c r="O13" s="69">
        <v>44043.626692401231</v>
      </c>
      <c r="P13" s="69">
        <v>40745.342958707173</v>
      </c>
      <c r="Q13" s="69">
        <v>47148.743742733153</v>
      </c>
      <c r="R13" s="69">
        <v>36360.768962914946</v>
      </c>
      <c r="S13" s="69">
        <v>42103.672583234329</v>
      </c>
      <c r="T13" s="69">
        <v>29670.492519739917</v>
      </c>
      <c r="U13" s="69">
        <v>41840.793216325379</v>
      </c>
      <c r="V13" s="69">
        <v>66966.71848150903</v>
      </c>
      <c r="W13" s="69">
        <v>50210.634976573267</v>
      </c>
      <c r="X13" s="69">
        <v>46581.337341519196</v>
      </c>
      <c r="Y13" s="69">
        <v>54774.806786077999</v>
      </c>
      <c r="Z13" s="69">
        <v>52826.787361151655</v>
      </c>
      <c r="AA13" s="69">
        <v>61397.64994288727</v>
      </c>
      <c r="AB13" s="69">
        <v>70492.818040435464</v>
      </c>
      <c r="AC13" s="69">
        <v>78244.371169320322</v>
      </c>
    </row>
    <row r="14" spans="1:29" s="31" customFormat="1" ht="18" customHeight="1" x14ac:dyDescent="0.2">
      <c r="A14" s="73"/>
      <c r="B14" s="73"/>
      <c r="C14" s="380" t="s">
        <v>77</v>
      </c>
      <c r="D14" s="380"/>
      <c r="E14" s="380"/>
      <c r="F14" s="380"/>
      <c r="G14" s="380"/>
      <c r="H14" s="380"/>
      <c r="I14" s="380"/>
      <c r="J14" s="380"/>
      <c r="K14" s="70">
        <v>16471.324983520102</v>
      </c>
      <c r="L14" s="70">
        <v>22165.730829970169</v>
      </c>
      <c r="M14" s="70">
        <v>9852.8329694520216</v>
      </c>
      <c r="N14" s="70">
        <v>11125.27995049996</v>
      </c>
      <c r="O14" s="70">
        <v>17562.134048425509</v>
      </c>
      <c r="P14" s="70">
        <v>17462.912435933242</v>
      </c>
      <c r="Q14" s="70">
        <v>34303.187576609227</v>
      </c>
      <c r="R14" s="70">
        <v>21886.295410206378</v>
      </c>
      <c r="S14" s="70">
        <v>24343.877779837716</v>
      </c>
      <c r="T14" s="70">
        <v>13050.989487893507</v>
      </c>
      <c r="U14" s="70">
        <v>24030.577586167761</v>
      </c>
      <c r="V14" s="70">
        <v>33449.638866584995</v>
      </c>
      <c r="W14" s="70">
        <v>18314.081076964394</v>
      </c>
      <c r="X14" s="70">
        <v>34526.801909943373</v>
      </c>
      <c r="Y14" s="70">
        <v>21983.534496619926</v>
      </c>
      <c r="Z14" s="70">
        <v>37616.327597766474</v>
      </c>
      <c r="AA14" s="70">
        <v>44671.092171162483</v>
      </c>
      <c r="AB14" s="70">
        <v>41558.393986521522</v>
      </c>
      <c r="AC14" s="70">
        <v>48664.6546824174</v>
      </c>
    </row>
    <row r="15" spans="1:29" s="31" customFormat="1" ht="18" customHeight="1" x14ac:dyDescent="0.2">
      <c r="A15" s="73"/>
      <c r="B15" s="381" t="s">
        <v>78</v>
      </c>
      <c r="C15" s="381"/>
      <c r="D15" s="381"/>
      <c r="E15" s="381"/>
      <c r="F15" s="381"/>
      <c r="G15" s="381"/>
      <c r="H15" s="381"/>
      <c r="I15" s="381"/>
      <c r="J15" s="381"/>
      <c r="K15" s="211">
        <v>139570.131106716</v>
      </c>
      <c r="L15" s="211">
        <v>131431.04053342692</v>
      </c>
      <c r="M15" s="211">
        <v>163980.23618194507</v>
      </c>
      <c r="N15" s="211">
        <v>175155.81656647174</v>
      </c>
      <c r="O15" s="211">
        <v>167419.4828037424</v>
      </c>
      <c r="P15" s="211">
        <v>132054.10942914442</v>
      </c>
      <c r="Q15" s="211">
        <v>151272.83464229415</v>
      </c>
      <c r="R15" s="211">
        <v>108581.00350824046</v>
      </c>
      <c r="S15" s="211">
        <v>101939.93417601804</v>
      </c>
      <c r="T15" s="211">
        <v>114893.74221280642</v>
      </c>
      <c r="U15" s="211">
        <v>165950.60286300292</v>
      </c>
      <c r="V15" s="211">
        <v>193224.9935587467</v>
      </c>
      <c r="W15" s="211">
        <v>144375.36133145381</v>
      </c>
      <c r="X15" s="211">
        <v>203303.46635164876</v>
      </c>
      <c r="Y15" s="211">
        <v>146609.20648573179</v>
      </c>
      <c r="Z15" s="211">
        <v>149032.44284491224</v>
      </c>
      <c r="AA15" s="211">
        <v>189701.32958439505</v>
      </c>
      <c r="AB15" s="211">
        <v>199671.22464143773</v>
      </c>
      <c r="AC15" s="211">
        <v>178433.71477486732</v>
      </c>
    </row>
    <row r="16" spans="1:29" s="31" customFormat="1" ht="18" customHeight="1" x14ac:dyDescent="0.2">
      <c r="A16" s="73"/>
      <c r="B16" s="73"/>
      <c r="C16" s="381" t="s">
        <v>79</v>
      </c>
      <c r="D16" s="381"/>
      <c r="E16" s="381"/>
      <c r="F16" s="381"/>
      <c r="G16" s="381"/>
      <c r="H16" s="381"/>
      <c r="I16" s="381"/>
      <c r="J16" s="381"/>
      <c r="K16" s="211">
        <v>110919.358382773</v>
      </c>
      <c r="L16" s="211">
        <v>101076.32918055799</v>
      </c>
      <c r="M16" s="211">
        <v>118622.16651243035</v>
      </c>
      <c r="N16" s="211">
        <v>131936.52072571628</v>
      </c>
      <c r="O16" s="211">
        <v>105689.92390914593</v>
      </c>
      <c r="P16" s="211">
        <v>102821.70700133769</v>
      </c>
      <c r="Q16" s="211">
        <v>106079.21897174475</v>
      </c>
      <c r="R16" s="211">
        <v>78922.69268321342</v>
      </c>
      <c r="S16" s="211">
        <v>74190.901667651648</v>
      </c>
      <c r="T16" s="211">
        <v>88119.759794322104</v>
      </c>
      <c r="U16" s="211">
        <v>126031.77599554135</v>
      </c>
      <c r="V16" s="211">
        <v>134329.00612878529</v>
      </c>
      <c r="W16" s="211">
        <v>104416.36625021194</v>
      </c>
      <c r="X16" s="211">
        <v>116316.75065817448</v>
      </c>
      <c r="Y16" s="211">
        <v>87213.411052689233</v>
      </c>
      <c r="Z16" s="211">
        <v>105965.8075220842</v>
      </c>
      <c r="AA16" s="211">
        <v>117287.92900448115</v>
      </c>
      <c r="AB16" s="211">
        <v>127319.770001728</v>
      </c>
      <c r="AC16" s="211">
        <v>118918.33290532444</v>
      </c>
    </row>
    <row r="17" spans="1:29" s="31" customFormat="1" ht="18" customHeight="1" x14ac:dyDescent="0.2">
      <c r="A17" s="73"/>
      <c r="B17" s="73"/>
      <c r="C17" s="73"/>
      <c r="D17" s="390" t="s">
        <v>362</v>
      </c>
      <c r="E17" s="390"/>
      <c r="F17" s="390"/>
      <c r="G17" s="390"/>
      <c r="H17" s="390"/>
      <c r="I17" s="390"/>
      <c r="J17" s="390"/>
      <c r="K17" s="68">
        <v>38774.408554896399</v>
      </c>
      <c r="L17" s="68">
        <v>34390.945779961396</v>
      </c>
      <c r="M17" s="68">
        <v>40075.214845092371</v>
      </c>
      <c r="N17" s="68">
        <v>44544.126073032407</v>
      </c>
      <c r="O17" s="68">
        <v>44001.296150386865</v>
      </c>
      <c r="P17" s="68">
        <v>38191.057870624223</v>
      </c>
      <c r="Q17" s="68">
        <v>46261.817172264404</v>
      </c>
      <c r="R17" s="68">
        <v>23703.397132754399</v>
      </c>
      <c r="S17" s="68">
        <v>24923.849109277551</v>
      </c>
      <c r="T17" s="68">
        <v>30899.581263993186</v>
      </c>
      <c r="U17" s="68">
        <v>40469.764935390725</v>
      </c>
      <c r="V17" s="68">
        <v>39596.507951920474</v>
      </c>
      <c r="W17" s="68">
        <v>43718.224452200571</v>
      </c>
      <c r="X17" s="68">
        <v>49737.25217900295</v>
      </c>
      <c r="Y17" s="68">
        <v>29149.018497403744</v>
      </c>
      <c r="Z17" s="68">
        <v>38041.248898366575</v>
      </c>
      <c r="AA17" s="68">
        <v>46629.475705122575</v>
      </c>
      <c r="AB17" s="68">
        <v>51115.983238292727</v>
      </c>
      <c r="AC17" s="68">
        <v>44107.469868173255</v>
      </c>
    </row>
    <row r="18" spans="1:29" s="31" customFormat="1" ht="18" customHeight="1" x14ac:dyDescent="0.2">
      <c r="A18" s="73"/>
      <c r="B18" s="73"/>
      <c r="C18" s="73"/>
      <c r="D18" s="382" t="s">
        <v>80</v>
      </c>
      <c r="E18" s="382"/>
      <c r="F18" s="382"/>
      <c r="G18" s="382"/>
      <c r="H18" s="382"/>
      <c r="I18" s="382"/>
      <c r="J18" s="382"/>
      <c r="K18" s="69">
        <v>19389.145242803799</v>
      </c>
      <c r="L18" s="69">
        <v>19183.453237410071</v>
      </c>
      <c r="M18" s="69">
        <v>23823.04616199591</v>
      </c>
      <c r="N18" s="69">
        <v>39473.502064552311</v>
      </c>
      <c r="O18" s="69">
        <v>22631.792834088639</v>
      </c>
      <c r="P18" s="69">
        <v>15459.346546633838</v>
      </c>
      <c r="Q18" s="69">
        <v>21767.768232830025</v>
      </c>
      <c r="R18" s="69">
        <v>13366.215068868063</v>
      </c>
      <c r="S18" s="69">
        <v>10549.971192249088</v>
      </c>
      <c r="T18" s="69">
        <v>27334.904921771871</v>
      </c>
      <c r="U18" s="69">
        <v>8547.0610034925012</v>
      </c>
      <c r="V18" s="69">
        <v>11784.362764909471</v>
      </c>
      <c r="W18" s="69">
        <v>13485.62116502127</v>
      </c>
      <c r="X18" s="69">
        <v>13270.721597325897</v>
      </c>
      <c r="Y18" s="69">
        <v>7686.2456190410758</v>
      </c>
      <c r="Z18" s="69">
        <v>12003.41039433201</v>
      </c>
      <c r="AA18" s="69">
        <v>52708.228626658463</v>
      </c>
      <c r="AB18" s="69">
        <v>33655.747278382587</v>
      </c>
      <c r="AC18" s="69">
        <v>18397.070707070707</v>
      </c>
    </row>
    <row r="19" spans="1:29" s="31" customFormat="1" ht="18" customHeight="1" x14ac:dyDescent="0.2">
      <c r="A19" s="73"/>
      <c r="B19" s="73"/>
      <c r="C19" s="73"/>
      <c r="D19" s="382" t="s">
        <v>81</v>
      </c>
      <c r="E19" s="382"/>
      <c r="F19" s="382"/>
      <c r="G19" s="382"/>
      <c r="H19" s="382"/>
      <c r="I19" s="382"/>
      <c r="J19" s="382"/>
      <c r="K19" s="69">
        <v>7154.6912766424994</v>
      </c>
      <c r="L19" s="69">
        <v>8072.9952623267245</v>
      </c>
      <c r="M19" s="69">
        <v>7876.815637688097</v>
      </c>
      <c r="N19" s="69">
        <v>7416.8151901311894</v>
      </c>
      <c r="O19" s="69">
        <v>12590.399375549079</v>
      </c>
      <c r="P19" s="69">
        <v>6783.9368791297702</v>
      </c>
      <c r="Q19" s="69">
        <v>9184.6856353173516</v>
      </c>
      <c r="R19" s="69">
        <v>19231.872885408178</v>
      </c>
      <c r="S19" s="69">
        <v>3717.6678247067066</v>
      </c>
      <c r="T19" s="69">
        <v>5365.5392912589887</v>
      </c>
      <c r="U19" s="69">
        <v>6298.4575733775573</v>
      </c>
      <c r="V19" s="69">
        <v>6521.3986755104715</v>
      </c>
      <c r="W19" s="69">
        <v>6305.5764996523167</v>
      </c>
      <c r="X19" s="69">
        <v>8572.3071715208898</v>
      </c>
      <c r="Y19" s="69">
        <v>3664.4711890595704</v>
      </c>
      <c r="Z19" s="69">
        <v>5458.9839572007349</v>
      </c>
      <c r="AA19" s="69">
        <v>9924.5065459977159</v>
      </c>
      <c r="AB19" s="69">
        <v>12864.729566269223</v>
      </c>
      <c r="AC19" s="69">
        <v>8254.3408662900201</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326.01373993891485</v>
      </c>
      <c r="R20" s="69">
        <v>472.00411197898211</v>
      </c>
      <c r="S20" s="69">
        <v>1099.1454062601267</v>
      </c>
      <c r="T20" s="69">
        <v>3940.0935945977408</v>
      </c>
      <c r="U20" s="69">
        <v>1536.2362424593932</v>
      </c>
      <c r="V20" s="69">
        <v>1123.5343331792101</v>
      </c>
      <c r="W20" s="69">
        <v>2532.190904317376</v>
      </c>
      <c r="X20" s="69">
        <v>1591.8569318388429</v>
      </c>
      <c r="Y20" s="69">
        <v>944.94731207396194</v>
      </c>
      <c r="Z20" s="69"/>
      <c r="AA20" s="69"/>
      <c r="AB20" s="69"/>
      <c r="AC20" s="69"/>
    </row>
    <row r="21" spans="1:29" s="31" customFormat="1" ht="18" customHeight="1" x14ac:dyDescent="0.2">
      <c r="A21" s="73"/>
      <c r="B21" s="73"/>
      <c r="C21" s="73"/>
      <c r="D21" s="382" t="s">
        <v>82</v>
      </c>
      <c r="E21" s="382"/>
      <c r="F21" s="382"/>
      <c r="G21" s="382"/>
      <c r="H21" s="382"/>
      <c r="I21" s="382"/>
      <c r="J21" s="382"/>
      <c r="K21" s="69">
        <v>45115.725481579102</v>
      </c>
      <c r="L21" s="69">
        <v>39380.242147745223</v>
      </c>
      <c r="M21" s="69">
        <v>46424.617553151307</v>
      </c>
      <c r="N21" s="69">
        <v>40204.645631326872</v>
      </c>
      <c r="O21" s="69">
        <v>42456.348870018519</v>
      </c>
      <c r="P21" s="69">
        <v>61004.419883926144</v>
      </c>
      <c r="Q21" s="69">
        <v>58990.740983841351</v>
      </c>
      <c r="R21" s="69">
        <v>44665.777166017586</v>
      </c>
      <c r="S21" s="69">
        <v>38791.402889136996</v>
      </c>
      <c r="T21" s="69">
        <v>37682.194038204616</v>
      </c>
      <c r="U21" s="69">
        <v>73621.702302870297</v>
      </c>
      <c r="V21" s="69">
        <v>79211.426944524981</v>
      </c>
      <c r="W21" s="69">
        <v>49091.88956095984</v>
      </c>
      <c r="X21" s="69">
        <v>59394.357751722448</v>
      </c>
      <c r="Y21" s="69">
        <v>51814.134050022556</v>
      </c>
      <c r="Z21" s="69">
        <v>50603.188554799395</v>
      </c>
      <c r="AA21" s="69">
        <v>46733.230911167731</v>
      </c>
      <c r="AB21" s="69">
        <v>58130.668913081041</v>
      </c>
      <c r="AC21" s="69">
        <v>54306.414398219487</v>
      </c>
    </row>
    <row r="22" spans="1:29" s="31" customFormat="1" ht="18" customHeight="1" x14ac:dyDescent="0.2">
      <c r="A22" s="73"/>
      <c r="B22" s="73"/>
      <c r="C22" s="73"/>
      <c r="D22" s="382" t="s">
        <v>83</v>
      </c>
      <c r="E22" s="382"/>
      <c r="F22" s="382"/>
      <c r="G22" s="382"/>
      <c r="H22" s="382"/>
      <c r="I22" s="382"/>
      <c r="J22" s="382"/>
      <c r="K22" s="69">
        <v>485.38782685124096</v>
      </c>
      <c r="L22" s="69">
        <v>48.6927531145815</v>
      </c>
      <c r="M22" s="69">
        <v>422.47231450222097</v>
      </c>
      <c r="N22" s="69">
        <v>297.43176667351526</v>
      </c>
      <c r="O22" s="69">
        <v>596.15084352438885</v>
      </c>
      <c r="P22" s="69">
        <v>6.7572895187491946E-2</v>
      </c>
      <c r="Q22" s="69">
        <v>162.91501185621365</v>
      </c>
      <c r="R22" s="69">
        <v>829.35150858892985</v>
      </c>
      <c r="S22" s="69">
        <v>322.52871262040401</v>
      </c>
      <c r="T22" s="69">
        <v>1267.0391298299837</v>
      </c>
      <c r="U22" s="69">
        <v>501.20362984560273</v>
      </c>
      <c r="V22" s="69">
        <v>323.48034245655822</v>
      </c>
      <c r="W22" s="69">
        <v>1691.0199814408691</v>
      </c>
      <c r="X22" s="69">
        <v>1711.5234621475902</v>
      </c>
      <c r="Y22" s="69">
        <v>498.0768549770894</v>
      </c>
      <c r="Z22" s="69">
        <v>1492.054501299074</v>
      </c>
      <c r="AA22" s="69">
        <v>3401.7538880590455</v>
      </c>
      <c r="AB22" s="69">
        <v>2567.2770865733542</v>
      </c>
      <c r="AC22" s="69">
        <v>2546.3020886834447</v>
      </c>
    </row>
    <row r="23" spans="1:29" s="31" customFormat="1" ht="18" customHeight="1" x14ac:dyDescent="0.2">
      <c r="A23" s="73"/>
      <c r="B23" s="73"/>
      <c r="C23" s="73"/>
      <c r="D23" s="382" t="s">
        <v>363</v>
      </c>
      <c r="E23" s="382"/>
      <c r="F23" s="382"/>
      <c r="G23" s="382"/>
      <c r="H23" s="382"/>
      <c r="I23" s="382"/>
      <c r="J23" s="382"/>
      <c r="K23" s="69"/>
      <c r="L23" s="69"/>
      <c r="M23" s="69"/>
      <c r="N23" s="69"/>
      <c r="O23" s="69">
        <v>363.22523534884834</v>
      </c>
      <c r="P23" s="69">
        <v>531.93541800249716</v>
      </c>
      <c r="Q23" s="69">
        <v>497.63521076492503</v>
      </c>
      <c r="R23" s="69">
        <v>139.2659898423575</v>
      </c>
      <c r="S23" s="69">
        <v>1541.132269410429</v>
      </c>
      <c r="T23" s="69">
        <v>468.40284434976405</v>
      </c>
      <c r="U23" s="69">
        <v>498.94855587669963</v>
      </c>
      <c r="V23" s="69">
        <v>2347.1495443483</v>
      </c>
      <c r="W23" s="69">
        <v>3517.606155754625</v>
      </c>
      <c r="X23" s="69">
        <v>941.80184058119926</v>
      </c>
      <c r="Y23" s="69">
        <v>550.4767143699828</v>
      </c>
      <c r="Z23" s="69">
        <v>11170.699672991646</v>
      </c>
      <c r="AA23" s="69">
        <v>11164.40075564538</v>
      </c>
      <c r="AB23" s="69">
        <v>2425.2886642474368</v>
      </c>
      <c r="AC23" s="69">
        <v>9212.8947954117502</v>
      </c>
    </row>
    <row r="24" spans="1:29" s="31" customFormat="1" ht="18" customHeight="1" x14ac:dyDescent="0.2">
      <c r="A24" s="73"/>
      <c r="B24" s="73"/>
      <c r="C24" s="73"/>
      <c r="D24" s="380" t="s">
        <v>364</v>
      </c>
      <c r="E24" s="380"/>
      <c r="F24" s="380"/>
      <c r="G24" s="380"/>
      <c r="H24" s="380"/>
      <c r="I24" s="380"/>
      <c r="J24" s="380"/>
      <c r="K24" s="70"/>
      <c r="L24" s="70"/>
      <c r="M24" s="70"/>
      <c r="N24" s="70">
        <v>-3102.4046585987908</v>
      </c>
      <c r="O24" s="70">
        <v>-16949.289399769936</v>
      </c>
      <c r="P24" s="70">
        <v>-19149.057169874035</v>
      </c>
      <c r="Q24" s="70">
        <v>-31112.357015068501</v>
      </c>
      <c r="R24" s="70">
        <v>-23485.191180245063</v>
      </c>
      <c r="S24" s="70">
        <v>-6754.795736009678</v>
      </c>
      <c r="T24" s="70">
        <v>-18837.995289683982</v>
      </c>
      <c r="U24" s="70">
        <v>-5441.5982477716288</v>
      </c>
      <c r="V24" s="70">
        <v>-6578.8544280639962</v>
      </c>
      <c r="W24" s="70">
        <v>-15925.762469135016</v>
      </c>
      <c r="X24" s="70">
        <v>-18903.070275965347</v>
      </c>
      <c r="Y24" s="70">
        <v>-7093.9591842587461</v>
      </c>
      <c r="Z24" s="70">
        <v>-12803.778456905224</v>
      </c>
      <c r="AA24" s="70">
        <v>-53273.667428169756</v>
      </c>
      <c r="AB24" s="70">
        <v>-33439.924745118369</v>
      </c>
      <c r="AC24" s="70">
        <v>-17906.159818524222</v>
      </c>
    </row>
    <row r="25" spans="1:29" s="31" customFormat="1" ht="18" customHeight="1" x14ac:dyDescent="0.2">
      <c r="A25" s="73"/>
      <c r="B25" s="73"/>
      <c r="C25" s="381" t="s">
        <v>84</v>
      </c>
      <c r="D25" s="343"/>
      <c r="E25" s="343"/>
      <c r="F25" s="343"/>
      <c r="G25" s="343"/>
      <c r="H25" s="343"/>
      <c r="I25" s="343"/>
      <c r="J25" s="343"/>
      <c r="K25" s="71">
        <v>1801.21584999634</v>
      </c>
      <c r="L25" s="71">
        <v>1187.8399719248991</v>
      </c>
      <c r="M25" s="71">
        <v>910.69382058678411</v>
      </c>
      <c r="N25" s="71">
        <v>1241.5345388213354</v>
      </c>
      <c r="O25" s="71">
        <v>3560.326647425421</v>
      </c>
      <c r="P25" s="71">
        <v>2115.0391246440986</v>
      </c>
      <c r="Q25" s="71">
        <v>1540.1315985776987</v>
      </c>
      <c r="R25" s="71">
        <v>1340.4578227533805</v>
      </c>
      <c r="S25" s="71">
        <v>2378.607554771615</v>
      </c>
      <c r="T25" s="71">
        <v>1270.9341759371123</v>
      </c>
      <c r="U25" s="71">
        <v>1798.8479817940222</v>
      </c>
      <c r="V25" s="71">
        <v>5693.3447806069871</v>
      </c>
      <c r="W25" s="71">
        <v>2831.52461718927</v>
      </c>
      <c r="X25" s="71">
        <v>2258.0638503755672</v>
      </c>
      <c r="Y25" s="71">
        <v>3404.9693295691086</v>
      </c>
      <c r="Z25" s="71">
        <v>2610.7780933916879</v>
      </c>
      <c r="AA25" s="71">
        <v>3043.4893243124502</v>
      </c>
      <c r="AB25" s="71">
        <v>3071.1659754622433</v>
      </c>
      <c r="AC25" s="71">
        <v>4508.420133538777</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1311.681982743253</v>
      </c>
      <c r="AA26" s="211">
        <v>1909.503910025481</v>
      </c>
      <c r="AB26" s="211">
        <v>1935.3378261620874</v>
      </c>
      <c r="AC26" s="211">
        <v>1604.1088854648178</v>
      </c>
    </row>
    <row r="27" spans="1:29" s="31" customFormat="1" ht="18" customHeight="1" x14ac:dyDescent="0.2">
      <c r="A27" s="73"/>
      <c r="B27" s="73"/>
      <c r="C27" s="381" t="s">
        <v>85</v>
      </c>
      <c r="D27" s="381"/>
      <c r="E27" s="381"/>
      <c r="F27" s="381"/>
      <c r="G27" s="381"/>
      <c r="H27" s="381"/>
      <c r="I27" s="381"/>
      <c r="J27" s="381"/>
      <c r="K27" s="211">
        <v>26849.556873947098</v>
      </c>
      <c r="L27" s="211">
        <v>29166.871380944027</v>
      </c>
      <c r="M27" s="211">
        <v>44447.375848928124</v>
      </c>
      <c r="N27" s="211">
        <v>45080.165960532911</v>
      </c>
      <c r="O27" s="211">
        <v>58169.232247170461</v>
      </c>
      <c r="P27" s="211">
        <v>27117.363303162965</v>
      </c>
      <c r="Q27" s="211">
        <v>43653.48407197214</v>
      </c>
      <c r="R27" s="211">
        <v>28317.853002273674</v>
      </c>
      <c r="S27" s="211">
        <v>25370.424953594727</v>
      </c>
      <c r="T27" s="211">
        <v>25503.048242547102</v>
      </c>
      <c r="U27" s="211">
        <v>38119.97888566777</v>
      </c>
      <c r="V27" s="211">
        <v>53202.642649354282</v>
      </c>
      <c r="W27" s="211">
        <v>37127.470464052654</v>
      </c>
      <c r="X27" s="211">
        <v>84728.65184309888</v>
      </c>
      <c r="Y27" s="211">
        <v>55990.826103473366</v>
      </c>
      <c r="Z27" s="211">
        <v>40455.857229436406</v>
      </c>
      <c r="AA27" s="211">
        <v>69369.911255601444</v>
      </c>
      <c r="AB27" s="211">
        <v>69280.288664247448</v>
      </c>
      <c r="AC27" s="211">
        <v>55006.961736004116</v>
      </c>
    </row>
    <row r="28" spans="1:29" s="31" customFormat="1" ht="18" customHeight="1" x14ac:dyDescent="0.2">
      <c r="A28" s="74"/>
      <c r="B28" s="343" t="s">
        <v>86</v>
      </c>
      <c r="C28" s="343"/>
      <c r="D28" s="343"/>
      <c r="E28" s="343"/>
      <c r="F28" s="343"/>
      <c r="G28" s="343"/>
      <c r="H28" s="343"/>
      <c r="I28" s="343"/>
      <c r="J28" s="343"/>
      <c r="K28" s="71">
        <v>1735.5160038086899</v>
      </c>
      <c r="L28" s="71">
        <v>10651.868748903316</v>
      </c>
      <c r="M28" s="71">
        <v>1032.5577362666809</v>
      </c>
      <c r="N28" s="71">
        <v>640.22137508523542</v>
      </c>
      <c r="O28" s="71">
        <v>1314.2969798873135</v>
      </c>
      <c r="P28" s="71">
        <v>620.46573021134259</v>
      </c>
      <c r="Q28" s="71">
        <v>1979.0358354171785</v>
      </c>
      <c r="R28" s="71">
        <v>668.04398552970918</v>
      </c>
      <c r="S28" s="71">
        <v>1304.0760727011261</v>
      </c>
      <c r="T28" s="71">
        <v>3602.7107640406903</v>
      </c>
      <c r="U28" s="71">
        <v>1053.2221390807827</v>
      </c>
      <c r="V28" s="71">
        <v>1097.2523768590875</v>
      </c>
      <c r="W28" s="71">
        <v>2712.3957176484055</v>
      </c>
      <c r="X28" s="71">
        <v>2653.1591386403907</v>
      </c>
      <c r="Y28" s="71">
        <v>207.81778663795865</v>
      </c>
      <c r="Z28" s="71">
        <v>961.12356193258358</v>
      </c>
      <c r="AA28" s="71">
        <v>1623.7256831561374</v>
      </c>
      <c r="AB28" s="71">
        <v>1531.7006220839812</v>
      </c>
      <c r="AC28" s="71">
        <v>2411.071391884951</v>
      </c>
    </row>
    <row r="29" spans="1:29" s="31" customFormat="1" ht="18" customHeight="1" x14ac:dyDescent="0.2">
      <c r="A29" s="383" t="s">
        <v>87</v>
      </c>
      <c r="B29" s="383"/>
      <c r="C29" s="383"/>
      <c r="D29" s="383"/>
      <c r="E29" s="383"/>
      <c r="F29" s="383"/>
      <c r="G29" s="383"/>
      <c r="H29" s="383"/>
      <c r="I29" s="383"/>
      <c r="J29" s="383"/>
      <c r="K29" s="188">
        <v>334715.30066651996</v>
      </c>
      <c r="L29" s="188">
        <v>399861.46692402178</v>
      </c>
      <c r="M29" s="188">
        <v>319852.41834279191</v>
      </c>
      <c r="N29" s="188">
        <v>439059.22196947178</v>
      </c>
      <c r="O29" s="188">
        <v>411519.75988188828</v>
      </c>
      <c r="P29" s="188">
        <v>369989.18656978931</v>
      </c>
      <c r="Q29" s="188">
        <v>446569.74313855846</v>
      </c>
      <c r="R29" s="188">
        <v>330492.52988703322</v>
      </c>
      <c r="S29" s="188">
        <v>348078.36616399197</v>
      </c>
      <c r="T29" s="188">
        <v>304542.12343026209</v>
      </c>
      <c r="U29" s="188">
        <v>448015.96336202318</v>
      </c>
      <c r="V29" s="188">
        <v>517153.43705443107</v>
      </c>
      <c r="W29" s="188">
        <v>401737.60723348631</v>
      </c>
      <c r="X29" s="188">
        <v>482089.5581289659</v>
      </c>
      <c r="Y29" s="188">
        <v>423570.72605710692</v>
      </c>
      <c r="Z29" s="188">
        <v>450120.16656572366</v>
      </c>
      <c r="AA29" s="188">
        <v>503626.13329232932</v>
      </c>
      <c r="AB29" s="188">
        <v>534228.98246068764</v>
      </c>
      <c r="AC29" s="188">
        <v>533482.99974319467</v>
      </c>
    </row>
    <row r="30" spans="1:29" s="31" customFormat="1" ht="18" customHeight="1" x14ac:dyDescent="0.2">
      <c r="A30" s="73"/>
      <c r="B30" s="381" t="s">
        <v>88</v>
      </c>
      <c r="C30" s="381"/>
      <c r="D30" s="381"/>
      <c r="E30" s="381"/>
      <c r="F30" s="381"/>
      <c r="G30" s="381"/>
      <c r="H30" s="381"/>
      <c r="I30" s="381"/>
      <c r="J30" s="381"/>
      <c r="K30" s="211">
        <v>232420.49366439602</v>
      </c>
      <c r="L30" s="211">
        <v>239770.66151956483</v>
      </c>
      <c r="M30" s="211">
        <v>211301.51339668961</v>
      </c>
      <c r="N30" s="211">
        <v>299953.06316659745</v>
      </c>
      <c r="O30" s="211">
        <v>219945.11217140753</v>
      </c>
      <c r="P30" s="211">
        <v>229581.38348331413</v>
      </c>
      <c r="Q30" s="211">
        <v>252043.5853315116</v>
      </c>
      <c r="R30" s="211">
        <v>193230.85373826348</v>
      </c>
      <c r="S30" s="211">
        <v>215175.23771263339</v>
      </c>
      <c r="T30" s="211">
        <v>200117.25642156738</v>
      </c>
      <c r="U30" s="211">
        <v>218613.90182089867</v>
      </c>
      <c r="V30" s="211">
        <v>269525.04792397027</v>
      </c>
      <c r="W30" s="211">
        <v>227171.06868133586</v>
      </c>
      <c r="X30" s="211">
        <v>249026.77406452302</v>
      </c>
      <c r="Y30" s="211">
        <v>224514.55138701978</v>
      </c>
      <c r="Z30" s="211">
        <v>257208.86967707254</v>
      </c>
      <c r="AA30" s="211">
        <v>236867.36350057114</v>
      </c>
      <c r="AB30" s="211">
        <v>268303.90997062379</v>
      </c>
      <c r="AC30" s="211">
        <v>333402.90010272211</v>
      </c>
    </row>
    <row r="31" spans="1:29" s="31" customFormat="1" ht="18" customHeight="1" x14ac:dyDescent="0.2">
      <c r="A31" s="73"/>
      <c r="B31" s="73"/>
      <c r="C31" s="381" t="s">
        <v>89</v>
      </c>
      <c r="D31" s="381"/>
      <c r="E31" s="381"/>
      <c r="F31" s="381"/>
      <c r="G31" s="381"/>
      <c r="H31" s="381"/>
      <c r="I31" s="381"/>
      <c r="J31" s="381"/>
      <c r="K31" s="211">
        <v>133888.44942503498</v>
      </c>
      <c r="L31" s="211">
        <v>150815.14300754518</v>
      </c>
      <c r="M31" s="211">
        <v>119197.70116538607</v>
      </c>
      <c r="N31" s="211">
        <v>195061.07795377393</v>
      </c>
      <c r="O31" s="211">
        <v>136846.44735619859</v>
      </c>
      <c r="P31" s="211">
        <v>125555.77559970916</v>
      </c>
      <c r="Q31" s="211">
        <v>142268.11261092548</v>
      </c>
      <c r="R31" s="211">
        <v>111760.21351950399</v>
      </c>
      <c r="S31" s="211">
        <v>108035.55692710333</v>
      </c>
      <c r="T31" s="211">
        <v>95074.944668971089</v>
      </c>
      <c r="U31" s="211">
        <v>97806.008163297345</v>
      </c>
      <c r="V31" s="211">
        <v>167959.83595088206</v>
      </c>
      <c r="W31" s="211">
        <v>134029.05138460972</v>
      </c>
      <c r="X31" s="211">
        <v>135134.59039879355</v>
      </c>
      <c r="Y31" s="211">
        <v>124763.91588849493</v>
      </c>
      <c r="Z31" s="211">
        <v>161988.1884005912</v>
      </c>
      <c r="AA31" s="211">
        <v>149329.68675863283</v>
      </c>
      <c r="AB31" s="211">
        <v>140275.50699844479</v>
      </c>
      <c r="AC31" s="211">
        <v>165467.35088169834</v>
      </c>
    </row>
    <row r="32" spans="1:29" s="31" customFormat="1" ht="18" customHeight="1" x14ac:dyDescent="0.2">
      <c r="A32" s="73"/>
      <c r="B32" s="73"/>
      <c r="C32" s="73"/>
      <c r="D32" s="390" t="s">
        <v>90</v>
      </c>
      <c r="E32" s="390"/>
      <c r="F32" s="390"/>
      <c r="G32" s="390"/>
      <c r="H32" s="390"/>
      <c r="I32" s="390"/>
      <c r="J32" s="390"/>
      <c r="K32" s="68">
        <v>58835.933494470097</v>
      </c>
      <c r="L32" s="68">
        <v>63581.856466046673</v>
      </c>
      <c r="M32" s="68">
        <v>53670.388044204628</v>
      </c>
      <c r="N32" s="68">
        <v>106544.72294139687</v>
      </c>
      <c r="O32" s="68">
        <v>70194.474148613765</v>
      </c>
      <c r="P32" s="68">
        <v>60786.117249184383</v>
      </c>
      <c r="Q32" s="68">
        <v>71918.183487442962</v>
      </c>
      <c r="R32" s="68">
        <v>47811.972860396207</v>
      </c>
      <c r="S32" s="68">
        <v>54743.309465107515</v>
      </c>
      <c r="T32" s="68">
        <v>37799.357418395455</v>
      </c>
      <c r="U32" s="68">
        <v>41531.890965300932</v>
      </c>
      <c r="V32" s="68">
        <v>82051.451367190923</v>
      </c>
      <c r="W32" s="68">
        <v>62932.724077380932</v>
      </c>
      <c r="X32" s="68">
        <v>57692.896381345956</v>
      </c>
      <c r="Y32" s="68">
        <v>57242.562438133871</v>
      </c>
      <c r="Z32" s="68">
        <v>62868.15698306261</v>
      </c>
      <c r="AA32" s="68">
        <v>67186.431245057553</v>
      </c>
      <c r="AB32" s="68">
        <v>62541.701226887853</v>
      </c>
      <c r="AC32" s="68">
        <v>80835.662300975862</v>
      </c>
    </row>
    <row r="33" spans="1:29" s="31" customFormat="1" ht="18" customHeight="1" x14ac:dyDescent="0.2">
      <c r="A33" s="73"/>
      <c r="B33" s="73"/>
      <c r="C33" s="73"/>
      <c r="D33" s="382" t="s">
        <v>91</v>
      </c>
      <c r="E33" s="382"/>
      <c r="F33" s="382"/>
      <c r="G33" s="382"/>
      <c r="H33" s="382"/>
      <c r="I33" s="382"/>
      <c r="J33" s="382"/>
      <c r="K33" s="69">
        <v>30045.045045045001</v>
      </c>
      <c r="L33" s="69">
        <v>55934.198982277594</v>
      </c>
      <c r="M33" s="69">
        <v>30398.58960892625</v>
      </c>
      <c r="N33" s="69">
        <v>39345.404478686811</v>
      </c>
      <c r="O33" s="69">
        <v>29020.477729224098</v>
      </c>
      <c r="P33" s="69">
        <v>29274.489128218524</v>
      </c>
      <c r="Q33" s="69">
        <v>35103.464539729612</v>
      </c>
      <c r="R33" s="69">
        <v>26697.92723004632</v>
      </c>
      <c r="S33" s="69">
        <v>20541.912237123102</v>
      </c>
      <c r="T33" s="69">
        <v>17796.72000551836</v>
      </c>
      <c r="U33" s="69">
        <v>15257.04641513995</v>
      </c>
      <c r="V33" s="69">
        <v>26641.251466652</v>
      </c>
      <c r="W33" s="69">
        <v>25948.040483126573</v>
      </c>
      <c r="X33" s="69">
        <v>35031.044910750097</v>
      </c>
      <c r="Y33" s="69">
        <v>22196.786747993745</v>
      </c>
      <c r="Z33" s="69">
        <v>36381.800813357841</v>
      </c>
      <c r="AA33" s="69">
        <v>26509.164045338723</v>
      </c>
      <c r="AB33" s="69">
        <v>25444.0102816658</v>
      </c>
      <c r="AC33" s="69">
        <v>26781.922530388631</v>
      </c>
    </row>
    <row r="34" spans="1:29" s="31" customFormat="1" ht="18" customHeight="1" x14ac:dyDescent="0.2">
      <c r="A34" s="73"/>
      <c r="B34" s="73"/>
      <c r="C34" s="73"/>
      <c r="D34" s="382" t="s">
        <v>92</v>
      </c>
      <c r="E34" s="382"/>
      <c r="F34" s="382"/>
      <c r="G34" s="382"/>
      <c r="H34" s="382"/>
      <c r="I34" s="382"/>
      <c r="J34" s="382"/>
      <c r="K34" s="69">
        <v>13916.355379770001</v>
      </c>
      <c r="L34" s="69">
        <v>6131.338831373926</v>
      </c>
      <c r="M34" s="69">
        <v>7416.1556629384831</v>
      </c>
      <c r="N34" s="69">
        <v>11909.96195054549</v>
      </c>
      <c r="O34" s="69">
        <v>7040.2280166732817</v>
      </c>
      <c r="P34" s="69">
        <v>17582.440067270847</v>
      </c>
      <c r="Q34" s="69">
        <v>8935.1257795542206</v>
      </c>
      <c r="R34" s="69">
        <v>10539.995587240161</v>
      </c>
      <c r="S34" s="69">
        <v>9839.9068277279785</v>
      </c>
      <c r="T34" s="69">
        <v>11123.823456759452</v>
      </c>
      <c r="U34" s="69">
        <v>7660.1446407829026</v>
      </c>
      <c r="V34" s="69">
        <v>9584.8920603374117</v>
      </c>
      <c r="W34" s="69">
        <v>7560.0109753943134</v>
      </c>
      <c r="X34" s="69">
        <v>6368.6794695166327</v>
      </c>
      <c r="Y34" s="69">
        <v>10188.756982218478</v>
      </c>
      <c r="Z34" s="69">
        <v>24345.244689753217</v>
      </c>
      <c r="AA34" s="69">
        <v>15908.254371320621</v>
      </c>
      <c r="AB34" s="69">
        <v>9927.8301365128737</v>
      </c>
      <c r="AC34" s="69">
        <v>17853.979198767334</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570.8148370283667</v>
      </c>
      <c r="R35" s="69">
        <v>42.052903335000437</v>
      </c>
      <c r="S35" s="69">
        <v>319.00951997431821</v>
      </c>
      <c r="T35" s="69">
        <v>946.36256045277105</v>
      </c>
      <c r="U35" s="69">
        <v>128.13431861723635</v>
      </c>
      <c r="V35" s="69">
        <v>143.88982413877815</v>
      </c>
      <c r="W35" s="69">
        <v>2635.5179666488507</v>
      </c>
      <c r="X35" s="69">
        <v>367.17924275384308</v>
      </c>
      <c r="Y35" s="69">
        <v>1160.8549738940176</v>
      </c>
      <c r="Z35" s="69"/>
      <c r="AA35" s="69"/>
      <c r="AB35" s="69"/>
      <c r="AC35" s="69"/>
    </row>
    <row r="36" spans="1:29" s="31" customFormat="1" ht="18" customHeight="1" x14ac:dyDescent="0.2">
      <c r="A36" s="73"/>
      <c r="B36" s="73"/>
      <c r="C36" s="73"/>
      <c r="D36" s="380" t="s">
        <v>93</v>
      </c>
      <c r="E36" s="380"/>
      <c r="F36" s="380"/>
      <c r="G36" s="380"/>
      <c r="H36" s="380"/>
      <c r="I36" s="380"/>
      <c r="J36" s="380"/>
      <c r="K36" s="70">
        <v>31091.115505749698</v>
      </c>
      <c r="L36" s="70">
        <v>25167.748727846993</v>
      </c>
      <c r="M36" s="70">
        <v>27712.567849316838</v>
      </c>
      <c r="N36" s="70">
        <v>37260.988583144746</v>
      </c>
      <c r="O36" s="70">
        <v>30591.267461687967</v>
      </c>
      <c r="P36" s="70">
        <v>17912.729155035227</v>
      </c>
      <c r="Q36" s="70">
        <v>25740.523967169807</v>
      </c>
      <c r="R36" s="70">
        <v>26668.264938486296</v>
      </c>
      <c r="S36" s="70">
        <v>22591.418877170483</v>
      </c>
      <c r="T36" s="70">
        <v>27408.681227844991</v>
      </c>
      <c r="U36" s="70">
        <v>33228.791823456355</v>
      </c>
      <c r="V36" s="70">
        <v>49538.351232562956</v>
      </c>
      <c r="W36" s="70">
        <v>34952.757882059079</v>
      </c>
      <c r="X36" s="70">
        <v>35674.790394426942</v>
      </c>
      <c r="Y36" s="70">
        <v>33974.954746254756</v>
      </c>
      <c r="Z36" s="70">
        <v>38392.985914417528</v>
      </c>
      <c r="AA36" s="70">
        <v>39725.83709691593</v>
      </c>
      <c r="AB36" s="70">
        <v>42361.965353378269</v>
      </c>
      <c r="AC36" s="70">
        <v>39995.786851566503</v>
      </c>
    </row>
    <row r="37" spans="1:29" s="31" customFormat="1" ht="18" customHeight="1" x14ac:dyDescent="0.2">
      <c r="A37" s="73"/>
      <c r="B37" s="73"/>
      <c r="C37" s="381" t="s">
        <v>94</v>
      </c>
      <c r="D37" s="381"/>
      <c r="E37" s="381"/>
      <c r="F37" s="381"/>
      <c r="G37" s="381"/>
      <c r="H37" s="381"/>
      <c r="I37" s="381"/>
      <c r="J37" s="381"/>
      <c r="K37" s="211">
        <v>98532.04423936129</v>
      </c>
      <c r="L37" s="211">
        <v>88955.518512019655</v>
      </c>
      <c r="M37" s="211">
        <v>92103.812231303556</v>
      </c>
      <c r="N37" s="211">
        <v>104891.98521282384</v>
      </c>
      <c r="O37" s="211">
        <v>83098.664815208016</v>
      </c>
      <c r="P37" s="211">
        <v>104025.60788360592</v>
      </c>
      <c r="Q37" s="211">
        <v>109775.47272058614</v>
      </c>
      <c r="R37" s="211">
        <v>81470.640218759436</v>
      </c>
      <c r="S37" s="211">
        <v>107139.68078552987</v>
      </c>
      <c r="T37" s="211">
        <v>105042.31175259642</v>
      </c>
      <c r="U37" s="211">
        <v>120807.89365760158</v>
      </c>
      <c r="V37" s="211">
        <v>101565.21197308843</v>
      </c>
      <c r="W37" s="211">
        <v>93142.017296726015</v>
      </c>
      <c r="X37" s="211">
        <v>113892.18366572936</v>
      </c>
      <c r="Y37" s="211">
        <v>99750.635498524993</v>
      </c>
      <c r="Z37" s="211">
        <v>95220.681276480784</v>
      </c>
      <c r="AA37" s="211">
        <v>87537.67674193831</v>
      </c>
      <c r="AB37" s="211">
        <v>128028.40297217904</v>
      </c>
      <c r="AC37" s="211">
        <v>167935.5492210238</v>
      </c>
    </row>
    <row r="38" spans="1:29" s="31" customFormat="1" ht="18" customHeight="1" x14ac:dyDescent="0.2">
      <c r="A38" s="73"/>
      <c r="B38" s="73"/>
      <c r="C38" s="73"/>
      <c r="D38" s="390" t="s">
        <v>95</v>
      </c>
      <c r="E38" s="390"/>
      <c r="F38" s="390"/>
      <c r="G38" s="390"/>
      <c r="H38" s="390"/>
      <c r="I38" s="390"/>
      <c r="J38" s="390"/>
      <c r="K38" s="68">
        <v>2242.3643155350501</v>
      </c>
      <c r="L38" s="68">
        <v>6655.8168099666609</v>
      </c>
      <c r="M38" s="68">
        <v>6378.3571737947714</v>
      </c>
      <c r="N38" s="68">
        <v>4182.1886193765276</v>
      </c>
      <c r="O38" s="68">
        <v>9356.3317643705996</v>
      </c>
      <c r="P38" s="68">
        <v>6339.4710335990731</v>
      </c>
      <c r="Q38" s="68">
        <v>10832.01180679836</v>
      </c>
      <c r="R38" s="68">
        <v>2203.3198910792294</v>
      </c>
      <c r="S38" s="68">
        <v>7084.1325511278383</v>
      </c>
      <c r="T38" s="68">
        <v>3241.1944800256192</v>
      </c>
      <c r="U38" s="68">
        <v>4546.4263741427767</v>
      </c>
      <c r="V38" s="68">
        <v>2498.3092319270368</v>
      </c>
      <c r="W38" s="68">
        <v>2197.6538974442296</v>
      </c>
      <c r="X38" s="68">
        <v>2063.0923974657421</v>
      </c>
      <c r="Y38" s="68">
        <v>3005.0556637036138</v>
      </c>
      <c r="Z38" s="68">
        <v>2262.7079686688735</v>
      </c>
      <c r="AA38" s="68">
        <v>3749.7510763553291</v>
      </c>
      <c r="AB38" s="68">
        <v>4176.1750475203044</v>
      </c>
      <c r="AC38" s="68">
        <v>2151.071563088512</v>
      </c>
    </row>
    <row r="39" spans="1:29" s="31" customFormat="1" ht="18" customHeight="1" x14ac:dyDescent="0.2">
      <c r="A39" s="73"/>
      <c r="B39" s="73"/>
      <c r="C39" s="73"/>
      <c r="D39" s="382" t="s">
        <v>96</v>
      </c>
      <c r="E39" s="382"/>
      <c r="F39" s="382"/>
      <c r="G39" s="382"/>
      <c r="H39" s="382"/>
      <c r="I39" s="382"/>
      <c r="J39" s="382"/>
      <c r="K39" s="69">
        <v>63350.911887497292</v>
      </c>
      <c r="L39" s="69">
        <v>56721.003684856994</v>
      </c>
      <c r="M39" s="69">
        <v>74829.998135713657</v>
      </c>
      <c r="N39" s="69">
        <v>62361.190176299788</v>
      </c>
      <c r="O39" s="69">
        <v>51478.862184446931</v>
      </c>
      <c r="P39" s="69">
        <v>78125.191833721168</v>
      </c>
      <c r="Q39" s="69">
        <v>73347.825329408108</v>
      </c>
      <c r="R39" s="69">
        <v>60417.52348191441</v>
      </c>
      <c r="S39" s="69">
        <v>69940.672256381047</v>
      </c>
      <c r="T39" s="69">
        <v>60280.64559424192</v>
      </c>
      <c r="U39" s="69">
        <v>65326.779293193242</v>
      </c>
      <c r="V39" s="69">
        <v>76375.406068080221</v>
      </c>
      <c r="W39" s="69">
        <v>71937.371579962564</v>
      </c>
      <c r="X39" s="69">
        <v>88137.921193350092</v>
      </c>
      <c r="Y39" s="69">
        <v>76879.001651333296</v>
      </c>
      <c r="Z39" s="69">
        <v>66139.136159123649</v>
      </c>
      <c r="AA39" s="69">
        <v>60100.313768561631</v>
      </c>
      <c r="AB39" s="69">
        <v>85991.392344911001</v>
      </c>
      <c r="AC39" s="69">
        <v>138314.21152199965</v>
      </c>
    </row>
    <row r="40" spans="1:29" s="31" customFormat="1" ht="18" customHeight="1" x14ac:dyDescent="0.2">
      <c r="A40" s="73"/>
      <c r="B40" s="73"/>
      <c r="C40" s="73"/>
      <c r="D40" s="382" t="s">
        <v>97</v>
      </c>
      <c r="E40" s="382"/>
      <c r="F40" s="382"/>
      <c r="G40" s="382"/>
      <c r="H40" s="382"/>
      <c r="I40" s="382"/>
      <c r="J40" s="382"/>
      <c r="K40" s="69">
        <v>16156.375888083201</v>
      </c>
      <c r="L40" s="69">
        <v>8387.2609229689424</v>
      </c>
      <c r="M40" s="69">
        <v>6064.0938897555488</v>
      </c>
      <c r="N40" s="69">
        <v>25617.982926022603</v>
      </c>
      <c r="O40" s="69">
        <v>12790.277516530128</v>
      </c>
      <c r="P40" s="69">
        <v>13098.646892176628</v>
      </c>
      <c r="Q40" s="69">
        <v>15530.687291281945</v>
      </c>
      <c r="R40" s="69">
        <v>7085.507863688149</v>
      </c>
      <c r="S40" s="69">
        <v>6032.6180053361695</v>
      </c>
      <c r="T40" s="69">
        <v>10435.554233270052</v>
      </c>
      <c r="U40" s="69">
        <v>9286.9747757616788</v>
      </c>
      <c r="V40" s="69">
        <v>9754.1091454614107</v>
      </c>
      <c r="W40" s="69">
        <v>6418.9370207273887</v>
      </c>
      <c r="X40" s="69">
        <v>6033.0552393896123</v>
      </c>
      <c r="Y40" s="69">
        <v>7546.2571317928878</v>
      </c>
      <c r="Z40" s="69">
        <v>16549.926702725861</v>
      </c>
      <c r="AA40" s="69">
        <v>11877.445918636324</v>
      </c>
      <c r="AB40" s="69">
        <v>16618.687575600481</v>
      </c>
      <c r="AC40" s="69">
        <v>10443.356959424756</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223.2856995170101</v>
      </c>
      <c r="R41" s="69">
        <v>339.50962310444061</v>
      </c>
      <c r="S41" s="69">
        <v>1128.8118309781323</v>
      </c>
      <c r="T41" s="69">
        <v>2569.9391769628801</v>
      </c>
      <c r="U41" s="69">
        <v>912.96532684852923</v>
      </c>
      <c r="V41" s="69">
        <v>1125.3145312509114</v>
      </c>
      <c r="W41" s="69">
        <v>848.76226447070314</v>
      </c>
      <c r="X41" s="69">
        <v>760.64440227286366</v>
      </c>
      <c r="Y41" s="69">
        <v>546.35934220938259</v>
      </c>
      <c r="Z41" s="69"/>
      <c r="AA41" s="69"/>
      <c r="AB41" s="69"/>
      <c r="AC41" s="69"/>
    </row>
    <row r="42" spans="1:29" s="31" customFormat="1" ht="18" customHeight="1" x14ac:dyDescent="0.2">
      <c r="A42" s="73"/>
      <c r="B42" s="73"/>
      <c r="C42" s="73"/>
      <c r="D42" s="380" t="s">
        <v>98</v>
      </c>
      <c r="E42" s="380"/>
      <c r="F42" s="380"/>
      <c r="G42" s="380"/>
      <c r="H42" s="380"/>
      <c r="I42" s="380"/>
      <c r="J42" s="380"/>
      <c r="K42" s="70">
        <v>16782.392148245799</v>
      </c>
      <c r="L42" s="70">
        <v>17191.349359536762</v>
      </c>
      <c r="M42" s="70">
        <v>4831.3630320398624</v>
      </c>
      <c r="N42" s="70">
        <v>12730.623491124892</v>
      </c>
      <c r="O42" s="70">
        <v>9473.1933498602575</v>
      </c>
      <c r="P42" s="70">
        <v>6462.2981241087309</v>
      </c>
      <c r="Q42" s="70">
        <v>9841.6625935809461</v>
      </c>
      <c r="R42" s="70">
        <v>11424.779358973197</v>
      </c>
      <c r="S42" s="70">
        <v>22953.446141706663</v>
      </c>
      <c r="T42" s="70">
        <v>28514.978268095892</v>
      </c>
      <c r="U42" s="70">
        <v>40734.747887655227</v>
      </c>
      <c r="V42" s="70">
        <v>11812.072996368841</v>
      </c>
      <c r="W42" s="70">
        <v>11739.292534121114</v>
      </c>
      <c r="X42" s="70">
        <v>16897.470433251099</v>
      </c>
      <c r="Y42" s="70">
        <v>11773.961709485871</v>
      </c>
      <c r="Z42" s="70">
        <v>10268.910445962407</v>
      </c>
      <c r="AA42" s="70">
        <v>11810.165978385019</v>
      </c>
      <c r="AB42" s="70">
        <v>21242.148004147268</v>
      </c>
      <c r="AC42" s="70">
        <v>17026.909176510875</v>
      </c>
    </row>
    <row r="43" spans="1:29" s="31" customFormat="1" ht="18" customHeight="1" x14ac:dyDescent="0.2">
      <c r="A43" s="73"/>
      <c r="B43" s="381" t="s">
        <v>365</v>
      </c>
      <c r="C43" s="381"/>
      <c r="D43" s="381"/>
      <c r="E43" s="381"/>
      <c r="F43" s="381"/>
      <c r="G43" s="381"/>
      <c r="H43" s="381"/>
      <c r="I43" s="381"/>
      <c r="J43" s="381"/>
      <c r="K43" s="211">
        <v>102294.807002124</v>
      </c>
      <c r="L43" s="211">
        <v>160090.80540445691</v>
      </c>
      <c r="M43" s="211">
        <v>108550.90494610141</v>
      </c>
      <c r="N43" s="211">
        <v>139106.15880287433</v>
      </c>
      <c r="O43" s="211">
        <v>191574.64771048079</v>
      </c>
      <c r="P43" s="211">
        <v>140407.80308647518</v>
      </c>
      <c r="Q43" s="211">
        <v>194526.15780704789</v>
      </c>
      <c r="R43" s="211">
        <v>137261.67614876965</v>
      </c>
      <c r="S43" s="211">
        <v>132903.12845135876</v>
      </c>
      <c r="T43" s="211">
        <v>104424.86700869461</v>
      </c>
      <c r="U43" s="211">
        <v>229402.06154112416</v>
      </c>
      <c r="V43" s="211">
        <v>247628.38913046109</v>
      </c>
      <c r="W43" s="211">
        <v>174566.53855215071</v>
      </c>
      <c r="X43" s="211">
        <v>233062.78406444282</v>
      </c>
      <c r="Y43" s="211">
        <v>199056.17467008712</v>
      </c>
      <c r="Z43" s="211">
        <v>192911.29688865112</v>
      </c>
      <c r="AA43" s="211">
        <v>266758.76979175821</v>
      </c>
      <c r="AB43" s="211">
        <v>265925.07249006396</v>
      </c>
      <c r="AC43" s="211">
        <v>200080.09964047253</v>
      </c>
    </row>
    <row r="44" spans="1:29" s="31" customFormat="1" ht="18" customHeight="1" x14ac:dyDescent="0.2">
      <c r="A44" s="73"/>
      <c r="B44" s="105"/>
      <c r="C44" s="384" t="s">
        <v>366</v>
      </c>
      <c r="D44" s="385"/>
      <c r="E44" s="385"/>
      <c r="F44" s="385"/>
      <c r="G44" s="385"/>
      <c r="H44" s="385"/>
      <c r="I44" s="385"/>
      <c r="J44" s="386"/>
      <c r="K44" s="211">
        <v>89626.821943895033</v>
      </c>
      <c r="L44" s="211"/>
      <c r="M44" s="211"/>
      <c r="N44" s="211"/>
      <c r="O44" s="211"/>
      <c r="P44" s="211">
        <v>135341.95276299748</v>
      </c>
      <c r="Q44" s="211">
        <v>194034.20565590201</v>
      </c>
      <c r="R44" s="211">
        <v>135656.26512495449</v>
      </c>
      <c r="S44" s="211">
        <v>130608.7661990754</v>
      </c>
      <c r="T44" s="211">
        <v>106637.09362358208</v>
      </c>
      <c r="U44" s="211">
        <v>189256.53255824273</v>
      </c>
      <c r="V44" s="211">
        <v>242004.85997197422</v>
      </c>
      <c r="W44" s="211">
        <v>168915.99738869921</v>
      </c>
      <c r="X44" s="211">
        <v>217747.44411819789</v>
      </c>
      <c r="Y44" s="211">
        <v>197817.42591771533</v>
      </c>
      <c r="Z44" s="211">
        <v>177616.97640625777</v>
      </c>
      <c r="AA44" s="211">
        <v>253807.04964414376</v>
      </c>
      <c r="AB44" s="211">
        <v>230346.02427855539</v>
      </c>
      <c r="AC44" s="211">
        <v>175722.39967471323</v>
      </c>
    </row>
    <row r="45" spans="1:29" s="31" customFormat="1" ht="18" customHeight="1" x14ac:dyDescent="0.2">
      <c r="A45" s="73"/>
      <c r="B45" s="73"/>
      <c r="C45" s="216"/>
      <c r="D45" s="373" t="s">
        <v>99</v>
      </c>
      <c r="E45" s="374"/>
      <c r="F45" s="374"/>
      <c r="G45" s="374"/>
      <c r="H45" s="374"/>
      <c r="I45" s="374"/>
      <c r="J45" s="375"/>
      <c r="K45" s="68">
        <v>16185.966454259102</v>
      </c>
      <c r="L45" s="68">
        <v>16378.66292331988</v>
      </c>
      <c r="M45" s="68">
        <v>13699.20144599364</v>
      </c>
      <c r="N45" s="68">
        <v>15745.309917431448</v>
      </c>
      <c r="O45" s="68">
        <v>14709.3853719414</v>
      </c>
      <c r="P45" s="68">
        <v>15943.158970490449</v>
      </c>
      <c r="Q45" s="68">
        <v>17646.400896615687</v>
      </c>
      <c r="R45" s="68">
        <v>15051.579602224152</v>
      </c>
      <c r="S45" s="68">
        <v>16046.516238239725</v>
      </c>
      <c r="T45" s="68">
        <v>13969.473846090961</v>
      </c>
      <c r="U45" s="68">
        <v>24232.388766191525</v>
      </c>
      <c r="V45" s="68">
        <v>17300.642786056444</v>
      </c>
      <c r="W45" s="68">
        <v>20620.954420251244</v>
      </c>
      <c r="X45" s="68">
        <v>14667.777322878834</v>
      </c>
      <c r="Y45" s="68">
        <v>13089.958515900282</v>
      </c>
      <c r="Z45" s="68">
        <v>19754.815487584485</v>
      </c>
      <c r="AA45" s="68">
        <v>18350.183463667516</v>
      </c>
      <c r="AB45" s="68">
        <v>19573.848107827889</v>
      </c>
      <c r="AC45" s="68">
        <v>16407.379472693035</v>
      </c>
    </row>
    <row r="46" spans="1:29" s="31" customFormat="1" ht="18" customHeight="1" x14ac:dyDescent="0.2">
      <c r="A46" s="73"/>
      <c r="B46" s="73"/>
      <c r="C46" s="216"/>
      <c r="D46" s="376" t="s">
        <v>100</v>
      </c>
      <c r="E46" s="377"/>
      <c r="F46" s="377"/>
      <c r="G46" s="377"/>
      <c r="H46" s="377"/>
      <c r="I46" s="377"/>
      <c r="J46" s="378"/>
      <c r="K46" s="69">
        <v>4516.4432725408296</v>
      </c>
      <c r="L46" s="69">
        <v>36238.199684155115</v>
      </c>
      <c r="M46" s="69">
        <v>6391.0965481993426</v>
      </c>
      <c r="N46" s="69">
        <v>6553.3629348975273</v>
      </c>
      <c r="O46" s="69">
        <v>1749.8739978420826</v>
      </c>
      <c r="P46" s="69">
        <v>3655.916801612841</v>
      </c>
      <c r="Q46" s="69">
        <v>1437.8446014902161</v>
      </c>
      <c r="R46" s="69">
        <v>4535.165545150091</v>
      </c>
      <c r="S46" s="69">
        <v>6088.3540331614986</v>
      </c>
      <c r="T46" s="69">
        <v>8433.4598535914356</v>
      </c>
      <c r="U46" s="69">
        <v>7301.4086558616318</v>
      </c>
      <c r="V46" s="69">
        <v>55960.287950647435</v>
      </c>
      <c r="W46" s="69">
        <v>12438.070020854902</v>
      </c>
      <c r="X46" s="69">
        <v>28658.353223887236</v>
      </c>
      <c r="Y46" s="69">
        <v>11757.34229352428</v>
      </c>
      <c r="Z46" s="69">
        <v>20464.704529686438</v>
      </c>
      <c r="AA46" s="69">
        <v>10180.958790967403</v>
      </c>
      <c r="AB46" s="69">
        <v>15025.174269915327</v>
      </c>
      <c r="AC46" s="69">
        <v>17093.114449580549</v>
      </c>
    </row>
    <row r="47" spans="1:29" s="31" customFormat="1" ht="18" customHeight="1" x14ac:dyDescent="0.2">
      <c r="A47" s="73"/>
      <c r="B47" s="73"/>
      <c r="C47" s="216"/>
      <c r="D47" s="376" t="s">
        <v>101</v>
      </c>
      <c r="E47" s="377"/>
      <c r="F47" s="377"/>
      <c r="G47" s="377"/>
      <c r="H47" s="377"/>
      <c r="I47" s="377"/>
      <c r="J47" s="378"/>
      <c r="K47" s="69">
        <v>68924.412217095101</v>
      </c>
      <c r="L47" s="69">
        <v>98034.479733286542</v>
      </c>
      <c r="M47" s="69">
        <v>86344.187612630674</v>
      </c>
      <c r="N47" s="69">
        <v>112513.85383878516</v>
      </c>
      <c r="O47" s="69">
        <v>162135.47919823552</v>
      </c>
      <c r="P47" s="69">
        <v>117496.69764017021</v>
      </c>
      <c r="Q47" s="69">
        <v>175683.03225820287</v>
      </c>
      <c r="R47" s="69">
        <v>117430.57653701818</v>
      </c>
      <c r="S47" s="69">
        <v>108760.37875420658</v>
      </c>
      <c r="T47" s="69">
        <v>84315.158580196367</v>
      </c>
      <c r="U47" s="69">
        <v>158880.84934123734</v>
      </c>
      <c r="V47" s="69">
        <v>170189.97571075946</v>
      </c>
      <c r="W47" s="69">
        <v>136528.87638668518</v>
      </c>
      <c r="X47" s="69">
        <v>175739.57998778363</v>
      </c>
      <c r="Y47" s="69">
        <v>174511.96451565155</v>
      </c>
      <c r="Z47" s="69">
        <v>139929.6309313956</v>
      </c>
      <c r="AA47" s="69">
        <v>230197.92786222653</v>
      </c>
      <c r="AB47" s="69">
        <v>199362.02868498358</v>
      </c>
      <c r="AC47" s="69">
        <v>146255.66367060435</v>
      </c>
    </row>
    <row r="48" spans="1:29" s="31" customFormat="1" ht="18" customHeight="1" x14ac:dyDescent="0.2">
      <c r="A48" s="73"/>
      <c r="B48" s="73"/>
      <c r="C48" s="217"/>
      <c r="D48" s="387" t="s">
        <v>367</v>
      </c>
      <c r="E48" s="388"/>
      <c r="F48" s="388"/>
      <c r="G48" s="388"/>
      <c r="H48" s="388"/>
      <c r="I48" s="388"/>
      <c r="J48" s="389"/>
      <c r="K48" s="210"/>
      <c r="L48" s="210"/>
      <c r="M48" s="210"/>
      <c r="N48" s="210"/>
      <c r="O48" s="210">
        <v>-1729.710431048898</v>
      </c>
      <c r="P48" s="210">
        <v>-1753.8206492753307</v>
      </c>
      <c r="Q48" s="210">
        <v>-733.07210040708003</v>
      </c>
      <c r="R48" s="210">
        <v>-1361.0565594379193</v>
      </c>
      <c r="S48" s="210">
        <v>-286.48282653253477</v>
      </c>
      <c r="T48" s="210">
        <v>-80.998656296855614</v>
      </c>
      <c r="U48" s="210">
        <v>-1158.1142050477783</v>
      </c>
      <c r="V48" s="210">
        <v>-1446.0464754889929</v>
      </c>
      <c r="W48" s="210">
        <v>-671.90343909195531</v>
      </c>
      <c r="X48" s="210">
        <v>-1318.2664163517829</v>
      </c>
      <c r="Y48" s="210">
        <v>-1541.8394073608174</v>
      </c>
      <c r="Z48" s="210">
        <v>-2532.1745424087462</v>
      </c>
      <c r="AA48" s="210">
        <v>-4922.020472717687</v>
      </c>
      <c r="AB48" s="210">
        <v>-3615.026784171419</v>
      </c>
      <c r="AC48" s="210">
        <v>-4033.7579181646975</v>
      </c>
    </row>
    <row r="49" spans="1:29" s="31" customFormat="1" ht="18" customHeight="1" x14ac:dyDescent="0.2">
      <c r="A49" s="74"/>
      <c r="B49" s="74"/>
      <c r="C49" s="391" t="s">
        <v>102</v>
      </c>
      <c r="D49" s="392"/>
      <c r="E49" s="392"/>
      <c r="F49" s="392"/>
      <c r="G49" s="392"/>
      <c r="H49" s="392"/>
      <c r="I49" s="392"/>
      <c r="J49" s="393"/>
      <c r="K49" s="71">
        <v>12667.985058229002</v>
      </c>
      <c r="L49" s="71">
        <v>9439.4630636953843</v>
      </c>
      <c r="M49" s="71">
        <v>2116.4193392779962</v>
      </c>
      <c r="N49" s="71">
        <v>4293.6321117599409</v>
      </c>
      <c r="O49" s="71">
        <v>14709.619573510701</v>
      </c>
      <c r="P49" s="71">
        <v>5065.8503234768868</v>
      </c>
      <c r="Q49" s="71">
        <v>491.95215114558277</v>
      </c>
      <c r="R49" s="71">
        <v>1605.4110238151445</v>
      </c>
      <c r="S49" s="71">
        <v>2294.3622522833921</v>
      </c>
      <c r="T49" s="71">
        <v>-2212.2266148874542</v>
      </c>
      <c r="U49" s="71">
        <v>40145.528982881493</v>
      </c>
      <c r="V49" s="71">
        <v>5623.5291584865736</v>
      </c>
      <c r="W49" s="71">
        <v>5650.5411634513466</v>
      </c>
      <c r="X49" s="71">
        <v>15315.339946244872</v>
      </c>
      <c r="Y49" s="71">
        <v>1238.7487523717791</v>
      </c>
      <c r="Z49" s="71">
        <v>15294.320482393348</v>
      </c>
      <c r="AA49" s="71">
        <v>12951.720147614455</v>
      </c>
      <c r="AB49" s="71">
        <v>35579.048211508576</v>
      </c>
      <c r="AC49" s="71">
        <v>24357.699965759297</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２９　電気機械器具製造業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9127.4785050008759</v>
      </c>
      <c r="E5" s="179">
        <f>PL!M38</f>
        <v>3577.1446193826596</v>
      </c>
      <c r="F5" s="179">
        <f>PL!N38</f>
        <v>17079.226625996056</v>
      </c>
      <c r="G5" s="179">
        <f>PL!O38</f>
        <v>6659.4918801793892</v>
      </c>
      <c r="H5" s="179">
        <f>PL!P38</f>
        <v>2463.6837859254802</v>
      </c>
      <c r="I5" s="179">
        <f>PL!Q38</f>
        <v>-1797.7817804879176</v>
      </c>
      <c r="J5" s="179">
        <f>PL!R38</f>
        <v>4677.0994597093013</v>
      </c>
      <c r="K5" s="179">
        <f>PL!S38</f>
        <v>18330.605961998706</v>
      </c>
      <c r="L5" s="179">
        <f>PL!T38</f>
        <v>12258.669644283404</v>
      </c>
      <c r="M5" s="179">
        <f>PL!U38</f>
        <v>11457.792954600152</v>
      </c>
      <c r="N5" s="179">
        <f>PL!V38</f>
        <v>17642.907715193411</v>
      </c>
      <c r="O5" s="179">
        <f>PL!W38</f>
        <v>13084.615362251294</v>
      </c>
      <c r="P5" s="179">
        <f>PL!X38</f>
        <v>14263.983767058991</v>
      </c>
      <c r="Q5" s="179">
        <f>PL!Y38</f>
        <v>9870.8653483552771</v>
      </c>
      <c r="R5" s="179">
        <f>PL!Z38</f>
        <v>14249.19386772373</v>
      </c>
      <c r="S5" s="179">
        <f>PL!AA38</f>
        <v>16846.532554257094</v>
      </c>
      <c r="T5" s="179">
        <f>PL!AB38</f>
        <v>17523.236305512357</v>
      </c>
      <c r="U5" s="179">
        <f>PL!AC38</f>
        <v>18128.290960451977</v>
      </c>
    </row>
    <row r="6" spans="1:21" ht="15.75" customHeight="1" x14ac:dyDescent="0.2">
      <c r="A6" s="186"/>
      <c r="B6" s="228" t="s">
        <v>459</v>
      </c>
      <c r="C6" s="180" t="s">
        <v>492</v>
      </c>
      <c r="D6" s="181">
        <f>PL!L13+PL!L24</f>
        <v>8158.0101772240751</v>
      </c>
      <c r="E6" s="181">
        <f>PL!M13+PL!M24</f>
        <v>10322.552042798663</v>
      </c>
      <c r="F6" s="181">
        <f>PL!N13+PL!N24</f>
        <v>18867.781479009387</v>
      </c>
      <c r="G6" s="181">
        <f>PL!O13+PL!O24</f>
        <v>9996.3574682540602</v>
      </c>
      <c r="H6" s="181">
        <f>PL!P13+PL!P24</f>
        <v>6125.5150688065551</v>
      </c>
      <c r="I6" s="181">
        <f>PL!Q13+PL!Q24</f>
        <v>8446.0523169930384</v>
      </c>
      <c r="J6" s="181">
        <f>PL!R13+PL!R24</f>
        <v>6692.0939768938333</v>
      </c>
      <c r="K6" s="181">
        <f>PL!S13+PL!S24</f>
        <v>6630.8649267442706</v>
      </c>
      <c r="L6" s="181">
        <f>PL!T13+PL!T24</f>
        <v>7711.6580892206548</v>
      </c>
      <c r="M6" s="181">
        <f>PL!U13+PL!U24</f>
        <v>7839.7727024434935</v>
      </c>
      <c r="N6" s="181">
        <f>PL!V13+PL!V24</f>
        <v>9106.9420905264233</v>
      </c>
      <c r="O6" s="181">
        <f>PL!W13+PL!W24</f>
        <v>9455.7798299722363</v>
      </c>
      <c r="P6" s="181">
        <f>PL!X13+PL!X24</f>
        <v>11096.178265952145</v>
      </c>
      <c r="Q6" s="181">
        <f>PL!Y13+PL!Y24</f>
        <v>7308.1426839808773</v>
      </c>
      <c r="R6" s="181">
        <f>PL!Z13+PL!Z24</f>
        <v>11484.153597353707</v>
      </c>
      <c r="S6" s="181">
        <f>PL!AA13+PL!AA24</f>
        <v>12254.002899569459</v>
      </c>
      <c r="T6" s="181">
        <f>PL!AB13+PL!AB24</f>
        <v>12705.306462761362</v>
      </c>
      <c r="U6" s="181">
        <f>PL!AC13+PL!AC24</f>
        <v>10508.463448039718</v>
      </c>
    </row>
    <row r="7" spans="1:21" ht="15.75" customHeight="1" x14ac:dyDescent="0.2">
      <c r="A7" s="186"/>
      <c r="B7" s="228" t="s">
        <v>460</v>
      </c>
      <c r="C7" s="180" t="s">
        <v>493</v>
      </c>
      <c r="D7" s="181">
        <f>PL!L30</f>
        <v>5793.7357431128275</v>
      </c>
      <c r="E7" s="181">
        <f>PL!M30</f>
        <v>3058.4416178795327</v>
      </c>
      <c r="F7" s="181">
        <f>PL!N30</f>
        <v>6202.6375782910654</v>
      </c>
      <c r="G7" s="181">
        <f>PL!O30</f>
        <v>6033.8174778290941</v>
      </c>
      <c r="H7" s="181">
        <f>PL!P30</f>
        <v>6032.2055155843063</v>
      </c>
      <c r="I7" s="181">
        <f>PL!Q30</f>
        <v>8935.610882884188</v>
      </c>
      <c r="J7" s="181">
        <f>PL!R30</f>
        <v>6261.3237280144222</v>
      </c>
      <c r="K7" s="181">
        <f>PL!S30</f>
        <v>3799.903725271809</v>
      </c>
      <c r="L7" s="181">
        <f>PL!T30</f>
        <v>5698.1478370313462</v>
      </c>
      <c r="M7" s="181">
        <f>PL!U30</f>
        <v>6056.7380013670554</v>
      </c>
      <c r="N7" s="181">
        <f>PL!V30</f>
        <v>9563.1138870268824</v>
      </c>
      <c r="O7" s="181">
        <f>PL!W30</f>
        <v>5920.8896396134942</v>
      </c>
      <c r="P7" s="181">
        <f>PL!X30</f>
        <v>5983.417979957846</v>
      </c>
      <c r="Q7" s="181">
        <f>PL!Y30</f>
        <v>5457.7092542205219</v>
      </c>
      <c r="R7" s="181">
        <f>PL!Z30</f>
        <v>6236.5235346066738</v>
      </c>
      <c r="S7" s="181">
        <f>PL!AA30</f>
        <v>6057.9911255601437</v>
      </c>
      <c r="T7" s="181">
        <f>PL!AB30</f>
        <v>11518.71522377743</v>
      </c>
      <c r="U7" s="181">
        <f>PL!AC30</f>
        <v>9508.0679678137294</v>
      </c>
    </row>
    <row r="8" spans="1:21" ht="15.75" customHeight="1" x14ac:dyDescent="0.2">
      <c r="A8" s="186"/>
      <c r="B8" s="228" t="s">
        <v>461</v>
      </c>
      <c r="C8" s="180" t="s">
        <v>494</v>
      </c>
      <c r="D8" s="181">
        <f>PL!L31</f>
        <v>5677.311809089314</v>
      </c>
      <c r="E8" s="181">
        <f>PL!M31</f>
        <v>4453.5857237472983</v>
      </c>
      <c r="F8" s="181">
        <f>PL!N31</f>
        <v>5410.025928709103</v>
      </c>
      <c r="G8" s="181">
        <f>PL!O31</f>
        <v>4661.6618073363843</v>
      </c>
      <c r="H8" s="181">
        <f>PL!P31</f>
        <v>4586.6844368042412</v>
      </c>
      <c r="I8" s="181">
        <f>PL!Q31</f>
        <v>5403.2384221137354</v>
      </c>
      <c r="J8" s="181">
        <f>PL!R31</f>
        <v>4065.9485566896283</v>
      </c>
      <c r="K8" s="181">
        <f>PL!S31</f>
        <v>4085.5018220731586</v>
      </c>
      <c r="L8" s="181">
        <f>PL!T31</f>
        <v>4052.7894215460883</v>
      </c>
      <c r="M8" s="181">
        <f>PL!U31</f>
        <v>3502.8037914329461</v>
      </c>
      <c r="N8" s="181">
        <f>PL!V31</f>
        <v>3648.2409662132877</v>
      </c>
      <c r="O8" s="181">
        <f>PL!W31</f>
        <v>3473.8297936637982</v>
      </c>
      <c r="P8" s="181">
        <f>PL!X31</f>
        <v>5030.061251651251</v>
      </c>
      <c r="Q8" s="181">
        <f>PL!Y31</f>
        <v>2934.9693143062818</v>
      </c>
      <c r="R8" s="181">
        <f>PL!Z31</f>
        <v>3982.6112683470587</v>
      </c>
      <c r="S8" s="181">
        <f>PL!AA31</f>
        <v>3214.3574378349881</v>
      </c>
      <c r="T8" s="181">
        <f>PL!AB31</f>
        <v>4715.842664593054</v>
      </c>
      <c r="U8" s="181">
        <f>PL!AC31</f>
        <v>4139.7645095017979</v>
      </c>
    </row>
    <row r="9" spans="1:21" ht="15.75" customHeight="1" x14ac:dyDescent="0.2">
      <c r="A9" s="186"/>
      <c r="B9" s="228" t="s">
        <v>462</v>
      </c>
      <c r="C9" s="180" t="s">
        <v>491</v>
      </c>
      <c r="D9" s="181">
        <f>PL!L36-PL!L35</f>
        <v>0</v>
      </c>
      <c r="E9" s="181">
        <f>PL!M36-PL!M35</f>
        <v>0</v>
      </c>
      <c r="F9" s="181">
        <f>PL!N36-PL!N35</f>
        <v>0</v>
      </c>
      <c r="G9" s="181">
        <f>PL!O36-PL!O35</f>
        <v>1526.2877905521318</v>
      </c>
      <c r="H9" s="181">
        <f>PL!P36-PL!P35</f>
        <v>4033.8815448113373</v>
      </c>
      <c r="I9" s="181">
        <f>PL!Q36-PL!Q35</f>
        <v>2291.0329716852693</v>
      </c>
      <c r="J9" s="181">
        <f>PL!R36-PL!R35</f>
        <v>3320.0175125790793</v>
      </c>
      <c r="K9" s="181">
        <f>PL!S36-PL!S35</f>
        <v>-8453.1161490707946</v>
      </c>
      <c r="L9" s="181">
        <f>PL!T36-PL!T35</f>
        <v>746.60057404239024</v>
      </c>
      <c r="M9" s="181">
        <f>PL!U36-PL!U35</f>
        <v>916.89353197180753</v>
      </c>
      <c r="N9" s="181">
        <f>PL!V36-PL!V35</f>
        <v>2292.322087605045</v>
      </c>
      <c r="O9" s="181">
        <f>PL!W36-PL!W35</f>
        <v>2875.6712771094867</v>
      </c>
      <c r="P9" s="181">
        <f>PL!X36-PL!X35</f>
        <v>-584.91876068619149</v>
      </c>
      <c r="Q9" s="181">
        <f>PL!Y36-PL!Y35</f>
        <v>1338.4037232530168</v>
      </c>
      <c r="R9" s="181">
        <f>PL!Z36-PL!Z35</f>
        <v>0</v>
      </c>
      <c r="S9" s="181">
        <f>PL!AA36-PL!AA35</f>
        <v>0</v>
      </c>
      <c r="T9" s="181">
        <f>PL!AB36-PL!AB35</f>
        <v>0</v>
      </c>
      <c r="U9" s="181">
        <f>PL!AC36-PL!AC35</f>
        <v>0</v>
      </c>
    </row>
    <row r="10" spans="1:21" ht="15.75" customHeight="1" x14ac:dyDescent="0.2">
      <c r="A10" s="186"/>
      <c r="B10" s="228" t="s">
        <v>463</v>
      </c>
      <c r="C10" s="180" t="s">
        <v>495</v>
      </c>
      <c r="D10" s="181">
        <f>BS!L11</f>
        <v>113077.99613967363</v>
      </c>
      <c r="E10" s="181">
        <f>BS!M11</f>
        <v>73445.004664519001</v>
      </c>
      <c r="F10" s="181">
        <f>BS!N11</f>
        <v>128770.50756758029</v>
      </c>
      <c r="G10" s="181">
        <f>BS!O11</f>
        <v>100032.3612984487</v>
      </c>
      <c r="H10" s="181">
        <f>BS!P11</f>
        <v>95185.840832964808</v>
      </c>
      <c r="I10" s="181">
        <f>BS!Q11</f>
        <v>106829.94690092247</v>
      </c>
      <c r="J10" s="181">
        <f>BS!R11</f>
        <v>77612.733926365458</v>
      </c>
      <c r="K10" s="181">
        <f>BS!S11</f>
        <v>90637.898911536206</v>
      </c>
      <c r="L10" s="181">
        <f>BS!T11</f>
        <v>67125.020232442388</v>
      </c>
      <c r="M10" s="181">
        <f>BS!U11</f>
        <v>89522.676142954922</v>
      </c>
      <c r="N10" s="181">
        <f>BS!V11</f>
        <v>124966.49337454379</v>
      </c>
      <c r="O10" s="181">
        <f>BS!W11</f>
        <v>101337.01825433754</v>
      </c>
      <c r="P10" s="181">
        <f>BS!X11</f>
        <v>81501.580745373241</v>
      </c>
      <c r="Q10" s="181">
        <f>BS!Y11</f>
        <v>110086.92828174544</v>
      </c>
      <c r="R10" s="181">
        <f>BS!Z11</f>
        <v>99546.171121672509</v>
      </c>
      <c r="S10" s="181">
        <f>BS!AA11</f>
        <v>101050.46138300677</v>
      </c>
      <c r="T10" s="181">
        <f>BS!AB11</f>
        <v>86055.60307585969</v>
      </c>
      <c r="U10" s="181">
        <f>BS!AC11</f>
        <v>93624.834788563603</v>
      </c>
    </row>
    <row r="11" spans="1:21" ht="15.75" customHeight="1" x14ac:dyDescent="0.2">
      <c r="A11" s="186"/>
      <c r="B11" s="228" t="s">
        <v>465</v>
      </c>
      <c r="C11" s="180" t="s">
        <v>496</v>
      </c>
      <c r="D11" s="181">
        <f>BS!K11</f>
        <v>82761.590859151795</v>
      </c>
      <c r="E11" s="181">
        <f>BS!L11</f>
        <v>113077.99613967363</v>
      </c>
      <c r="F11" s="181">
        <f>BS!M11</f>
        <v>73445.004664519001</v>
      </c>
      <c r="G11" s="181">
        <f>BS!N11</f>
        <v>128770.50756758029</v>
      </c>
      <c r="H11" s="181">
        <f>BS!O11</f>
        <v>100032.3612984487</v>
      </c>
      <c r="I11" s="181">
        <f>BS!P11</f>
        <v>95185.840832964808</v>
      </c>
      <c r="J11" s="181">
        <f>BS!Q11</f>
        <v>106829.94690092247</v>
      </c>
      <c r="K11" s="181">
        <f>BS!R11</f>
        <v>77612.733926365458</v>
      </c>
      <c r="L11" s="181">
        <f>BS!S11</f>
        <v>90637.898911536206</v>
      </c>
      <c r="M11" s="181">
        <f>BS!T11</f>
        <v>67125.020232442388</v>
      </c>
      <c r="N11" s="181">
        <f>BS!U11</f>
        <v>89522.676142954922</v>
      </c>
      <c r="O11" s="181">
        <f>BS!V11</f>
        <v>124966.49337454379</v>
      </c>
      <c r="P11" s="181">
        <f>BS!W11</f>
        <v>101337.01825433754</v>
      </c>
      <c r="Q11" s="181">
        <f>BS!X11</f>
        <v>81501.580745373241</v>
      </c>
      <c r="R11" s="181">
        <f>BS!Y11</f>
        <v>110086.92828174544</v>
      </c>
      <c r="S11" s="181">
        <f>BS!Z11</f>
        <v>99546.171121672509</v>
      </c>
      <c r="T11" s="181">
        <f>BS!AA11</f>
        <v>101050.46138300677</v>
      </c>
      <c r="U11" s="181">
        <f>BS!AB11</f>
        <v>86055.60307585969</v>
      </c>
    </row>
    <row r="12" spans="1:21" ht="15.75" customHeight="1" x14ac:dyDescent="0.2">
      <c r="A12" s="186"/>
      <c r="B12" s="228" t="s">
        <v>466</v>
      </c>
      <c r="C12" s="180" t="s">
        <v>493</v>
      </c>
      <c r="D12" s="181">
        <f>BS!L13-BS!K13</f>
        <v>6539.2347954201032</v>
      </c>
      <c r="E12" s="181">
        <f>BS!M13-BS!L13</f>
        <v>-14792.259994242155</v>
      </c>
      <c r="F12" s="181">
        <f>BS!N13-BS!M13</f>
        <v>48302.93329535934</v>
      </c>
      <c r="G12" s="181">
        <f>BS!O13-BS!N13</f>
        <v>-28289.296126175162</v>
      </c>
      <c r="H12" s="181">
        <f>BS!P13-BS!O13</f>
        <v>-3298.2837336940574</v>
      </c>
      <c r="I12" s="181">
        <f>BS!Q13-BS!P13</f>
        <v>6403.4007840259801</v>
      </c>
      <c r="J12" s="181">
        <f>BS!R13-BS!Q13</f>
        <v>-10787.974779818207</v>
      </c>
      <c r="K12" s="181">
        <f>BS!S13-BS!R13</f>
        <v>5742.9036203193828</v>
      </c>
      <c r="L12" s="181">
        <f>BS!T13-BS!S13</f>
        <v>-12433.180063494412</v>
      </c>
      <c r="M12" s="181">
        <f>BS!U13-BS!T13</f>
        <v>12170.300696585462</v>
      </c>
      <c r="N12" s="181">
        <f>BS!V13-BS!U13</f>
        <v>25125.92526518365</v>
      </c>
      <c r="O12" s="181">
        <f>BS!W13-BS!V13</f>
        <v>-16756.083504935763</v>
      </c>
      <c r="P12" s="181">
        <f>BS!X13-BS!W13</f>
        <v>-3629.2976350540703</v>
      </c>
      <c r="Q12" s="181">
        <f>BS!Y13-BS!X13</f>
        <v>8193.4694445588029</v>
      </c>
      <c r="R12" s="181">
        <f>BS!Z13-BS!Y13</f>
        <v>-1948.0194249263441</v>
      </c>
      <c r="S12" s="181">
        <f>BS!AA13-BS!Z13</f>
        <v>8570.8625817356151</v>
      </c>
      <c r="T12" s="181">
        <f>BS!AB13-BS!AA13</f>
        <v>9095.1680975481941</v>
      </c>
      <c r="U12" s="181">
        <f>BS!AC13-BS!AB13</f>
        <v>7751.5531288848579</v>
      </c>
    </row>
    <row r="13" spans="1:21" ht="15.75" customHeight="1" x14ac:dyDescent="0.2">
      <c r="A13" s="186"/>
      <c r="B13" s="228" t="s">
        <v>467</v>
      </c>
      <c r="C13" s="180" t="s">
        <v>493</v>
      </c>
      <c r="D13" s="181">
        <f>BS!L14</f>
        <v>22165.730829970169</v>
      </c>
      <c r="E13" s="181">
        <f>BS!M14</f>
        <v>9852.8329694520216</v>
      </c>
      <c r="F13" s="181">
        <f>BS!N14</f>
        <v>11125.27995049996</v>
      </c>
      <c r="G13" s="181">
        <f>BS!O14</f>
        <v>17562.134048425509</v>
      </c>
      <c r="H13" s="181">
        <f>BS!P14</f>
        <v>17462.912435933242</v>
      </c>
      <c r="I13" s="181">
        <f>BS!Q14</f>
        <v>34303.187576609227</v>
      </c>
      <c r="J13" s="181">
        <f>BS!R14</f>
        <v>21886.295410206378</v>
      </c>
      <c r="K13" s="181">
        <f>BS!S14</f>
        <v>24343.877779837716</v>
      </c>
      <c r="L13" s="181">
        <f>BS!T14</f>
        <v>13050.989487893507</v>
      </c>
      <c r="M13" s="181">
        <f>BS!U14</f>
        <v>24030.577586167761</v>
      </c>
      <c r="N13" s="181">
        <f>BS!V14</f>
        <v>33449.638866584995</v>
      </c>
      <c r="O13" s="181">
        <f>BS!W14</f>
        <v>18314.081076964394</v>
      </c>
      <c r="P13" s="181">
        <f>BS!X14</f>
        <v>34526.801909943373</v>
      </c>
      <c r="Q13" s="181">
        <f>BS!Y14</f>
        <v>21983.534496619926</v>
      </c>
      <c r="R13" s="181">
        <f>BS!Z14</f>
        <v>37616.327597766474</v>
      </c>
      <c r="S13" s="181">
        <f>BS!AA14</f>
        <v>44671.092171162483</v>
      </c>
      <c r="T13" s="181">
        <f>BS!AB14</f>
        <v>41558.393986521522</v>
      </c>
      <c r="U13" s="181">
        <f>BS!AC14</f>
        <v>48664.6546824174</v>
      </c>
    </row>
    <row r="14" spans="1:21" ht="15.75" customHeight="1" x14ac:dyDescent="0.2">
      <c r="A14" s="186"/>
      <c r="B14" s="228" t="s">
        <v>468</v>
      </c>
      <c r="C14" s="180" t="s">
        <v>497</v>
      </c>
      <c r="D14" s="181">
        <f>BS!L28</f>
        <v>10651.868748903316</v>
      </c>
      <c r="E14" s="181">
        <f>BS!M28</f>
        <v>1032.5577362666809</v>
      </c>
      <c r="F14" s="181">
        <f>BS!N28</f>
        <v>640.22137508523542</v>
      </c>
      <c r="G14" s="181">
        <f>BS!O28</f>
        <v>1314.2969798873135</v>
      </c>
      <c r="H14" s="181">
        <f>BS!P28</f>
        <v>620.46573021134259</v>
      </c>
      <c r="I14" s="181">
        <f>BS!Q28</f>
        <v>1979.0358354171785</v>
      </c>
      <c r="J14" s="181">
        <f>BS!R28</f>
        <v>668.04398552970918</v>
      </c>
      <c r="K14" s="181">
        <f>BS!S28</f>
        <v>1304.0760727011261</v>
      </c>
      <c r="L14" s="181">
        <f>BS!T28</f>
        <v>3602.7107640406903</v>
      </c>
      <c r="M14" s="181">
        <f>BS!U28</f>
        <v>1053.2221390807827</v>
      </c>
      <c r="N14" s="181">
        <f>BS!V28</f>
        <v>1097.2523768590875</v>
      </c>
      <c r="O14" s="181">
        <f>BS!W28</f>
        <v>2712.3957176484055</v>
      </c>
      <c r="P14" s="181">
        <f>BS!X28</f>
        <v>2653.1591386403907</v>
      </c>
      <c r="Q14" s="181">
        <f>BS!Y28</f>
        <v>207.81778663795865</v>
      </c>
      <c r="R14" s="181">
        <f>BS!Z28</f>
        <v>961.12356193258358</v>
      </c>
      <c r="S14" s="181">
        <f>BS!AA28</f>
        <v>1623.7256831561374</v>
      </c>
      <c r="T14" s="181">
        <f>BS!AB28</f>
        <v>1531.7006220839812</v>
      </c>
      <c r="U14" s="181">
        <f>BS!AC28</f>
        <v>2411.071391884951</v>
      </c>
    </row>
    <row r="15" spans="1:21" ht="15.75" customHeight="1" x14ac:dyDescent="0.2">
      <c r="A15" s="186"/>
      <c r="B15" s="228" t="s">
        <v>469</v>
      </c>
      <c r="C15" s="180" t="s">
        <v>496</v>
      </c>
      <c r="D15" s="181">
        <f>BS!K14</f>
        <v>16471.324983520102</v>
      </c>
      <c r="E15" s="181">
        <f>BS!L14</f>
        <v>22165.730829970169</v>
      </c>
      <c r="F15" s="181">
        <f>BS!M14</f>
        <v>9852.8329694520216</v>
      </c>
      <c r="G15" s="181">
        <f>BS!N14</f>
        <v>11125.27995049996</v>
      </c>
      <c r="H15" s="181">
        <f>BS!O14</f>
        <v>17562.134048425509</v>
      </c>
      <c r="I15" s="181">
        <f>BS!P14</f>
        <v>17462.912435933242</v>
      </c>
      <c r="J15" s="181">
        <f>BS!Q14</f>
        <v>34303.187576609227</v>
      </c>
      <c r="K15" s="181">
        <f>BS!R14</f>
        <v>21886.295410206378</v>
      </c>
      <c r="L15" s="181">
        <f>BS!S14</f>
        <v>24343.877779837716</v>
      </c>
      <c r="M15" s="181">
        <f>BS!T14</f>
        <v>13050.989487893507</v>
      </c>
      <c r="N15" s="181">
        <f>BS!U14</f>
        <v>24030.577586167761</v>
      </c>
      <c r="O15" s="181">
        <f>BS!V14</f>
        <v>33449.638866584995</v>
      </c>
      <c r="P15" s="181">
        <f>BS!W14</f>
        <v>18314.081076964394</v>
      </c>
      <c r="Q15" s="181">
        <f>BS!X14</f>
        <v>34526.801909943373</v>
      </c>
      <c r="R15" s="181">
        <f>BS!Y14</f>
        <v>21983.534496619926</v>
      </c>
      <c r="S15" s="181">
        <f>BS!Z14</f>
        <v>37616.327597766474</v>
      </c>
      <c r="T15" s="181">
        <f>BS!AA14</f>
        <v>44671.092171162483</v>
      </c>
      <c r="U15" s="181">
        <f>BS!AB14</f>
        <v>41558.393986521522</v>
      </c>
    </row>
    <row r="16" spans="1:21" ht="15.75" customHeight="1" x14ac:dyDescent="0.2">
      <c r="A16" s="186"/>
      <c r="B16" s="228" t="s">
        <v>470</v>
      </c>
      <c r="C16" s="180" t="s">
        <v>464</v>
      </c>
      <c r="D16" s="181">
        <f>BS!K28</f>
        <v>1735.5160038086899</v>
      </c>
      <c r="E16" s="181">
        <f>BS!L28</f>
        <v>10651.868748903316</v>
      </c>
      <c r="F16" s="181">
        <f>BS!M28</f>
        <v>1032.5577362666809</v>
      </c>
      <c r="G16" s="181">
        <f>BS!N28</f>
        <v>640.22137508523542</v>
      </c>
      <c r="H16" s="181">
        <f>BS!O28</f>
        <v>1314.2969798873135</v>
      </c>
      <c r="I16" s="181">
        <f>BS!P28</f>
        <v>620.46573021134259</v>
      </c>
      <c r="J16" s="181">
        <f>BS!Q28</f>
        <v>1979.0358354171785</v>
      </c>
      <c r="K16" s="181">
        <f>BS!R28</f>
        <v>668.04398552970918</v>
      </c>
      <c r="L16" s="181">
        <f>BS!S28</f>
        <v>1304.0760727011261</v>
      </c>
      <c r="M16" s="181">
        <f>BS!T28</f>
        <v>3602.7107640406903</v>
      </c>
      <c r="N16" s="181">
        <f>BS!U28</f>
        <v>1053.2221390807827</v>
      </c>
      <c r="O16" s="181">
        <f>BS!V28</f>
        <v>1097.2523768590875</v>
      </c>
      <c r="P16" s="181">
        <f>BS!W28</f>
        <v>2712.3957176484055</v>
      </c>
      <c r="Q16" s="181">
        <f>BS!X28</f>
        <v>2653.1591386403907</v>
      </c>
      <c r="R16" s="181">
        <f>BS!Y28</f>
        <v>207.81778663795865</v>
      </c>
      <c r="S16" s="181">
        <f>BS!Z28</f>
        <v>961.12356193258358</v>
      </c>
      <c r="T16" s="181">
        <f>BS!AA28</f>
        <v>1623.7256831561374</v>
      </c>
      <c r="U16" s="181">
        <f>BS!AB28</f>
        <v>1531.7006220839812</v>
      </c>
    </row>
    <row r="17" spans="1:21" ht="15.75" customHeight="1" x14ac:dyDescent="0.2">
      <c r="A17" s="186"/>
      <c r="B17" s="228" t="s">
        <v>471</v>
      </c>
      <c r="C17" s="180" t="s">
        <v>499</v>
      </c>
      <c r="D17" s="181">
        <f>BS!L32</f>
        <v>63581.856466046673</v>
      </c>
      <c r="E17" s="181">
        <f>BS!M32</f>
        <v>53670.388044204628</v>
      </c>
      <c r="F17" s="181">
        <f>BS!N32</f>
        <v>106544.72294139687</v>
      </c>
      <c r="G17" s="181">
        <f>BS!O32</f>
        <v>70194.474148613765</v>
      </c>
      <c r="H17" s="181">
        <f>BS!P32</f>
        <v>60786.117249184383</v>
      </c>
      <c r="I17" s="181">
        <f>BS!Q32</f>
        <v>71918.183487442962</v>
      </c>
      <c r="J17" s="181">
        <f>BS!R32</f>
        <v>47811.972860396207</v>
      </c>
      <c r="K17" s="181">
        <f>BS!S32</f>
        <v>54743.309465107515</v>
      </c>
      <c r="L17" s="181">
        <f>BS!T32</f>
        <v>37799.357418395455</v>
      </c>
      <c r="M17" s="181">
        <f>BS!U32</f>
        <v>41531.890965300932</v>
      </c>
      <c r="N17" s="181">
        <f>BS!V32</f>
        <v>82051.451367190923</v>
      </c>
      <c r="O17" s="181">
        <f>BS!W32</f>
        <v>62932.724077380932</v>
      </c>
      <c r="P17" s="181">
        <f>BS!X32</f>
        <v>57692.896381345956</v>
      </c>
      <c r="Q17" s="181">
        <f>BS!Y32</f>
        <v>57242.562438133871</v>
      </c>
      <c r="R17" s="181">
        <f>BS!Z32</f>
        <v>62868.15698306261</v>
      </c>
      <c r="S17" s="181">
        <f>BS!AA32</f>
        <v>67186.431245057553</v>
      </c>
      <c r="T17" s="181">
        <f>BS!AB32</f>
        <v>62541.701226887853</v>
      </c>
      <c r="U17" s="181">
        <f>BS!AC32</f>
        <v>80835.662300975862</v>
      </c>
    </row>
    <row r="18" spans="1:21" ht="15.75" customHeight="1" x14ac:dyDescent="0.2">
      <c r="A18" s="186"/>
      <c r="B18" s="228" t="s">
        <v>472</v>
      </c>
      <c r="C18" s="180" t="s">
        <v>498</v>
      </c>
      <c r="D18" s="181">
        <f>BS!K32</f>
        <v>58835.933494470097</v>
      </c>
      <c r="E18" s="181">
        <f>BS!L32</f>
        <v>63581.856466046673</v>
      </c>
      <c r="F18" s="181">
        <f>BS!M32</f>
        <v>53670.388044204628</v>
      </c>
      <c r="G18" s="181">
        <f>BS!N32</f>
        <v>106544.72294139687</v>
      </c>
      <c r="H18" s="181">
        <f>BS!O32</f>
        <v>70194.474148613765</v>
      </c>
      <c r="I18" s="181">
        <f>BS!P32</f>
        <v>60786.117249184383</v>
      </c>
      <c r="J18" s="181">
        <f>BS!Q32</f>
        <v>71918.183487442962</v>
      </c>
      <c r="K18" s="181">
        <f>BS!R32</f>
        <v>47811.972860396207</v>
      </c>
      <c r="L18" s="181">
        <f>BS!S32</f>
        <v>54743.309465107515</v>
      </c>
      <c r="M18" s="181">
        <f>BS!T32</f>
        <v>37799.357418395455</v>
      </c>
      <c r="N18" s="181">
        <f>BS!U32</f>
        <v>41531.890965300932</v>
      </c>
      <c r="O18" s="181">
        <f>BS!V32</f>
        <v>82051.451367190923</v>
      </c>
      <c r="P18" s="181">
        <f>BS!W32</f>
        <v>62932.724077380932</v>
      </c>
      <c r="Q18" s="181">
        <f>BS!X32</f>
        <v>57692.896381345956</v>
      </c>
      <c r="R18" s="181">
        <f>BS!Y32</f>
        <v>57242.562438133871</v>
      </c>
      <c r="S18" s="181">
        <f>BS!Z32</f>
        <v>62868.15698306261</v>
      </c>
      <c r="T18" s="181">
        <f>BS!AA32</f>
        <v>67186.431245057553</v>
      </c>
      <c r="U18" s="181">
        <f>BS!AB32</f>
        <v>62541.701226887853</v>
      </c>
    </row>
    <row r="19" spans="1:21" ht="15.75" customHeight="1" x14ac:dyDescent="0.2">
      <c r="A19" s="186"/>
      <c r="B19" s="228" t="s">
        <v>473</v>
      </c>
      <c r="C19" s="180" t="s">
        <v>494</v>
      </c>
      <c r="D19" s="181">
        <f>BS!L36+BS!L42</f>
        <v>42359.098087383754</v>
      </c>
      <c r="E19" s="181">
        <f>BS!M36+BS!M42</f>
        <v>32543.9308813567</v>
      </c>
      <c r="F19" s="181">
        <f>BS!N36+BS!N42</f>
        <v>49991.612074269637</v>
      </c>
      <c r="G19" s="181">
        <f>BS!O36+BS!O42</f>
        <v>40064.460811548226</v>
      </c>
      <c r="H19" s="181">
        <f>BS!P36+BS!P42</f>
        <v>24375.027279143957</v>
      </c>
      <c r="I19" s="181">
        <f>BS!Q36+BS!Q42</f>
        <v>35582.18656075075</v>
      </c>
      <c r="J19" s="181">
        <f>BS!R36+BS!R42</f>
        <v>38093.044297459492</v>
      </c>
      <c r="K19" s="181">
        <f>BS!S36+BS!S42</f>
        <v>45544.865018877143</v>
      </c>
      <c r="L19" s="181">
        <f>BS!T36+BS!T42</f>
        <v>55923.659495940883</v>
      </c>
      <c r="M19" s="181">
        <f>BS!U36+BS!U42</f>
        <v>73963.539711111574</v>
      </c>
      <c r="N19" s="181">
        <f>BS!V36+BS!V42</f>
        <v>61350.424228931799</v>
      </c>
      <c r="O19" s="181">
        <f>BS!W36+BS!W42</f>
        <v>46692.050416180195</v>
      </c>
      <c r="P19" s="181">
        <f>BS!X36+BS!X42</f>
        <v>52572.260827678037</v>
      </c>
      <c r="Q19" s="181">
        <f>BS!Y36+BS!Y42</f>
        <v>45748.916455740626</v>
      </c>
      <c r="R19" s="181">
        <f>BS!Z36+BS!Z42</f>
        <v>48661.896360379935</v>
      </c>
      <c r="S19" s="181">
        <f>BS!AA36+BS!AA42</f>
        <v>51536.003075300949</v>
      </c>
      <c r="T19" s="181">
        <f>BS!AB36+BS!AB42</f>
        <v>63604.113357525537</v>
      </c>
      <c r="U19" s="181">
        <f>BS!AC36+BS!AC42</f>
        <v>57022.696028077378</v>
      </c>
    </row>
    <row r="20" spans="1:21" ht="15.75" customHeight="1" x14ac:dyDescent="0.2">
      <c r="A20" s="186"/>
      <c r="B20" s="229" t="s">
        <v>474</v>
      </c>
      <c r="C20" s="180" t="s">
        <v>498</v>
      </c>
      <c r="D20" s="181">
        <f>BS!K36+BS!K42</f>
        <v>47873.507653995497</v>
      </c>
      <c r="E20" s="181">
        <f>BS!L36+BS!L42</f>
        <v>42359.098087383754</v>
      </c>
      <c r="F20" s="181">
        <f>BS!M36+BS!M42</f>
        <v>32543.9308813567</v>
      </c>
      <c r="G20" s="181">
        <f>BS!N36+BS!N42</f>
        <v>49991.612074269637</v>
      </c>
      <c r="H20" s="181">
        <f>BS!O36+BS!O42</f>
        <v>40064.460811548226</v>
      </c>
      <c r="I20" s="181">
        <f>BS!P36+BS!P42</f>
        <v>24375.027279143957</v>
      </c>
      <c r="J20" s="181">
        <f>BS!Q36+BS!Q42</f>
        <v>35582.18656075075</v>
      </c>
      <c r="K20" s="181">
        <f>BS!R36+BS!R42</f>
        <v>38093.044297459492</v>
      </c>
      <c r="L20" s="181">
        <f>BS!S36+BS!S42</f>
        <v>45544.865018877143</v>
      </c>
      <c r="M20" s="181">
        <f>BS!T36+BS!T42</f>
        <v>55923.659495940883</v>
      </c>
      <c r="N20" s="181">
        <f>BS!U36+BS!U42</f>
        <v>73963.539711111574</v>
      </c>
      <c r="O20" s="181">
        <f>BS!V36+BS!V42</f>
        <v>61350.424228931799</v>
      </c>
      <c r="P20" s="181">
        <f>BS!W36+BS!W42</f>
        <v>46692.050416180195</v>
      </c>
      <c r="Q20" s="181">
        <f>BS!X36+BS!X42</f>
        <v>52572.260827678037</v>
      </c>
      <c r="R20" s="181">
        <f>BS!Y36+BS!Y42</f>
        <v>45748.916455740626</v>
      </c>
      <c r="S20" s="181">
        <f>BS!Z36+BS!Z42</f>
        <v>48661.896360379935</v>
      </c>
      <c r="T20" s="181">
        <f>BS!AA36+BS!AA42</f>
        <v>51536.003075300949</v>
      </c>
      <c r="U20" s="181">
        <f>BS!AB36+BS!AB42</f>
        <v>63604.113357525537</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-35065.820514320367</v>
      </c>
      <c r="E22" s="226">
        <f t="shared" si="0"/>
        <v>71925.665482731565</v>
      </c>
      <c r="F22" s="226">
        <f t="shared" si="0"/>
        <v>967.8657272415403</v>
      </c>
      <c r="G22" s="226">
        <f t="shared" si="0"/>
        <v>20449.094105567478</v>
      </c>
      <c r="H22" s="226">
        <f t="shared" si="0"/>
        <v>-4982.3740497241597</v>
      </c>
      <c r="I22" s="226">
        <f t="shared" si="0"/>
        <v>-8500.1955305801457</v>
      </c>
      <c r="J22" s="226">
        <f t="shared" si="0"/>
        <v>44631.554658184934</v>
      </c>
      <c r="K22" s="226">
        <f t="shared" si="0"/>
        <v>9315.4271003096073</v>
      </c>
      <c r="L22" s="226">
        <f t="shared" ref="L22:U22" si="1">L5+L6-L7+L8+L9-L10+L11-L12-L13-L14+L15+L16+L17-L18+L19-L20-L21</f>
        <v>57446.724665605754</v>
      </c>
      <c r="M22" s="226">
        <f t="shared" si="1"/>
        <v>-3565.1173392548371</v>
      </c>
      <c r="N22" s="226">
        <f t="shared" si="1"/>
        <v>-18999.090122746551</v>
      </c>
      <c r="O22" s="226">
        <f t="shared" si="1"/>
        <v>43097.878594795016</v>
      </c>
      <c r="P22" s="226">
        <f t="shared" si="1"/>
        <v>31773.520149528616</v>
      </c>
      <c r="Q22" s="226">
        <f t="shared" ref="Q22:R22" si="2">Q5+Q6-Q7+Q8+Q9-Q10+Q11-Q12-Q13-Q14+Q15+Q16+Q17-Q18+Q19-Q20-Q21</f>
        <v>-13069.214715079688</v>
      </c>
      <c r="R22" s="226">
        <f t="shared" si="2"/>
        <v>28120.68735694397</v>
      </c>
      <c r="S22" s="226">
        <f t="shared" ref="S22:T22" si="3">S5+S6-S7+S8+S9-S10+S11-S12-S13-S14+S15+S16+S17-S18+S19-S20-S21</f>
        <v>15656.763205327909</v>
      </c>
      <c r="T22" s="226">
        <f t="shared" si="3"/>
        <v>39953.463928456229</v>
      </c>
      <c r="U22" s="226">
        <f t="shared" si="1"/>
        <v>11674.578387533998</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18369.975871642848</v>
      </c>
      <c r="E24" s="179">
        <f>E37</f>
        <v>-31777.904495029739</v>
      </c>
      <c r="F24" s="179">
        <f t="shared" ref="F24:K24" si="4">F37</f>
        <v>2990.3431692745362</v>
      </c>
      <c r="G24" s="179">
        <f t="shared" si="4"/>
        <v>28137.443139849202</v>
      </c>
      <c r="H24" s="179">
        <f t="shared" si="4"/>
        <v>6511.3009691389016</v>
      </c>
      <c r="I24" s="179">
        <f t="shared" si="4"/>
        <v>19445.494967775783</v>
      </c>
      <c r="J24" s="179">
        <f t="shared" si="4"/>
        <v>-22652.206657655945</v>
      </c>
      <c r="K24" s="179">
        <f t="shared" si="4"/>
        <v>-4219.6132072597393</v>
      </c>
      <c r="L24" s="179">
        <f t="shared" ref="L24:U24" si="5">L37</f>
        <v>-5589.7176849808457</v>
      </c>
      <c r="M24" s="179">
        <f t="shared" si="5"/>
        <v>50805.169053987338</v>
      </c>
      <c r="N24" s="179">
        <f t="shared" si="5"/>
        <v>-26801.574969904628</v>
      </c>
      <c r="O24" s="179">
        <f t="shared" si="5"/>
        <v>-10010.256186201281</v>
      </c>
      <c r="P24" s="179">
        <f t="shared" si="5"/>
        <v>28883.325347138074</v>
      </c>
      <c r="Q24" s="179">
        <f t="shared" ref="Q24:R24" si="6">Q37</f>
        <v>-25151.574042007152</v>
      </c>
      <c r="R24" s="179">
        <f t="shared" si="6"/>
        <v>23017.514574145374</v>
      </c>
      <c r="S24" s="179">
        <f t="shared" ref="S24:T24" si="7">S37</f>
        <v>-4955.4394627000293</v>
      </c>
      <c r="T24" s="179">
        <f t="shared" si="7"/>
        <v>29737.367478762011</v>
      </c>
      <c r="U24" s="179">
        <f t="shared" si="5"/>
        <v>-2814.8891582083306</v>
      </c>
    </row>
    <row r="25" spans="1:21" ht="15.75" customHeight="1" x14ac:dyDescent="0.2">
      <c r="A25" s="186"/>
      <c r="B25" s="231" t="s">
        <v>478</v>
      </c>
      <c r="C25" s="182" t="s">
        <v>502</v>
      </c>
      <c r="D25" s="183">
        <f>D22+D33</f>
        <v>4967.199081868268</v>
      </c>
      <c r="E25" s="183">
        <f>E22+E33</f>
        <v>30656.67610913414</v>
      </c>
      <c r="F25" s="183">
        <f t="shared" ref="F25:K25" si="8">F22+F33</f>
        <v>21505.774265180062</v>
      </c>
      <c r="G25" s="183">
        <f t="shared" si="8"/>
        <v>-19120.870316664208</v>
      </c>
      <c r="H25" s="183">
        <f t="shared" si="8"/>
        <v>32891.504096336845</v>
      </c>
      <c r="I25" s="183">
        <f t="shared" si="8"/>
        <v>-9686.1500127915133</v>
      </c>
      <c r="J25" s="183">
        <f t="shared" si="8"/>
        <v>8329.2136146492994</v>
      </c>
      <c r="K25" s="183">
        <f t="shared" si="8"/>
        <v>18358.52004806446</v>
      </c>
      <c r="L25" s="183">
        <f t="shared" ref="L25:U25" si="9">L22+L33</f>
        <v>47153.483986006184</v>
      </c>
      <c r="M25" s="183">
        <f t="shared" si="9"/>
        <v>4765.180112321068</v>
      </c>
      <c r="N25" s="183">
        <f t="shared" si="9"/>
        <v>45504.639665341703</v>
      </c>
      <c r="O25" s="183">
        <f t="shared" si="9"/>
        <v>-7895.9817166057401</v>
      </c>
      <c r="P25" s="183">
        <f t="shared" si="9"/>
        <v>65612.40550900565</v>
      </c>
      <c r="Q25" s="183">
        <f t="shared" ref="Q25:R25" si="10">Q22+Q33</f>
        <v>-49365.979485851356</v>
      </c>
      <c r="R25" s="183">
        <f t="shared" si="10"/>
        <v>69355.864721377759</v>
      </c>
      <c r="S25" s="183">
        <f t="shared" ref="S25:T25" si="11">S22+S33</f>
        <v>-23565.501710724893</v>
      </c>
      <c r="T25" s="183">
        <f t="shared" si="11"/>
        <v>70034.510257562331</v>
      </c>
      <c r="U25" s="183">
        <f t="shared" si="9"/>
        <v>63962.496319522797</v>
      </c>
    </row>
    <row r="26" spans="1:21" ht="15.75" customHeight="1" x14ac:dyDescent="0.2">
      <c r="A26" s="187"/>
      <c r="B26" s="209" t="s">
        <v>476</v>
      </c>
      <c r="C26" s="225"/>
      <c r="D26" s="226">
        <f t="shared" ref="D26:K26" si="12">D24-D25</f>
        <v>13402.77678977458</v>
      </c>
      <c r="E26" s="226">
        <f t="shared" si="12"/>
        <v>-62434.580604163879</v>
      </c>
      <c r="F26" s="226">
        <f t="shared" si="12"/>
        <v>-18515.431095905526</v>
      </c>
      <c r="G26" s="226">
        <f t="shared" si="12"/>
        <v>47258.31345651341</v>
      </c>
      <c r="H26" s="226">
        <f t="shared" si="12"/>
        <v>-26380.203127197943</v>
      </c>
      <c r="I26" s="226">
        <f t="shared" si="12"/>
        <v>29131.644980567296</v>
      </c>
      <c r="J26" s="226">
        <f t="shared" si="12"/>
        <v>-30981.420272305244</v>
      </c>
      <c r="K26" s="226">
        <f t="shared" si="12"/>
        <v>-22578.133255324199</v>
      </c>
      <c r="L26" s="226">
        <f t="shared" ref="L26:U26" si="13">L24-L25</f>
        <v>-52743.20167098703</v>
      </c>
      <c r="M26" s="226">
        <f t="shared" si="13"/>
        <v>46039.98894166627</v>
      </c>
      <c r="N26" s="226">
        <f t="shared" si="13"/>
        <v>-72306.214635246331</v>
      </c>
      <c r="O26" s="226">
        <f t="shared" si="13"/>
        <v>-2114.2744695955407</v>
      </c>
      <c r="P26" s="226">
        <f t="shared" si="13"/>
        <v>-36729.080161867576</v>
      </c>
      <c r="Q26" s="226">
        <f t="shared" ref="Q26:R26" si="14">Q24-Q25</f>
        <v>24214.405443844204</v>
      </c>
      <c r="R26" s="226">
        <f t="shared" si="14"/>
        <v>-46338.350147232384</v>
      </c>
      <c r="S26" s="226">
        <f t="shared" ref="S26:T26" si="15">S24-S25</f>
        <v>18610.062248024864</v>
      </c>
      <c r="T26" s="226">
        <f t="shared" si="15"/>
        <v>-40297.14277880032</v>
      </c>
      <c r="U26" s="226">
        <f t="shared" si="13"/>
        <v>-66777.385477731121</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18104.13738883652</v>
      </c>
      <c r="E28" s="179">
        <f>(BS!M33+BS!M34)-(BS!L33+BS!L34)</f>
        <v>-24250.792541786788</v>
      </c>
      <c r="F28" s="179">
        <f>(BS!N33+BS!N34)-(BS!M33+BS!M34)</f>
        <v>13440.621157367568</v>
      </c>
      <c r="G28" s="179">
        <f>(BS!O33+BS!O34)-(BS!N33+BS!N34)</f>
        <v>-15194.660683334921</v>
      </c>
      <c r="H28" s="179">
        <f>(BS!P33+BS!P34)-(BS!O33+BS!O34)</f>
        <v>10796.223449591991</v>
      </c>
      <c r="I28" s="179">
        <f>(BS!Q33+BS!Q34)-(BS!P33+BS!P34)</f>
        <v>-2818.3388762055401</v>
      </c>
      <c r="J28" s="179">
        <f>(BS!R33+BS!R34)-(BS!Q33+BS!Q34)</f>
        <v>-6800.6675019973482</v>
      </c>
      <c r="K28" s="179">
        <f>(BS!S33+BS!S34)-(BS!R33+BS!R34)</f>
        <v>-6856.1037524354033</v>
      </c>
      <c r="L28" s="179">
        <f>(BS!T33+BS!T34)-(BS!S33+BS!S34)</f>
        <v>-1461.275602573267</v>
      </c>
      <c r="M28" s="179">
        <f>(BS!U33+BS!U34)-(BS!T33+BS!T34)</f>
        <v>-6003.3524063549594</v>
      </c>
      <c r="N28" s="179">
        <f>(BS!V33+BS!V34)-(BS!U33+BS!U34)</f>
        <v>13308.952471066561</v>
      </c>
      <c r="O28" s="179">
        <f>(BS!W33+BS!W34)-(BS!V33+BS!V34)</f>
        <v>-2718.0920684685261</v>
      </c>
      <c r="P28" s="179">
        <f>(BS!X33+BS!X34)-(BS!W33+BS!W34)</f>
        <v>7891.6729217458414</v>
      </c>
      <c r="Q28" s="179">
        <f>(BS!Y33+BS!Y34)-(BS!X33+BS!X34)</f>
        <v>-9014.1806500545063</v>
      </c>
      <c r="R28" s="179">
        <f>(BS!Z33+BS!Z34)-(BS!Y33+BS!Y34)</f>
        <v>28341.501772898839</v>
      </c>
      <c r="S28" s="179">
        <f>(BS!AA33+BS!AA34)-(BS!Z33+BS!Z34)</f>
        <v>-18309.627086451714</v>
      </c>
      <c r="T28" s="179">
        <f>(BS!AB33+BS!AB34)-(BS!AA33+BS!AA34)</f>
        <v>-7045.5779984806722</v>
      </c>
      <c r="U28" s="179">
        <f>(BS!AC33+BS!AC34)-(BS!AB33+BS!AB34)</f>
        <v>9264.0613109772894</v>
      </c>
    </row>
    <row r="29" spans="1:21" ht="15.75" customHeight="1" x14ac:dyDescent="0.2">
      <c r="A29" s="186"/>
      <c r="B29" s="228" t="s">
        <v>481</v>
      </c>
      <c r="C29" s="180" t="s">
        <v>499</v>
      </c>
      <c r="D29" s="181">
        <f>(BS!L38+BS!L39+BS!L40)-(BS!K38+BS!K39+BS!K40)</f>
        <v>-9985.5706733229454</v>
      </c>
      <c r="E29" s="181">
        <f>(BS!M38+BS!M39+BS!M40)-(BS!L38+BS!L39+BS!L40)</f>
        <v>15508.367781471374</v>
      </c>
      <c r="F29" s="181">
        <f>(BS!N38+BS!N39+BS!N40)-(BS!M38+BS!M39+BS!M40)</f>
        <v>4888.9125224349555</v>
      </c>
      <c r="G29" s="181">
        <f>(BS!O38+BS!O39+BS!O40)-(BS!N38+BS!N39+BS!N40)</f>
        <v>-18535.890256351267</v>
      </c>
      <c r="H29" s="181">
        <f>(BS!P38+BS!P39+BS!P40)-(BS!O38+BS!O39+BS!O40)</f>
        <v>23937.838294149202</v>
      </c>
      <c r="I29" s="181">
        <f>(BS!Q38+BS!Q39+BS!Q40)-(BS!P38+BS!P39+BS!P40)</f>
        <v>2147.2146679915604</v>
      </c>
      <c r="J29" s="181">
        <f>(BS!R38+BS!R39+BS!R40)-(BS!Q38+BS!Q39+BS!Q40)</f>
        <v>-30004.173190806629</v>
      </c>
      <c r="K29" s="181">
        <f>(BS!S38+BS!S39+BS!S40)-(BS!R38+BS!R39+BS!R40)</f>
        <v>13351.071576163275</v>
      </c>
      <c r="L29" s="181">
        <f>(BS!T38+BS!T39+BS!T40)-(BS!S38+BS!S39+BS!S40)</f>
        <v>-9100.0285053074767</v>
      </c>
      <c r="M29" s="181">
        <f>(BS!U38+BS!U39+BS!U40)-(BS!T38+BS!T39+BS!T40)</f>
        <v>5202.7861355601053</v>
      </c>
      <c r="N29" s="181">
        <f>(BS!V38+BS!V39+BS!V40)-(BS!U38+BS!U39+BS!U40)</f>
        <v>9467.6440023709729</v>
      </c>
      <c r="O29" s="181">
        <f>(BS!W38+BS!W39+BS!W40)-(BS!V38+BS!V39+BS!V40)</f>
        <v>-8073.8619473344879</v>
      </c>
      <c r="P29" s="181">
        <f>(BS!X38+BS!X39+BS!X40)-(BS!W38+BS!W39+BS!W40)</f>
        <v>15680.106332071271</v>
      </c>
      <c r="Q29" s="181">
        <f>(BS!Y38+BS!Y39+BS!Y40)-(BS!X38+BS!X39+BS!X40)</f>
        <v>-8803.7543833756499</v>
      </c>
      <c r="R29" s="181">
        <f>(BS!Z38+BS!Z39+BS!Z40)-(BS!Y38+BS!Y39+BS!Y40)</f>
        <v>-2478.5436163114209</v>
      </c>
      <c r="S29" s="181">
        <f>(BS!AA38+BS!AA39+BS!AA40)-(BS!Z38+BS!Z39+BS!Z40)</f>
        <v>-9224.2600669650856</v>
      </c>
      <c r="T29" s="181">
        <f>(BS!AB38+BS!AB39+BS!AB40)-(BS!AA38+BS!AA39+BS!AA40)</f>
        <v>31058.744204478484</v>
      </c>
      <c r="U29" s="181">
        <f>(BS!AC38+BS!AC39+BS!AC40)-(BS!AB38+BS!AB39+BS!AB40)</f>
        <v>44122.38507648115</v>
      </c>
    </row>
    <row r="30" spans="1:21" ht="15.75" customHeight="1" x14ac:dyDescent="0.2">
      <c r="A30" s="186"/>
      <c r="B30" s="228" t="s">
        <v>482</v>
      </c>
      <c r="C30" s="180" t="s">
        <v>499</v>
      </c>
      <c r="D30" s="181">
        <f>BS!L45+BS!L46</f>
        <v>52616.862607474992</v>
      </c>
      <c r="E30" s="181">
        <f>BS!M45+BS!M46</f>
        <v>20090.297994192981</v>
      </c>
      <c r="F30" s="181">
        <f>BS!N45+BS!N46</f>
        <v>22298.672852328975</v>
      </c>
      <c r="G30" s="181">
        <f>BS!O45+BS!O46</f>
        <v>16459.259369783482</v>
      </c>
      <c r="H30" s="181">
        <f>BS!P45+BS!P46</f>
        <v>19599.07577210329</v>
      </c>
      <c r="I30" s="181">
        <f>BS!Q45+BS!Q46</f>
        <v>19084.245498105902</v>
      </c>
      <c r="J30" s="181">
        <f>BS!R45+BS!R46</f>
        <v>19586.745147374244</v>
      </c>
      <c r="K30" s="181">
        <f>BS!S45+BS!S46</f>
        <v>22134.870271401225</v>
      </c>
      <c r="L30" s="181">
        <f>BS!T45+BS!T46</f>
        <v>22402.933699682399</v>
      </c>
      <c r="M30" s="181">
        <f>BS!U45+BS!U46</f>
        <v>31533.797422053158</v>
      </c>
      <c r="N30" s="181">
        <f>BS!V45+BS!V46</f>
        <v>73260.930736703885</v>
      </c>
      <c r="O30" s="181">
        <f>BS!W45+BS!W46</f>
        <v>33059.024441106143</v>
      </c>
      <c r="P30" s="181">
        <f>BS!X45+BS!X46</f>
        <v>43326.130546766071</v>
      </c>
      <c r="Q30" s="181">
        <f>BS!Y45+BS!Y46</f>
        <v>24847.30080942456</v>
      </c>
      <c r="R30" s="181">
        <f>BS!Z45+BS!Z46</f>
        <v>40219.520017270923</v>
      </c>
      <c r="S30" s="181">
        <f>BS!AA45+BS!AA46</f>
        <v>28531.14225463492</v>
      </c>
      <c r="T30" s="181">
        <f>BS!AB45+BS!AB46</f>
        <v>34599.022377743218</v>
      </c>
      <c r="U30" s="181">
        <f>BS!AC45+BS!AC46</f>
        <v>33500.493922273585</v>
      </c>
    </row>
    <row r="31" spans="1:21" ht="15.75" customHeight="1" x14ac:dyDescent="0.2">
      <c r="A31" s="186"/>
      <c r="B31" s="228" t="s">
        <v>483</v>
      </c>
      <c r="C31" s="180" t="s">
        <v>498</v>
      </c>
      <c r="D31" s="181">
        <f>BS!K45+BS!K46</f>
        <v>20702.409726799931</v>
      </c>
      <c r="E31" s="181">
        <f>BS!L45+BS!L46</f>
        <v>52616.862607474992</v>
      </c>
      <c r="F31" s="181">
        <f>BS!M45+BS!M46</f>
        <v>20090.297994192981</v>
      </c>
      <c r="G31" s="181">
        <f>BS!N45+BS!N46</f>
        <v>22298.672852328975</v>
      </c>
      <c r="H31" s="181">
        <f>BS!O45+BS!O46</f>
        <v>16459.259369783482</v>
      </c>
      <c r="I31" s="181">
        <f>BS!P45+BS!P46</f>
        <v>19599.07577210329</v>
      </c>
      <c r="J31" s="181">
        <f>BS!Q45+BS!Q46</f>
        <v>19084.245498105902</v>
      </c>
      <c r="K31" s="181">
        <f>BS!R45+BS!R46</f>
        <v>19586.745147374244</v>
      </c>
      <c r="L31" s="181">
        <f>BS!S45+BS!S46</f>
        <v>22134.870271401225</v>
      </c>
      <c r="M31" s="181">
        <f>BS!T45+BS!T46</f>
        <v>22402.933699682399</v>
      </c>
      <c r="N31" s="181">
        <f>BS!U45+BS!U46</f>
        <v>31533.797422053158</v>
      </c>
      <c r="O31" s="181">
        <f>BS!V45+BS!V46</f>
        <v>73260.930736703885</v>
      </c>
      <c r="P31" s="181">
        <f>BS!W45+BS!W46</f>
        <v>33059.024441106143</v>
      </c>
      <c r="Q31" s="181">
        <f>BS!X45+BS!X46</f>
        <v>43326.130546766071</v>
      </c>
      <c r="R31" s="181">
        <f>BS!Y45+BS!Y46</f>
        <v>24847.30080942456</v>
      </c>
      <c r="S31" s="181">
        <f>BS!Z45+BS!Z46</f>
        <v>40219.520017270923</v>
      </c>
      <c r="T31" s="181">
        <f>BS!AA45+BS!AA46</f>
        <v>28531.14225463492</v>
      </c>
      <c r="U31" s="181">
        <f>BS!AB45+BS!AB46</f>
        <v>34599.022377743218</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40033.019596188635</v>
      </c>
      <c r="E33" s="226">
        <f t="shared" si="16"/>
        <v>-41268.989373597426</v>
      </c>
      <c r="F33" s="226">
        <f t="shared" si="16"/>
        <v>20537.908537938521</v>
      </c>
      <c r="G33" s="226">
        <f t="shared" si="16"/>
        <v>-39569.964422231686</v>
      </c>
      <c r="H33" s="226">
        <f t="shared" si="16"/>
        <v>37873.878146061004</v>
      </c>
      <c r="I33" s="226">
        <f t="shared" si="16"/>
        <v>-1185.9544822113676</v>
      </c>
      <c r="J33" s="226">
        <f t="shared" si="16"/>
        <v>-36302.341043535635</v>
      </c>
      <c r="K33" s="226">
        <f t="shared" si="16"/>
        <v>9043.0929477548525</v>
      </c>
      <c r="L33" s="226">
        <f t="shared" ref="L33:U33" si="17">L28+L29+L30-L31-L32</f>
        <v>-10293.24067959957</v>
      </c>
      <c r="M33" s="226">
        <f t="shared" si="17"/>
        <v>8330.2974515759051</v>
      </c>
      <c r="N33" s="226">
        <f t="shared" si="17"/>
        <v>64503.729788088254</v>
      </c>
      <c r="O33" s="226">
        <f t="shared" si="17"/>
        <v>-50993.860311400756</v>
      </c>
      <c r="P33" s="226">
        <f t="shared" si="17"/>
        <v>33838.885359477033</v>
      </c>
      <c r="Q33" s="226">
        <f t="shared" ref="Q33:R33" si="18">Q28+Q29+Q30-Q31-Q32</f>
        <v>-36296.764770771668</v>
      </c>
      <c r="R33" s="226">
        <f t="shared" si="18"/>
        <v>41235.177364433781</v>
      </c>
      <c r="S33" s="226">
        <f t="shared" ref="S33:T33" si="19">S28+S29+S30-S31-S32</f>
        <v>-39222.264916052802</v>
      </c>
      <c r="T33" s="226">
        <f t="shared" si="19"/>
        <v>30081.04632910611</v>
      </c>
      <c r="U33" s="226">
        <f t="shared" si="17"/>
        <v>52287.917931988799</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76549.570100017547</v>
      </c>
      <c r="E35" s="179">
        <f>BS!M10</f>
        <v>44771.665604987807</v>
      </c>
      <c r="F35" s="179">
        <f>BS!N10</f>
        <v>47762.008774262344</v>
      </c>
      <c r="G35" s="179">
        <f>BS!O10</f>
        <v>75899.451914111545</v>
      </c>
      <c r="H35" s="179">
        <f>BS!P10</f>
        <v>82410.752883250447</v>
      </c>
      <c r="I35" s="179">
        <f>BS!Q10</f>
        <v>101856.24785102623</v>
      </c>
      <c r="J35" s="179">
        <f>BS!R10</f>
        <v>79204.041193370285</v>
      </c>
      <c r="K35" s="179">
        <f>BS!S10</f>
        <v>74984.427986110546</v>
      </c>
      <c r="L35" s="179">
        <f>BS!T10</f>
        <v>69394.7103011297</v>
      </c>
      <c r="M35" s="179">
        <f>BS!U10</f>
        <v>120199.87935511704</v>
      </c>
      <c r="N35" s="179">
        <f>BS!V10</f>
        <v>93398.30438521241</v>
      </c>
      <c r="O35" s="179">
        <f>BS!W10</f>
        <v>83388.048199011129</v>
      </c>
      <c r="P35" s="179">
        <f>BS!X10</f>
        <v>112271.3735461492</v>
      </c>
      <c r="Q35" s="179">
        <f>BS!Y10</f>
        <v>87119.799504142051</v>
      </c>
      <c r="R35" s="179">
        <f>BS!Z10</f>
        <v>110137.31407828743</v>
      </c>
      <c r="S35" s="179">
        <f>BS!AA10</f>
        <v>105181.8746155874</v>
      </c>
      <c r="T35" s="179">
        <f>BS!AB10</f>
        <v>134919.24209434941</v>
      </c>
      <c r="U35" s="179">
        <f>BS!AC10</f>
        <v>132104.35293614108</v>
      </c>
    </row>
    <row r="36" spans="1:21" ht="15.75" customHeight="1" x14ac:dyDescent="0.2">
      <c r="A36" s="186"/>
      <c r="B36" s="230" t="s">
        <v>487</v>
      </c>
      <c r="C36" s="182" t="s">
        <v>498</v>
      </c>
      <c r="D36" s="183">
        <f>BS!K10</f>
        <v>58179.594228374699</v>
      </c>
      <c r="E36" s="183">
        <f>BS!L10</f>
        <v>76549.570100017547</v>
      </c>
      <c r="F36" s="183">
        <f>BS!M10</f>
        <v>44771.665604987807</v>
      </c>
      <c r="G36" s="183">
        <f>BS!N10</f>
        <v>47762.008774262344</v>
      </c>
      <c r="H36" s="183">
        <f>BS!O10</f>
        <v>75899.451914111545</v>
      </c>
      <c r="I36" s="183">
        <f>BS!P10</f>
        <v>82410.752883250447</v>
      </c>
      <c r="J36" s="183">
        <f>BS!Q10</f>
        <v>101856.24785102623</v>
      </c>
      <c r="K36" s="183">
        <f>BS!R10</f>
        <v>79204.041193370285</v>
      </c>
      <c r="L36" s="183">
        <f>BS!S10</f>
        <v>74984.427986110546</v>
      </c>
      <c r="M36" s="183">
        <f>BS!T10</f>
        <v>69394.7103011297</v>
      </c>
      <c r="N36" s="183">
        <f>BS!U10</f>
        <v>120199.87935511704</v>
      </c>
      <c r="O36" s="183">
        <f>BS!V10</f>
        <v>93398.30438521241</v>
      </c>
      <c r="P36" s="183">
        <f>BS!W10</f>
        <v>83388.048199011129</v>
      </c>
      <c r="Q36" s="183">
        <f>BS!X10</f>
        <v>112271.3735461492</v>
      </c>
      <c r="R36" s="183">
        <f>BS!Y10</f>
        <v>87119.799504142051</v>
      </c>
      <c r="S36" s="183">
        <f>BS!Z10</f>
        <v>110137.31407828743</v>
      </c>
      <c r="T36" s="183">
        <f>BS!AA10</f>
        <v>105181.8746155874</v>
      </c>
      <c r="U36" s="183">
        <f>BS!AB10</f>
        <v>134919.24209434941</v>
      </c>
    </row>
    <row r="37" spans="1:21" ht="15.75" customHeight="1" x14ac:dyDescent="0.2">
      <c r="A37" s="187"/>
      <c r="B37" s="209" t="s">
        <v>476</v>
      </c>
      <c r="C37" s="225"/>
      <c r="D37" s="226">
        <f t="shared" ref="D37:K37" si="20">+D35-D36</f>
        <v>18369.975871642848</v>
      </c>
      <c r="E37" s="226">
        <f t="shared" si="20"/>
        <v>-31777.904495029739</v>
      </c>
      <c r="F37" s="226">
        <f t="shared" si="20"/>
        <v>2990.3431692745362</v>
      </c>
      <c r="G37" s="226">
        <f t="shared" si="20"/>
        <v>28137.443139849202</v>
      </c>
      <c r="H37" s="226">
        <f t="shared" si="20"/>
        <v>6511.3009691389016</v>
      </c>
      <c r="I37" s="226">
        <f t="shared" si="20"/>
        <v>19445.494967775783</v>
      </c>
      <c r="J37" s="226">
        <f t="shared" si="20"/>
        <v>-22652.206657655945</v>
      </c>
      <c r="K37" s="226">
        <f t="shared" si="20"/>
        <v>-4219.6132072597393</v>
      </c>
      <c r="L37" s="226">
        <f t="shared" ref="L37:U37" si="21">+L35-L36</f>
        <v>-5589.7176849808457</v>
      </c>
      <c r="M37" s="226">
        <f t="shared" si="21"/>
        <v>50805.169053987338</v>
      </c>
      <c r="N37" s="226">
        <f t="shared" si="21"/>
        <v>-26801.574969904628</v>
      </c>
      <c r="O37" s="226">
        <f t="shared" si="21"/>
        <v>-10010.256186201281</v>
      </c>
      <c r="P37" s="226">
        <f t="shared" si="21"/>
        <v>28883.325347138074</v>
      </c>
      <c r="Q37" s="226">
        <f t="shared" ref="Q37:R37" si="22">+Q35-Q36</f>
        <v>-25151.574042007152</v>
      </c>
      <c r="R37" s="226">
        <f t="shared" si="22"/>
        <v>23017.514574145374</v>
      </c>
      <c r="S37" s="226">
        <f t="shared" ref="S37:T37" si="23">+S35-S36</f>
        <v>-4955.4394627000293</v>
      </c>
      <c r="T37" s="226">
        <f t="shared" si="23"/>
        <v>29737.367478762011</v>
      </c>
      <c r="U37" s="226">
        <f t="shared" si="21"/>
        <v>-2814.8891582083306</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-35065.820514320367</v>
      </c>
      <c r="E39" s="235">
        <f>E22</f>
        <v>71925.665482731565</v>
      </c>
      <c r="F39" s="235">
        <f t="shared" ref="F39:K39" si="24">F22</f>
        <v>967.8657272415403</v>
      </c>
      <c r="G39" s="235">
        <f t="shared" si="24"/>
        <v>20449.094105567478</v>
      </c>
      <c r="H39" s="235">
        <f t="shared" si="24"/>
        <v>-4982.3740497241597</v>
      </c>
      <c r="I39" s="235">
        <f t="shared" si="24"/>
        <v>-8500.1955305801457</v>
      </c>
      <c r="J39" s="235">
        <f t="shared" si="24"/>
        <v>44631.554658184934</v>
      </c>
      <c r="K39" s="235">
        <f t="shared" si="24"/>
        <v>9315.4271003096073</v>
      </c>
      <c r="L39" s="235">
        <f t="shared" ref="L39:U39" si="25">L22</f>
        <v>57446.724665605754</v>
      </c>
      <c r="M39" s="235">
        <f t="shared" si="25"/>
        <v>-3565.1173392548371</v>
      </c>
      <c r="N39" s="235">
        <f t="shared" si="25"/>
        <v>-18999.090122746551</v>
      </c>
      <c r="O39" s="235">
        <f t="shared" si="25"/>
        <v>43097.878594795016</v>
      </c>
      <c r="P39" s="235">
        <f t="shared" si="25"/>
        <v>31773.520149528616</v>
      </c>
      <c r="Q39" s="235">
        <f t="shared" ref="Q39:R39" si="26">Q22</f>
        <v>-13069.214715079688</v>
      </c>
      <c r="R39" s="235">
        <f t="shared" si="26"/>
        <v>28120.68735694397</v>
      </c>
      <c r="S39" s="235">
        <f t="shared" ref="S39:T39" si="27">S22</f>
        <v>15656.763205327909</v>
      </c>
      <c r="T39" s="235">
        <f t="shared" si="27"/>
        <v>39953.463928456229</v>
      </c>
      <c r="U39" s="235">
        <f t="shared" si="25"/>
        <v>11674.578387533998</v>
      </c>
    </row>
    <row r="40" spans="1:21" ht="15.75" customHeight="1" x14ac:dyDescent="0.2">
      <c r="A40" s="186"/>
      <c r="B40" s="230" t="s">
        <v>490</v>
      </c>
      <c r="C40" s="182" t="s">
        <v>491</v>
      </c>
      <c r="D40" s="183">
        <f>D26</f>
        <v>13402.77678977458</v>
      </c>
      <c r="E40" s="183">
        <f>E26</f>
        <v>-62434.580604163879</v>
      </c>
      <c r="F40" s="183">
        <f t="shared" ref="F40:K40" si="28">F26</f>
        <v>-18515.431095905526</v>
      </c>
      <c r="G40" s="183">
        <f t="shared" si="28"/>
        <v>47258.31345651341</v>
      </c>
      <c r="H40" s="183">
        <f t="shared" si="28"/>
        <v>-26380.203127197943</v>
      </c>
      <c r="I40" s="183">
        <f t="shared" si="28"/>
        <v>29131.644980567296</v>
      </c>
      <c r="J40" s="183">
        <f t="shared" si="28"/>
        <v>-30981.420272305244</v>
      </c>
      <c r="K40" s="183">
        <f t="shared" si="28"/>
        <v>-22578.133255324199</v>
      </c>
      <c r="L40" s="183">
        <f t="shared" ref="L40:U40" si="29">L26</f>
        <v>-52743.20167098703</v>
      </c>
      <c r="M40" s="183">
        <f t="shared" si="29"/>
        <v>46039.98894166627</v>
      </c>
      <c r="N40" s="183">
        <f t="shared" si="29"/>
        <v>-72306.214635246331</v>
      </c>
      <c r="O40" s="183">
        <f t="shared" si="29"/>
        <v>-2114.2744695955407</v>
      </c>
      <c r="P40" s="183">
        <f t="shared" si="29"/>
        <v>-36729.080161867576</v>
      </c>
      <c r="Q40" s="183">
        <f t="shared" ref="Q40:R40" si="30">Q26</f>
        <v>24214.405443844204</v>
      </c>
      <c r="R40" s="183">
        <f t="shared" si="30"/>
        <v>-46338.350147232384</v>
      </c>
      <c r="S40" s="183">
        <f t="shared" ref="S40:T40" si="31">S26</f>
        <v>18610.062248024864</v>
      </c>
      <c r="T40" s="183">
        <f t="shared" si="31"/>
        <v>-40297.14277880032</v>
      </c>
      <c r="U40" s="183">
        <f t="shared" si="29"/>
        <v>-66777.385477731121</v>
      </c>
    </row>
    <row r="41" spans="1:21" ht="15.75" customHeight="1" x14ac:dyDescent="0.2">
      <c r="A41" s="187"/>
      <c r="B41" s="209" t="s">
        <v>476</v>
      </c>
      <c r="C41" s="225"/>
      <c r="D41" s="226">
        <f t="shared" ref="D41:K41" si="32">D39+D40</f>
        <v>-21663.043724545787</v>
      </c>
      <c r="E41" s="226">
        <f t="shared" si="32"/>
        <v>9491.0848785676862</v>
      </c>
      <c r="F41" s="226">
        <f t="shared" si="32"/>
        <v>-17547.565368663985</v>
      </c>
      <c r="G41" s="226">
        <f t="shared" si="32"/>
        <v>67707.407562080887</v>
      </c>
      <c r="H41" s="226">
        <f t="shared" si="32"/>
        <v>-31362.577176922103</v>
      </c>
      <c r="I41" s="226">
        <f t="shared" si="32"/>
        <v>20631.449449987151</v>
      </c>
      <c r="J41" s="226">
        <f t="shared" si="32"/>
        <v>13650.13438587969</v>
      </c>
      <c r="K41" s="226">
        <f t="shared" si="32"/>
        <v>-13262.706155014592</v>
      </c>
      <c r="L41" s="226">
        <f t="shared" ref="L41:U41" si="33">L39+L40</f>
        <v>4703.5229946187246</v>
      </c>
      <c r="M41" s="226">
        <f t="shared" si="33"/>
        <v>42474.871602411433</v>
      </c>
      <c r="N41" s="226">
        <f t="shared" si="33"/>
        <v>-91305.304757992883</v>
      </c>
      <c r="O41" s="226">
        <f t="shared" si="33"/>
        <v>40983.604125199476</v>
      </c>
      <c r="P41" s="226">
        <f t="shared" si="33"/>
        <v>-4955.5600123389595</v>
      </c>
      <c r="Q41" s="226">
        <f t="shared" ref="Q41:R41" si="34">Q39+Q40</f>
        <v>11145.190728764515</v>
      </c>
      <c r="R41" s="226">
        <f t="shared" si="34"/>
        <v>-18217.662790288414</v>
      </c>
      <c r="S41" s="226">
        <f t="shared" ref="S41:T41" si="35">S39+S40</f>
        <v>34266.825453352772</v>
      </c>
      <c r="T41" s="226">
        <f t="shared" si="35"/>
        <v>-343.67885034409119</v>
      </c>
      <c r="U41" s="226">
        <f t="shared" si="33"/>
        <v>-55102.807090197122</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2023-03-31T02:57:39Z</dcterms:modified>
</cp:coreProperties>
</file>