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2.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3.xml" ContentType="application/vnd.openxmlformats-officedocument.drawingml.chartshapes+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4.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5.xml" ContentType="application/vnd.openxmlformats-officedocument.drawing+xml"/>
  <Override PartName="/xl/charts/chart19.xml" ContentType="application/vnd.openxmlformats-officedocument.drawingml.chart+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https://d.docs.live.net/7f74b1999309e246/Documents/財務診断研究会/CD用/H16-R04_業種別経営指標/R04_業種別/H16-R04_業種別_製造業/"/>
    </mc:Choice>
  </mc:AlternateContent>
  <xr:revisionPtr revIDLastSave="326" documentId="13_ncr:1_{E5AE67E6-62E8-44DA-819B-45E9D73CA082}" xr6:coauthVersionLast="47" xr6:coauthVersionMax="47" xr10:uidLastSave="{7A9D76D8-60B1-4DEB-B6BF-56A25FF7872C}"/>
  <bookViews>
    <workbookView xWindow="-108" yWindow="-108" windowWidth="23256" windowHeight="12720" activeTab="5" xr2:uid="{00000000-000D-0000-FFFF-FFFF00000000}"/>
  </bookViews>
  <sheets>
    <sheet name="総合評価" sheetId="5" r:id="rId1"/>
    <sheet name="総合評価２" sheetId="6" r:id="rId2"/>
    <sheet name="経営指標" sheetId="3" r:id="rId3"/>
    <sheet name="比率分析" sheetId="7" r:id="rId4"/>
    <sheet name="Lベンチマーク" sheetId="9" r:id="rId5"/>
    <sheet name="PL" sheetId="1" r:id="rId6"/>
    <sheet name="BS" sheetId="2" r:id="rId7"/>
    <sheet name="ＣＦ" sheetId="8" r:id="rId8"/>
    <sheet name="指標説明" sheetId="4" r:id="rId9"/>
  </sheets>
  <definedNames>
    <definedName name="_xlnm.Print_Titles" localSheetId="8">指標説明!$3:$4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38" i="5" l="1"/>
  <c r="U33" i="5"/>
  <c r="U32" i="5"/>
  <c r="U30" i="5"/>
  <c r="U29" i="5"/>
  <c r="U28" i="5"/>
  <c r="U27" i="5"/>
  <c r="U26" i="5"/>
  <c r="U25" i="5"/>
  <c r="T40" i="5"/>
  <c r="T41" i="5" s="1"/>
  <c r="T38" i="5"/>
  <c r="T33" i="5"/>
  <c r="T32" i="5"/>
  <c r="T31" i="5"/>
  <c r="T30" i="5"/>
  <c r="T29" i="5"/>
  <c r="T28" i="5"/>
  <c r="T27" i="5"/>
  <c r="T26" i="5"/>
  <c r="T25" i="5"/>
  <c r="T24" i="5"/>
  <c r="T23" i="5"/>
  <c r="T20" i="5"/>
  <c r="T19" i="5"/>
  <c r="T44" i="5" s="1"/>
  <c r="T18" i="5"/>
  <c r="T17" i="5"/>
  <c r="T16" i="5"/>
  <c r="T15" i="5"/>
  <c r="T13" i="5"/>
  <c r="T12" i="5"/>
  <c r="T45" i="5" s="1"/>
  <c r="T11" i="5"/>
  <c r="T22" i="5" s="1"/>
  <c r="T9" i="5"/>
  <c r="T8" i="5"/>
  <c r="T7" i="5"/>
  <c r="T6" i="5"/>
  <c r="T5" i="5"/>
  <c r="T32" i="6"/>
  <c r="T25" i="6"/>
  <c r="AM25" i="6" s="1"/>
  <c r="T24" i="6"/>
  <c r="T23" i="6"/>
  <c r="T22" i="6"/>
  <c r="T21" i="6"/>
  <c r="AM21" i="6" s="1"/>
  <c r="T20" i="6"/>
  <c r="T19" i="6"/>
  <c r="T18" i="6"/>
  <c r="T17" i="6"/>
  <c r="AM17" i="6" s="1"/>
  <c r="T16" i="6"/>
  <c r="AM16" i="6" s="1"/>
  <c r="T14" i="6"/>
  <c r="T13" i="6"/>
  <c r="T12" i="6"/>
  <c r="T11" i="6"/>
  <c r="T10" i="6"/>
  <c r="T9" i="6"/>
  <c r="T8" i="6"/>
  <c r="T7" i="6"/>
  <c r="T6" i="6"/>
  <c r="T5" i="6"/>
  <c r="AM8" i="6" s="1"/>
  <c r="CQ81" i="3"/>
  <c r="CT80" i="3" s="1"/>
  <c r="CL81" i="3"/>
  <c r="CL78" i="3"/>
  <c r="CL80" i="3" s="1"/>
  <c r="CL76" i="3"/>
  <c r="CL71" i="3"/>
  <c r="CL66" i="3"/>
  <c r="CQ64" i="3"/>
  <c r="CQ65" i="3"/>
  <c r="CL65" i="3"/>
  <c r="CL64" i="3"/>
  <c r="CL54" i="3"/>
  <c r="CL53" i="3"/>
  <c r="CL55" i="3" s="1"/>
  <c r="CL50" i="3"/>
  <c r="CL45" i="3"/>
  <c r="CL44" i="3"/>
  <c r="CL46" i="3" s="1"/>
  <c r="CO45" i="3" s="1"/>
  <c r="CL43" i="3"/>
  <c r="CL39" i="3"/>
  <c r="CL41" i="3" s="1"/>
  <c r="CL35" i="3"/>
  <c r="CL33" i="3"/>
  <c r="CL31" i="3"/>
  <c r="CL30" i="3"/>
  <c r="CL19" i="3"/>
  <c r="CL15" i="3"/>
  <c r="CQ61" i="3" s="1"/>
  <c r="CL12" i="3"/>
  <c r="CL70" i="3" s="1"/>
  <c r="CL9" i="3"/>
  <c r="CL7" i="3"/>
  <c r="CQ67" i="3" s="1"/>
  <c r="CL6" i="3"/>
  <c r="CL51" i="3"/>
  <c r="CO50" i="3" s="1"/>
  <c r="CL40" i="3"/>
  <c r="CL17" i="3"/>
  <c r="CL8" i="3"/>
  <c r="V70" i="7"/>
  <c r="V71" i="7" s="1"/>
  <c r="V69" i="7"/>
  <c r="V68" i="7"/>
  <c r="V66" i="7"/>
  <c r="V64" i="7"/>
  <c r="V51" i="7"/>
  <c r="V44" i="7"/>
  <c r="V40" i="7"/>
  <c r="V35" i="7"/>
  <c r="V34" i="7"/>
  <c r="V30" i="7"/>
  <c r="V29" i="7"/>
  <c r="V28" i="7"/>
  <c r="V16" i="7"/>
  <c r="V15" i="7"/>
  <c r="V14" i="7"/>
  <c r="V13" i="7"/>
  <c r="V26" i="7" s="1"/>
  <c r="V11" i="7"/>
  <c r="V10" i="7"/>
  <c r="V33" i="7" s="1"/>
  <c r="V9" i="7"/>
  <c r="V8" i="7"/>
  <c r="V56" i="7" s="1"/>
  <c r="V7" i="7"/>
  <c r="V54" i="7" s="1"/>
  <c r="V6" i="7"/>
  <c r="V48" i="7" s="1"/>
  <c r="V5" i="7"/>
  <c r="V57" i="7" s="1"/>
  <c r="V4" i="7"/>
  <c r="T14" i="9"/>
  <c r="T13" i="9"/>
  <c r="T12" i="9"/>
  <c r="T11" i="9"/>
  <c r="T10" i="9"/>
  <c r="T21" i="9" s="1"/>
  <c r="T9" i="9"/>
  <c r="T8" i="9"/>
  <c r="T7" i="9"/>
  <c r="T6" i="9"/>
  <c r="T4" i="9"/>
  <c r="U36" i="8"/>
  <c r="T35" i="8"/>
  <c r="U31" i="8"/>
  <c r="T30" i="8"/>
  <c r="U29" i="8"/>
  <c r="T29" i="8"/>
  <c r="U28" i="8"/>
  <c r="T28" i="8"/>
  <c r="U20" i="8"/>
  <c r="T19" i="8"/>
  <c r="U18" i="8"/>
  <c r="T17" i="8"/>
  <c r="U16" i="8"/>
  <c r="U15" i="8"/>
  <c r="T14" i="8"/>
  <c r="T13" i="8"/>
  <c r="U12" i="8"/>
  <c r="T12" i="8"/>
  <c r="U11" i="8"/>
  <c r="U10" i="8"/>
  <c r="T10" i="8"/>
  <c r="T36" i="8"/>
  <c r="T31" i="8"/>
  <c r="T20" i="8"/>
  <c r="T18" i="8"/>
  <c r="T16" i="8"/>
  <c r="T15" i="8"/>
  <c r="T11" i="8"/>
  <c r="T9" i="8"/>
  <c r="T8" i="8"/>
  <c r="T7" i="8"/>
  <c r="T6" i="8"/>
  <c r="T5" i="8"/>
  <c r="AB47" i="1"/>
  <c r="T48" i="5" s="1"/>
  <c r="AB46" i="1"/>
  <c r="AB45" i="1"/>
  <c r="CL22" i="3" s="1"/>
  <c r="AB43" i="1"/>
  <c r="AB44" i="1" s="1"/>
  <c r="CL23" i="3" s="1"/>
  <c r="AB42" i="1"/>
  <c r="CL13" i="3" s="1"/>
  <c r="AB41" i="1"/>
  <c r="CL11" i="3" s="1"/>
  <c r="AA47" i="1"/>
  <c r="S48" i="5" s="1"/>
  <c r="AA46" i="1"/>
  <c r="AA45" i="1"/>
  <c r="CG22" i="3" s="1"/>
  <c r="AA43" i="1"/>
  <c r="AA44" i="1" s="1"/>
  <c r="CG23" i="3" s="1"/>
  <c r="AA42" i="1"/>
  <c r="CG13" i="3" s="1"/>
  <c r="AA41" i="1"/>
  <c r="CG11" i="3" s="1"/>
  <c r="S40" i="5"/>
  <c r="S38" i="5"/>
  <c r="S33" i="5"/>
  <c r="S32" i="5"/>
  <c r="S31" i="5"/>
  <c r="S30" i="5"/>
  <c r="S29" i="5"/>
  <c r="S28" i="5"/>
  <c r="S27" i="5"/>
  <c r="S26" i="5"/>
  <c r="S25" i="5"/>
  <c r="S24" i="5"/>
  <c r="S23" i="5"/>
  <c r="S20" i="5"/>
  <c r="S19" i="5"/>
  <c r="S18" i="5"/>
  <c r="S17" i="5"/>
  <c r="S16" i="5"/>
  <c r="S15" i="5"/>
  <c r="S13" i="5"/>
  <c r="S12" i="5"/>
  <c r="S11" i="5"/>
  <c r="S22" i="5" s="1"/>
  <c r="S9" i="5"/>
  <c r="S8" i="5"/>
  <c r="S7" i="5"/>
  <c r="S6" i="5"/>
  <c r="S5" i="5"/>
  <c r="S25" i="6"/>
  <c r="AL22" i="6" s="1"/>
  <c r="S24" i="6"/>
  <c r="S23" i="6"/>
  <c r="S22" i="6"/>
  <c r="S21" i="6"/>
  <c r="S20" i="6"/>
  <c r="S19" i="6"/>
  <c r="S18" i="6"/>
  <c r="S17" i="6"/>
  <c r="AL17" i="6" s="1"/>
  <c r="S16" i="6"/>
  <c r="S14" i="6"/>
  <c r="S13" i="6"/>
  <c r="S12" i="6"/>
  <c r="S11" i="6"/>
  <c r="S10" i="6"/>
  <c r="S9" i="6"/>
  <c r="S8" i="6"/>
  <c r="S7" i="6"/>
  <c r="S6" i="6"/>
  <c r="S5" i="6"/>
  <c r="S31" i="6" s="1"/>
  <c r="CQ80" i="3"/>
  <c r="CG81" i="3"/>
  <c r="CQ78" i="3"/>
  <c r="CG78" i="3"/>
  <c r="CG80" i="3" s="1"/>
  <c r="CQ76" i="3"/>
  <c r="CG76" i="3"/>
  <c r="CQ71" i="3"/>
  <c r="CG71" i="3"/>
  <c r="CG64" i="3"/>
  <c r="CQ54" i="3"/>
  <c r="CG54" i="3"/>
  <c r="CQ53" i="3"/>
  <c r="CQ55" i="3" s="1"/>
  <c r="CG53" i="3"/>
  <c r="CQ50" i="3"/>
  <c r="CG50" i="3"/>
  <c r="CQ45" i="3"/>
  <c r="CG45" i="3"/>
  <c r="CG44" i="3"/>
  <c r="CQ44" i="3"/>
  <c r="CQ43" i="3"/>
  <c r="CG43" i="3"/>
  <c r="CQ39" i="3"/>
  <c r="CQ41" i="3" s="1"/>
  <c r="CG39" i="3"/>
  <c r="CQ35" i="3"/>
  <c r="CG35" i="3"/>
  <c r="CQ33" i="3"/>
  <c r="CG33" i="3"/>
  <c r="CQ31" i="3"/>
  <c r="CG31" i="3"/>
  <c r="CQ30" i="3"/>
  <c r="CG30" i="3"/>
  <c r="CQ19" i="3"/>
  <c r="CG19" i="3"/>
  <c r="CQ15" i="3"/>
  <c r="CG15" i="3"/>
  <c r="CL61" i="3" s="1"/>
  <c r="CQ12" i="3"/>
  <c r="CQ70" i="3" s="1"/>
  <c r="CG12" i="3"/>
  <c r="CL59" i="3" s="1"/>
  <c r="CQ9" i="3"/>
  <c r="CG9" i="3"/>
  <c r="CQ7" i="3"/>
  <c r="CQ49" i="3" s="1"/>
  <c r="CQ6" i="3"/>
  <c r="CQ17" i="3" s="1"/>
  <c r="CG7" i="3"/>
  <c r="CG6" i="3"/>
  <c r="CQ32" i="3"/>
  <c r="CT31" i="3" s="1"/>
  <c r="CQ28" i="3"/>
  <c r="CQ14" i="3"/>
  <c r="U70" i="7"/>
  <c r="U71" i="7" s="1"/>
  <c r="U69" i="7"/>
  <c r="U68" i="7"/>
  <c r="U64" i="7"/>
  <c r="U51" i="7"/>
  <c r="U44" i="7"/>
  <c r="U40" i="7"/>
  <c r="U35" i="7"/>
  <c r="U34" i="7"/>
  <c r="U30" i="7"/>
  <c r="U29" i="7"/>
  <c r="U28" i="7"/>
  <c r="U16" i="7"/>
  <c r="U15" i="7"/>
  <c r="U14" i="7"/>
  <c r="U13" i="7"/>
  <c r="U11" i="7"/>
  <c r="U10" i="7"/>
  <c r="U9" i="7"/>
  <c r="U8" i="7"/>
  <c r="U7" i="7"/>
  <c r="U6" i="7"/>
  <c r="U5" i="7"/>
  <c r="U57" i="7" s="1"/>
  <c r="U4" i="7"/>
  <c r="S14" i="9"/>
  <c r="S13" i="9"/>
  <c r="S12" i="9"/>
  <c r="S11" i="9"/>
  <c r="S10" i="9"/>
  <c r="S9" i="9"/>
  <c r="S8" i="9"/>
  <c r="S7" i="9"/>
  <c r="S6" i="9"/>
  <c r="S4" i="9"/>
  <c r="S36" i="8"/>
  <c r="S35" i="8"/>
  <c r="S31" i="8"/>
  <c r="S30" i="8"/>
  <c r="S29" i="8"/>
  <c r="S28" i="8"/>
  <c r="S20" i="8"/>
  <c r="S19" i="8"/>
  <c r="S18" i="8"/>
  <c r="S17" i="8"/>
  <c r="S16" i="8"/>
  <c r="S15" i="8"/>
  <c r="S14" i="8"/>
  <c r="S13" i="8"/>
  <c r="S12" i="8"/>
  <c r="S11" i="8"/>
  <c r="S10" i="8"/>
  <c r="S9" i="8"/>
  <c r="S8" i="8"/>
  <c r="S7" i="8"/>
  <c r="S6" i="8"/>
  <c r="S5" i="8"/>
  <c r="U40" i="5"/>
  <c r="U31" i="5"/>
  <c r="U24" i="5"/>
  <c r="U23" i="5"/>
  <c r="U20" i="5"/>
  <c r="U19" i="5"/>
  <c r="U18" i="5"/>
  <c r="U17" i="5"/>
  <c r="U16" i="5"/>
  <c r="U15" i="5"/>
  <c r="U13" i="5"/>
  <c r="U12" i="5"/>
  <c r="U11" i="5"/>
  <c r="U22" i="5" s="1"/>
  <c r="U9" i="5"/>
  <c r="U8" i="5"/>
  <c r="U7" i="5"/>
  <c r="U6" i="5"/>
  <c r="U5" i="5"/>
  <c r="R40" i="5"/>
  <c r="R38" i="5"/>
  <c r="R33" i="5"/>
  <c r="R32" i="5"/>
  <c r="R31" i="5"/>
  <c r="R30" i="5"/>
  <c r="R29" i="5"/>
  <c r="R28" i="5"/>
  <c r="R27" i="5"/>
  <c r="R26" i="5"/>
  <c r="R25" i="5"/>
  <c r="R24" i="5"/>
  <c r="R23" i="5"/>
  <c r="R20" i="5"/>
  <c r="R19" i="5"/>
  <c r="R18" i="5"/>
  <c r="R17" i="5"/>
  <c r="R16" i="5"/>
  <c r="R15" i="5"/>
  <c r="R13" i="5"/>
  <c r="R12" i="5"/>
  <c r="R11" i="5"/>
  <c r="R22" i="5" s="1"/>
  <c r="R9" i="5"/>
  <c r="R8" i="5"/>
  <c r="R7" i="5"/>
  <c r="R6" i="5"/>
  <c r="R5" i="5"/>
  <c r="R14" i="9"/>
  <c r="R13" i="9"/>
  <c r="R12" i="9"/>
  <c r="R11" i="9"/>
  <c r="R10" i="9"/>
  <c r="T69" i="7"/>
  <c r="T68" i="7"/>
  <c r="T64" i="7"/>
  <c r="T51" i="7"/>
  <c r="T44" i="7"/>
  <c r="T40" i="7"/>
  <c r="T35" i="7"/>
  <c r="T34" i="7"/>
  <c r="T30" i="7"/>
  <c r="T29" i="7"/>
  <c r="T28" i="7"/>
  <c r="T16" i="7"/>
  <c r="T15" i="7"/>
  <c r="T14" i="7"/>
  <c r="T13" i="7"/>
  <c r="T11" i="7"/>
  <c r="T10" i="7"/>
  <c r="T9" i="7"/>
  <c r="T8" i="7"/>
  <c r="T7" i="7"/>
  <c r="T6" i="7"/>
  <c r="T5" i="7"/>
  <c r="T4" i="7"/>
  <c r="CT40" i="3" l="1"/>
  <c r="CQ62" i="3"/>
  <c r="CQ8" i="3"/>
  <c r="CT8" i="3" s="1"/>
  <c r="CT43" i="3"/>
  <c r="CT53" i="3"/>
  <c r="AM9" i="6"/>
  <c r="AM13" i="6"/>
  <c r="S47" i="5"/>
  <c r="AM6" i="6"/>
  <c r="CL69" i="3"/>
  <c r="AM11" i="6"/>
  <c r="T47" i="5"/>
  <c r="CO69" i="3"/>
  <c r="AM10" i="6"/>
  <c r="AM7" i="6"/>
  <c r="CL58" i="3"/>
  <c r="AM12" i="6"/>
  <c r="T35" i="5"/>
  <c r="V20" i="7"/>
  <c r="AM22" i="6"/>
  <c r="CO64" i="3"/>
  <c r="AM19" i="6"/>
  <c r="T28" i="6"/>
  <c r="T37" i="5"/>
  <c r="CQ66" i="3"/>
  <c r="AM18" i="6"/>
  <c r="AM24" i="6"/>
  <c r="S37" i="8"/>
  <c r="S24" i="8" s="1"/>
  <c r="CO6" i="3"/>
  <c r="CO80" i="3"/>
  <c r="AM20" i="6"/>
  <c r="T34" i="5"/>
  <c r="T36" i="5" s="1"/>
  <c r="CO22" i="3"/>
  <c r="CL24" i="3" s="1"/>
  <c r="CO11" i="3"/>
  <c r="CQ59" i="3"/>
  <c r="CQ63" i="3"/>
  <c r="CT62" i="3" s="1"/>
  <c r="V63" i="7"/>
  <c r="CL14" i="3"/>
  <c r="CO13" i="3" s="1"/>
  <c r="CO8" i="3"/>
  <c r="CL60" i="3"/>
  <c r="T34" i="6"/>
  <c r="T49" i="5"/>
  <c r="T39" i="5"/>
  <c r="T16" i="9"/>
  <c r="T20" i="9"/>
  <c r="V12" i="7"/>
  <c r="V25" i="7" s="1"/>
  <c r="CL36" i="3"/>
  <c r="CO35" i="3" s="1"/>
  <c r="CQ60" i="3"/>
  <c r="CT60" i="3" s="1"/>
  <c r="AM5" i="6"/>
  <c r="T5" i="9"/>
  <c r="T17" i="9" s="1"/>
  <c r="T10" i="5"/>
  <c r="CL62" i="3"/>
  <c r="CO40" i="3"/>
  <c r="CQ58" i="3"/>
  <c r="CL63" i="3"/>
  <c r="CO53" i="3"/>
  <c r="V50" i="7"/>
  <c r="CL48" i="3"/>
  <c r="R44" i="5"/>
  <c r="S41" i="5"/>
  <c r="CT66" i="3"/>
  <c r="AL21" i="6"/>
  <c r="T37" i="8"/>
  <c r="T24" i="8" s="1"/>
  <c r="AM23" i="6"/>
  <c r="T46" i="5"/>
  <c r="S21" i="9"/>
  <c r="CT64" i="3"/>
  <c r="CL67" i="3"/>
  <c r="T43" i="5"/>
  <c r="S35" i="5"/>
  <c r="S44" i="5"/>
  <c r="AL18" i="6"/>
  <c r="AL6" i="6"/>
  <c r="AL7" i="6"/>
  <c r="AL11" i="6"/>
  <c r="AL16" i="6"/>
  <c r="AL20" i="6"/>
  <c r="AL24" i="6"/>
  <c r="T31" i="6"/>
  <c r="T27" i="6"/>
  <c r="T30" i="6"/>
  <c r="T35" i="6"/>
  <c r="T29" i="6"/>
  <c r="T33" i="6"/>
  <c r="AL9" i="6"/>
  <c r="S27" i="6"/>
  <c r="S30" i="6"/>
  <c r="AL25" i="6"/>
  <c r="AL10" i="6"/>
  <c r="AL19" i="6"/>
  <c r="S28" i="6"/>
  <c r="CO43" i="3"/>
  <c r="CL18" i="3"/>
  <c r="CO17" i="3" s="1"/>
  <c r="CL27" i="3"/>
  <c r="CL32" i="3"/>
  <c r="CO31" i="3" s="1"/>
  <c r="CL28" i="3"/>
  <c r="CL79" i="3"/>
  <c r="CO78" i="3" s="1"/>
  <c r="CL20" i="3"/>
  <c r="CO19" i="3" s="1"/>
  <c r="CL49" i="3"/>
  <c r="CO48" i="3" s="1"/>
  <c r="CL56" i="3"/>
  <c r="CO55" i="3" s="1"/>
  <c r="CL74" i="3"/>
  <c r="CL16" i="3"/>
  <c r="CO15" i="3" s="1"/>
  <c r="CL25" i="3"/>
  <c r="CL29" i="3"/>
  <c r="CO29" i="3" s="1"/>
  <c r="CL34" i="3"/>
  <c r="CO33" i="3" s="1"/>
  <c r="CL38" i="3"/>
  <c r="CO38" i="3" s="1"/>
  <c r="V18" i="7"/>
  <c r="V22" i="7"/>
  <c r="V27" i="7"/>
  <c r="V32" i="7"/>
  <c r="V24" i="7"/>
  <c r="V53" i="7"/>
  <c r="V21" i="7"/>
  <c r="V19" i="7"/>
  <c r="U48" i="7"/>
  <c r="U33" i="7"/>
  <c r="U54" i="7"/>
  <c r="U24" i="7"/>
  <c r="U56" i="7"/>
  <c r="U26" i="7"/>
  <c r="T18" i="9"/>
  <c r="T19" i="9"/>
  <c r="S33" i="8"/>
  <c r="CQ51" i="3"/>
  <c r="CT50" i="3" s="1"/>
  <c r="U50" i="7"/>
  <c r="AL23" i="6"/>
  <c r="S46" i="5"/>
  <c r="U20" i="7"/>
  <c r="S37" i="5"/>
  <c r="CQ48" i="3"/>
  <c r="CT48" i="3" s="1"/>
  <c r="S45" i="5"/>
  <c r="T22" i="8"/>
  <c r="T33" i="8"/>
  <c r="U66" i="7"/>
  <c r="AL8" i="6"/>
  <c r="AL12" i="6"/>
  <c r="S20" i="9"/>
  <c r="U12" i="7"/>
  <c r="U25" i="7" s="1"/>
  <c r="AL13" i="6"/>
  <c r="S10" i="5"/>
  <c r="R47" i="5"/>
  <c r="U63" i="7"/>
  <c r="S49" i="5"/>
  <c r="S34" i="5"/>
  <c r="CG69" i="3"/>
  <c r="S32" i="6"/>
  <c r="S33" i="6" s="1"/>
  <c r="S5" i="9"/>
  <c r="S17" i="9" s="1"/>
  <c r="AL5" i="6"/>
  <c r="S22" i="8"/>
  <c r="S43" i="5"/>
  <c r="U46" i="5"/>
  <c r="U37" i="5"/>
  <c r="S29" i="6"/>
  <c r="CQ46" i="3"/>
  <c r="CT45" i="3" s="1"/>
  <c r="CT38" i="3"/>
  <c r="CQ27" i="3"/>
  <c r="CT27" i="3" s="1"/>
  <c r="CQ79" i="3"/>
  <c r="CT78" i="3" s="1"/>
  <c r="CT6" i="3"/>
  <c r="CQ40" i="3"/>
  <c r="CQ18" i="3"/>
  <c r="CT17" i="3" s="1"/>
  <c r="CQ36" i="3"/>
  <c r="CT35" i="3" s="1"/>
  <c r="CQ56" i="3"/>
  <c r="CT55" i="3" s="1"/>
  <c r="CQ74" i="3"/>
  <c r="CQ20" i="3"/>
  <c r="CT19" i="3" s="1"/>
  <c r="CQ16" i="3"/>
  <c r="CT15" i="3" s="1"/>
  <c r="CQ25" i="3"/>
  <c r="CQ29" i="3"/>
  <c r="CT29" i="3" s="1"/>
  <c r="CQ34" i="3"/>
  <c r="CT33" i="3" s="1"/>
  <c r="CQ38" i="3"/>
  <c r="U22" i="7"/>
  <c r="U27" i="7"/>
  <c r="U32" i="7"/>
  <c r="U19" i="7"/>
  <c r="U53" i="7"/>
  <c r="U47" i="5"/>
  <c r="U35" i="5"/>
  <c r="R35" i="5"/>
  <c r="R37" i="5"/>
  <c r="R34" i="5"/>
  <c r="R43" i="5"/>
  <c r="U45" i="5"/>
  <c r="U41" i="5"/>
  <c r="U44" i="5"/>
  <c r="R46" i="5"/>
  <c r="R41" i="5"/>
  <c r="U34" i="5"/>
  <c r="U43" i="5"/>
  <c r="R45" i="5"/>
  <c r="R25" i="6"/>
  <c r="AK25" i="6" s="1"/>
  <c r="R24" i="6"/>
  <c r="R23" i="6"/>
  <c r="R22" i="6"/>
  <c r="R21" i="6"/>
  <c r="AK21" i="6" s="1"/>
  <c r="R20" i="6"/>
  <c r="R19" i="6"/>
  <c r="R18" i="6"/>
  <c r="R17" i="6"/>
  <c r="AK17" i="6" s="1"/>
  <c r="R16" i="6"/>
  <c r="R14" i="6"/>
  <c r="R13" i="6"/>
  <c r="R12" i="6"/>
  <c r="R11" i="6"/>
  <c r="R10" i="6"/>
  <c r="R9" i="6"/>
  <c r="R8" i="6"/>
  <c r="R7" i="6"/>
  <c r="R6" i="6"/>
  <c r="R5" i="6"/>
  <c r="CB78" i="3"/>
  <c r="CB80" i="3" s="1"/>
  <c r="BW78" i="3"/>
  <c r="BW80" i="3" s="1"/>
  <c r="CB76" i="3"/>
  <c r="CB71" i="3"/>
  <c r="CG65" i="3"/>
  <c r="CJ64" i="3" s="1"/>
  <c r="CB65" i="3"/>
  <c r="CB64" i="3"/>
  <c r="CB54" i="3"/>
  <c r="CB53" i="3"/>
  <c r="CB55" i="3" s="1"/>
  <c r="CB50" i="3"/>
  <c r="CB45" i="3"/>
  <c r="CB44" i="3"/>
  <c r="CB46" i="3" s="1"/>
  <c r="CE45" i="3" s="1"/>
  <c r="CB43" i="3"/>
  <c r="CB39" i="3"/>
  <c r="CB41" i="3" s="1"/>
  <c r="CB35" i="3"/>
  <c r="CB33" i="3"/>
  <c r="CB31" i="3"/>
  <c r="CB30" i="3"/>
  <c r="CB19" i="3"/>
  <c r="CO62" i="3" s="1"/>
  <c r="CB15" i="3"/>
  <c r="CO60" i="3" s="1"/>
  <c r="CB12" i="3"/>
  <c r="CB9" i="3"/>
  <c r="CB56" i="3" s="1"/>
  <c r="CB7" i="3"/>
  <c r="CB6" i="3"/>
  <c r="CB17" i="3" s="1"/>
  <c r="CB81" i="3"/>
  <c r="BW81" i="3"/>
  <c r="BR81" i="3"/>
  <c r="BM81" i="3"/>
  <c r="BH81" i="3"/>
  <c r="BC81" i="3"/>
  <c r="AX81" i="3"/>
  <c r="AS81" i="3"/>
  <c r="AN81" i="3"/>
  <c r="AI81" i="3"/>
  <c r="AD81" i="3"/>
  <c r="Y81" i="3"/>
  <c r="T81" i="3"/>
  <c r="O81" i="3"/>
  <c r="J81" i="3"/>
  <c r="E81" i="3"/>
  <c r="W70" i="7"/>
  <c r="W71" i="7" s="1"/>
  <c r="T70" i="7"/>
  <c r="T71" i="7" s="1"/>
  <c r="S70" i="7"/>
  <c r="S71" i="7" s="1"/>
  <c r="R70" i="7"/>
  <c r="R71" i="7" s="1"/>
  <c r="Q70" i="7"/>
  <c r="Q71" i="7" s="1"/>
  <c r="P70" i="7"/>
  <c r="P71" i="7" s="1"/>
  <c r="O70" i="7"/>
  <c r="O71" i="7" s="1"/>
  <c r="N70" i="7"/>
  <c r="N71" i="7" s="1"/>
  <c r="M70" i="7"/>
  <c r="M71" i="7" s="1"/>
  <c r="L70" i="7"/>
  <c r="L71" i="7" s="1"/>
  <c r="K70" i="7"/>
  <c r="K71" i="7" s="1"/>
  <c r="J70" i="7"/>
  <c r="J71" i="7" s="1"/>
  <c r="I70" i="7"/>
  <c r="I71" i="7" s="1"/>
  <c r="H70" i="7"/>
  <c r="H71" i="7" s="1"/>
  <c r="G70" i="7"/>
  <c r="G71" i="7" s="1"/>
  <c r="F70" i="7"/>
  <c r="F71" i="7" s="1"/>
  <c r="E70" i="7"/>
  <c r="E71" i="7" s="1"/>
  <c r="R9" i="9"/>
  <c r="R8" i="9"/>
  <c r="R7" i="9"/>
  <c r="R6" i="9"/>
  <c r="R4" i="9"/>
  <c r="S16" i="9" s="1"/>
  <c r="R36" i="8"/>
  <c r="R31" i="8"/>
  <c r="R29" i="8"/>
  <c r="R28" i="8"/>
  <c r="R20" i="8"/>
  <c r="R18" i="8"/>
  <c r="R16" i="8"/>
  <c r="R15" i="8"/>
  <c r="R12" i="8"/>
  <c r="R11" i="8"/>
  <c r="R35" i="8"/>
  <c r="R30" i="8"/>
  <c r="R19" i="8"/>
  <c r="R17" i="8"/>
  <c r="R14" i="8"/>
  <c r="R13" i="8"/>
  <c r="R10" i="8"/>
  <c r="R9" i="8"/>
  <c r="R8" i="8"/>
  <c r="R7" i="8"/>
  <c r="R6" i="8"/>
  <c r="R5" i="8"/>
  <c r="Z47" i="1"/>
  <c r="Z46" i="1"/>
  <c r="Z45" i="1"/>
  <c r="CB22" i="3" s="1"/>
  <c r="Z43" i="1"/>
  <c r="Z44" i="1" s="1"/>
  <c r="CB23" i="3" s="1"/>
  <c r="Z42" i="1"/>
  <c r="R10" i="5" s="1"/>
  <c r="Z41" i="1"/>
  <c r="CB11" i="3" s="1"/>
  <c r="T57" i="7"/>
  <c r="J50" i="3"/>
  <c r="S35" i="6" l="1"/>
  <c r="S36" i="5"/>
  <c r="CO27" i="3"/>
  <c r="CO24" i="3"/>
  <c r="CL72" i="3"/>
  <c r="CO71" i="3" s="1"/>
  <c r="CL73" i="3"/>
  <c r="CL75" i="3" s="1"/>
  <c r="CO75" i="3" s="1"/>
  <c r="S25" i="8"/>
  <c r="S26" i="8" s="1"/>
  <c r="S40" i="8" s="1"/>
  <c r="S34" i="6"/>
  <c r="CT58" i="3"/>
  <c r="T39" i="8"/>
  <c r="V60" i="7"/>
  <c r="V59" i="7"/>
  <c r="CB70" i="3"/>
  <c r="CO58" i="3"/>
  <c r="CG67" i="3"/>
  <c r="CO66" i="3"/>
  <c r="U21" i="7"/>
  <c r="U18" i="7"/>
  <c r="T25" i="8"/>
  <c r="T26" i="8" s="1"/>
  <c r="T40" i="8" s="1"/>
  <c r="S39" i="8"/>
  <c r="S39" i="5"/>
  <c r="S19" i="9"/>
  <c r="U36" i="5"/>
  <c r="S18" i="9"/>
  <c r="U59" i="7"/>
  <c r="U60" i="7"/>
  <c r="R36" i="5"/>
  <c r="R39" i="5"/>
  <c r="R27" i="6"/>
  <c r="AK18" i="6"/>
  <c r="R30" i="6"/>
  <c r="AK19" i="6"/>
  <c r="AK16" i="6"/>
  <c r="AK20" i="6"/>
  <c r="AK24" i="6"/>
  <c r="AK6" i="6"/>
  <c r="AK10" i="6"/>
  <c r="U39" i="5"/>
  <c r="CB69" i="3"/>
  <c r="R48" i="5"/>
  <c r="R49" i="5" s="1"/>
  <c r="R31" i="6"/>
  <c r="CE53" i="3"/>
  <c r="R28" i="6"/>
  <c r="AK12" i="6"/>
  <c r="CB13" i="3"/>
  <c r="T12" i="7"/>
  <c r="T21" i="7" s="1"/>
  <c r="R32" i="6"/>
  <c r="R33" i="6" s="1"/>
  <c r="T63" i="7"/>
  <c r="T66" i="7"/>
  <c r="AK9" i="6"/>
  <c r="AK7" i="6"/>
  <c r="AK11" i="6"/>
  <c r="R5" i="9"/>
  <c r="CG61" i="3"/>
  <c r="CG59" i="3"/>
  <c r="CG63" i="3"/>
  <c r="AK8" i="6"/>
  <c r="CE69" i="3"/>
  <c r="AK5" i="6"/>
  <c r="AK13" i="6"/>
  <c r="CB79" i="3"/>
  <c r="CE78" i="3" s="1"/>
  <c r="T53" i="7"/>
  <c r="CE64" i="3"/>
  <c r="AK22" i="6"/>
  <c r="AK23" i="6"/>
  <c r="CE55" i="3"/>
  <c r="R29" i="6"/>
  <c r="CE80" i="3"/>
  <c r="T54" i="7"/>
  <c r="T26" i="7"/>
  <c r="R21" i="9"/>
  <c r="R37" i="8"/>
  <c r="R24" i="8" s="1"/>
  <c r="R33" i="8"/>
  <c r="R22" i="8"/>
  <c r="CB51" i="3"/>
  <c r="CE50" i="3" s="1"/>
  <c r="CB48" i="3"/>
  <c r="T50" i="7"/>
  <c r="CB49" i="3"/>
  <c r="CE48" i="3" s="1"/>
  <c r="T32" i="7"/>
  <c r="T20" i="7"/>
  <c r="T22" i="7"/>
  <c r="R20" i="9"/>
  <c r="T24" i="7"/>
  <c r="T33" i="7"/>
  <c r="T48" i="7"/>
  <c r="T19" i="7"/>
  <c r="T56" i="7"/>
  <c r="T27" i="7"/>
  <c r="CE6" i="3"/>
  <c r="CB18" i="3"/>
  <c r="CE17" i="3" s="1"/>
  <c r="CB28" i="3"/>
  <c r="CB36" i="3"/>
  <c r="CE35" i="3" s="1"/>
  <c r="CB40" i="3"/>
  <c r="CE40" i="3" s="1"/>
  <c r="CE43" i="3"/>
  <c r="CB74" i="3"/>
  <c r="CB16" i="3"/>
  <c r="CE15" i="3" s="1"/>
  <c r="CB25" i="3"/>
  <c r="CB29" i="3"/>
  <c r="CE29" i="3" s="1"/>
  <c r="CB34" i="3"/>
  <c r="CE33" i="3" s="1"/>
  <c r="CB38" i="3"/>
  <c r="CE38" i="3" s="1"/>
  <c r="CB20" i="3"/>
  <c r="CE19" i="3" s="1"/>
  <c r="CB8" i="3"/>
  <c r="CE8" i="3" s="1"/>
  <c r="CE11" i="3"/>
  <c r="CB14" i="3"/>
  <c r="CE13" i="3" s="1"/>
  <c r="CB27" i="3"/>
  <c r="CB32" i="3"/>
  <c r="CE31" i="3" s="1"/>
  <c r="P42" i="1"/>
  <c r="U61" i="7" l="1"/>
  <c r="CO73" i="3"/>
  <c r="S41" i="8"/>
  <c r="V61" i="7"/>
  <c r="T41" i="8"/>
  <c r="CE27" i="3"/>
  <c r="R35" i="6"/>
  <c r="R34" i="6"/>
  <c r="T59" i="7"/>
  <c r="T60" i="7"/>
  <c r="R25" i="8"/>
  <c r="R26" i="8" s="1"/>
  <c r="R40" i="8" s="1"/>
  <c r="R39" i="8"/>
  <c r="BR78" i="3"/>
  <c r="BR80" i="3" s="1"/>
  <c r="T61" i="7" l="1"/>
  <c r="R41" i="8"/>
  <c r="Y47" i="1"/>
  <c r="Y46" i="1"/>
  <c r="Y45" i="1"/>
  <c r="Y43" i="1"/>
  <c r="Y44" i="1" s="1"/>
  <c r="Y42" i="1"/>
  <c r="Y41" i="1"/>
  <c r="Q48" i="5" l="1"/>
  <c r="Q40" i="5"/>
  <c r="Q38" i="5"/>
  <c r="Q33" i="5"/>
  <c r="Q32" i="5"/>
  <c r="Q31" i="5"/>
  <c r="Q30" i="5"/>
  <c r="Q29" i="5"/>
  <c r="Q28" i="5"/>
  <c r="Q27" i="5"/>
  <c r="Q26" i="5"/>
  <c r="Q25" i="5"/>
  <c r="Q24" i="5"/>
  <c r="Q23" i="5"/>
  <c r="Q20" i="5"/>
  <c r="Q19" i="5"/>
  <c r="Q18" i="5"/>
  <c r="Q17" i="5"/>
  <c r="Q16" i="5"/>
  <c r="Q15" i="5"/>
  <c r="Q13" i="5"/>
  <c r="Q12" i="5"/>
  <c r="Q11" i="5"/>
  <c r="Q22" i="5" s="1"/>
  <c r="Q10" i="5"/>
  <c r="Q9" i="5"/>
  <c r="Q8" i="5"/>
  <c r="Q7" i="5"/>
  <c r="Q6" i="5"/>
  <c r="Q5" i="5"/>
  <c r="Q47" i="5" s="1"/>
  <c r="Q32" i="6"/>
  <c r="Q25" i="6"/>
  <c r="AJ25" i="6" s="1"/>
  <c r="Q24" i="6"/>
  <c r="Q23" i="6"/>
  <c r="Q22" i="6"/>
  <c r="Q21" i="6"/>
  <c r="Q20" i="6"/>
  <c r="Q19" i="6"/>
  <c r="Q18" i="6"/>
  <c r="Q17" i="6"/>
  <c r="AJ17" i="6" s="1"/>
  <c r="Q16" i="6"/>
  <c r="Q14" i="6"/>
  <c r="Q13" i="6"/>
  <c r="Q12" i="6"/>
  <c r="Q11" i="6"/>
  <c r="Q10" i="6"/>
  <c r="Q9" i="6"/>
  <c r="Q8" i="6"/>
  <c r="Q7" i="6"/>
  <c r="Q6" i="6"/>
  <c r="Q5" i="6"/>
  <c r="BW76" i="3"/>
  <c r="BW71" i="3"/>
  <c r="BW69" i="3"/>
  <c r="BW72" i="3" s="1"/>
  <c r="BW65" i="3"/>
  <c r="BW64" i="3"/>
  <c r="BW54" i="3"/>
  <c r="BW53" i="3"/>
  <c r="BW55" i="3" s="1"/>
  <c r="BW50" i="3"/>
  <c r="BW45" i="3"/>
  <c r="BW44" i="3"/>
  <c r="BW46" i="3" s="1"/>
  <c r="BW43" i="3"/>
  <c r="BW39" i="3"/>
  <c r="BW41" i="3" s="1"/>
  <c r="BW35" i="3"/>
  <c r="BW33" i="3"/>
  <c r="BW31" i="3"/>
  <c r="BW30" i="3"/>
  <c r="BW23" i="3"/>
  <c r="BW22" i="3"/>
  <c r="BW19" i="3"/>
  <c r="BW15" i="3"/>
  <c r="BW13" i="3"/>
  <c r="BW12" i="3"/>
  <c r="BW11" i="3"/>
  <c r="BW9" i="3"/>
  <c r="BZ80" i="3" s="1"/>
  <c r="BW7" i="3"/>
  <c r="BW6" i="3"/>
  <c r="BW17" i="3" s="1"/>
  <c r="BW73" i="3"/>
  <c r="BW75" i="3" s="1"/>
  <c r="S69" i="7"/>
  <c r="S68" i="7"/>
  <c r="S66" i="7"/>
  <c r="S64" i="7"/>
  <c r="S63" i="7"/>
  <c r="S51" i="7"/>
  <c r="S44" i="7"/>
  <c r="S40" i="7"/>
  <c r="S35" i="7"/>
  <c r="S34" i="7"/>
  <c r="S30" i="7"/>
  <c r="S29" i="7"/>
  <c r="S28" i="7"/>
  <c r="S16" i="7"/>
  <c r="S15" i="7"/>
  <c r="S14" i="7"/>
  <c r="S13" i="7"/>
  <c r="S12" i="7"/>
  <c r="S11" i="7"/>
  <c r="S10" i="7"/>
  <c r="S9" i="7"/>
  <c r="S8" i="7"/>
  <c r="S7" i="7"/>
  <c r="S6" i="7"/>
  <c r="S5" i="7"/>
  <c r="S57" i="7" s="1"/>
  <c r="S4" i="7"/>
  <c r="Q14" i="9"/>
  <c r="Q13" i="9"/>
  <c r="Q12" i="9"/>
  <c r="Q11" i="9"/>
  <c r="Q10" i="9"/>
  <c r="Q9" i="9"/>
  <c r="Q8" i="9"/>
  <c r="Q7" i="9"/>
  <c r="Q6" i="9"/>
  <c r="Q5" i="9"/>
  <c r="Q4" i="9"/>
  <c r="R16" i="9" s="1"/>
  <c r="Q36" i="8"/>
  <c r="Q35" i="8"/>
  <c r="Q31" i="8"/>
  <c r="Q30" i="8"/>
  <c r="Q29" i="8"/>
  <c r="Q28" i="8"/>
  <c r="Q20" i="8"/>
  <c r="Q19" i="8"/>
  <c r="Q18" i="8"/>
  <c r="Q17" i="8"/>
  <c r="Q16" i="8"/>
  <c r="Q15" i="8"/>
  <c r="Q14" i="8"/>
  <c r="Q13" i="8"/>
  <c r="Q12" i="8"/>
  <c r="Q11" i="8"/>
  <c r="Q10" i="8"/>
  <c r="Q9" i="8"/>
  <c r="Q8" i="8"/>
  <c r="Q7" i="8"/>
  <c r="Q6" i="8"/>
  <c r="Q5" i="8"/>
  <c r="Q34" i="6" l="1"/>
  <c r="S32" i="7"/>
  <c r="AJ21" i="6"/>
  <c r="BZ71" i="3"/>
  <c r="CB59" i="3"/>
  <c r="CB58" i="3"/>
  <c r="CB63" i="3"/>
  <c r="CB62" i="3"/>
  <c r="BZ75" i="3"/>
  <c r="Q49" i="5"/>
  <c r="CB61" i="3"/>
  <c r="CB60" i="3"/>
  <c r="Q31" i="6"/>
  <c r="BZ45" i="3"/>
  <c r="BZ6" i="3"/>
  <c r="CB67" i="3"/>
  <c r="CB66" i="3"/>
  <c r="BZ64" i="3"/>
  <c r="BZ11" i="3"/>
  <c r="BW70" i="3"/>
  <c r="BZ69" i="3" s="1"/>
  <c r="S27" i="7"/>
  <c r="T18" i="7"/>
  <c r="T25" i="7"/>
  <c r="R18" i="9"/>
  <c r="R19" i="9"/>
  <c r="R17" i="9"/>
  <c r="S26" i="7"/>
  <c r="Q45" i="5"/>
  <c r="Q37" i="8"/>
  <c r="Q24" i="8" s="1"/>
  <c r="S33" i="7"/>
  <c r="AJ18" i="6"/>
  <c r="AJ22" i="6"/>
  <c r="Q35" i="5"/>
  <c r="Q41" i="5"/>
  <c r="S54" i="7"/>
  <c r="AJ19" i="6"/>
  <c r="AJ23" i="6"/>
  <c r="AJ16" i="6"/>
  <c r="AJ20" i="6"/>
  <c r="AJ24" i="6"/>
  <c r="Q44" i="5"/>
  <c r="AJ9" i="6"/>
  <c r="AJ13" i="6"/>
  <c r="Q35" i="6"/>
  <c r="AJ6" i="6"/>
  <c r="AJ10" i="6"/>
  <c r="AJ7" i="6"/>
  <c r="AJ11" i="6"/>
  <c r="BZ22" i="3"/>
  <c r="BW24" i="3" s="1"/>
  <c r="AJ8" i="6"/>
  <c r="AJ12" i="6"/>
  <c r="AJ5" i="6"/>
  <c r="S50" i="7"/>
  <c r="S21" i="7"/>
  <c r="BZ53" i="3"/>
  <c r="Q37" i="5"/>
  <c r="S20" i="7"/>
  <c r="S53" i="7"/>
  <c r="S18" i="7"/>
  <c r="Q34" i="5"/>
  <c r="Q46" i="5"/>
  <c r="Q43" i="5"/>
  <c r="Q29" i="6"/>
  <c r="Q27" i="6"/>
  <c r="Q30" i="6"/>
  <c r="Q33" i="6"/>
  <c r="Q28" i="6"/>
  <c r="BW51" i="3"/>
  <c r="BZ50" i="3" s="1"/>
  <c r="BW79" i="3"/>
  <c r="BZ78" i="3" s="1"/>
  <c r="BW49" i="3"/>
  <c r="BW20" i="3"/>
  <c r="BZ19" i="3" s="1"/>
  <c r="BW18" i="3"/>
  <c r="BZ17" i="3" s="1"/>
  <c r="BW28" i="3"/>
  <c r="BW36" i="3"/>
  <c r="BZ35" i="3" s="1"/>
  <c r="BW40" i="3"/>
  <c r="BZ40" i="3" s="1"/>
  <c r="BZ43" i="3"/>
  <c r="BW56" i="3"/>
  <c r="BZ55" i="3" s="1"/>
  <c r="BW74" i="3"/>
  <c r="BZ73" i="3" s="1"/>
  <c r="BW16" i="3"/>
  <c r="BZ15" i="3" s="1"/>
  <c r="BW25" i="3"/>
  <c r="BW29" i="3"/>
  <c r="BZ29" i="3" s="1"/>
  <c r="BW34" i="3"/>
  <c r="BZ33" i="3" s="1"/>
  <c r="BW38" i="3"/>
  <c r="BZ38" i="3" s="1"/>
  <c r="BW48" i="3"/>
  <c r="BW8" i="3"/>
  <c r="BZ8" i="3" s="1"/>
  <c r="BW14" i="3"/>
  <c r="BZ13" i="3" s="1"/>
  <c r="BW27" i="3"/>
  <c r="BW32" i="3"/>
  <c r="BZ31" i="3" s="1"/>
  <c r="S22" i="7"/>
  <c r="S19" i="7"/>
  <c r="S24" i="7"/>
  <c r="S25" i="7"/>
  <c r="S48" i="7"/>
  <c r="S56" i="7"/>
  <c r="Q21" i="9"/>
  <c r="Q17" i="9"/>
  <c r="Q20" i="9"/>
  <c r="Q19" i="9"/>
  <c r="Q18" i="9"/>
  <c r="Q22" i="8"/>
  <c r="Q33" i="8"/>
  <c r="X47" i="1"/>
  <c r="X46" i="1"/>
  <c r="X45" i="1"/>
  <c r="X43" i="1"/>
  <c r="X44" i="1" s="1"/>
  <c r="X42" i="1"/>
  <c r="X41" i="1"/>
  <c r="BZ24" i="3" l="1"/>
  <c r="Q36" i="5"/>
  <c r="BZ27" i="3"/>
  <c r="Q39" i="5"/>
  <c r="Q25" i="8"/>
  <c r="Q26" i="8" s="1"/>
  <c r="Q40" i="8" s="1"/>
  <c r="S59" i="7"/>
  <c r="S60" i="7"/>
  <c r="BZ48" i="3"/>
  <c r="Q39" i="8"/>
  <c r="BR76" i="3"/>
  <c r="BR71" i="3"/>
  <c r="BR69" i="3"/>
  <c r="BR73" i="3" s="1"/>
  <c r="BR75" i="3" s="1"/>
  <c r="BR65" i="3"/>
  <c r="BR64" i="3"/>
  <c r="BH64" i="3"/>
  <c r="BR54" i="3"/>
  <c r="BR53" i="3"/>
  <c r="BR55" i="3" s="1"/>
  <c r="BR50" i="3"/>
  <c r="BR45" i="3"/>
  <c r="BR44" i="3"/>
  <c r="BR43" i="3"/>
  <c r="BR39" i="3"/>
  <c r="BR41" i="3" s="1"/>
  <c r="BR35" i="3"/>
  <c r="BR33" i="3"/>
  <c r="BR31" i="3"/>
  <c r="BR30" i="3"/>
  <c r="BR23" i="3"/>
  <c r="BR22" i="3"/>
  <c r="BR19" i="3"/>
  <c r="BR15" i="3"/>
  <c r="CE60" i="3" s="1"/>
  <c r="BR13" i="3"/>
  <c r="BR12" i="3"/>
  <c r="BR11" i="3"/>
  <c r="BR9" i="3"/>
  <c r="BU80" i="3" s="1"/>
  <c r="BR7" i="3"/>
  <c r="BR6" i="3"/>
  <c r="BR17" i="3" s="1"/>
  <c r="P38" i="5"/>
  <c r="P33" i="5"/>
  <c r="P32" i="5"/>
  <c r="P30" i="5"/>
  <c r="P29" i="5"/>
  <c r="P28" i="5"/>
  <c r="P27" i="5"/>
  <c r="P26" i="5"/>
  <c r="P25" i="5"/>
  <c r="P48" i="5"/>
  <c r="P40" i="5"/>
  <c r="P31" i="5"/>
  <c r="P24" i="5"/>
  <c r="P23" i="5"/>
  <c r="P20" i="5"/>
  <c r="P19" i="5"/>
  <c r="P18" i="5"/>
  <c r="P17" i="5"/>
  <c r="P16" i="5"/>
  <c r="P15" i="5"/>
  <c r="P13" i="5"/>
  <c r="P12" i="5"/>
  <c r="P11" i="5"/>
  <c r="P22" i="5" s="1"/>
  <c r="P10" i="5"/>
  <c r="P9" i="5"/>
  <c r="P8" i="5"/>
  <c r="P7" i="5"/>
  <c r="P6" i="5"/>
  <c r="P5" i="5"/>
  <c r="P47" i="5" s="1"/>
  <c r="P32" i="6"/>
  <c r="P25" i="6"/>
  <c r="AI25" i="6" s="1"/>
  <c r="P24" i="6"/>
  <c r="P23" i="6"/>
  <c r="P22" i="6"/>
  <c r="P21" i="6"/>
  <c r="AI21" i="6" s="1"/>
  <c r="P20" i="6"/>
  <c r="P19" i="6"/>
  <c r="P18" i="6"/>
  <c r="P17" i="6"/>
  <c r="AI17" i="6" s="1"/>
  <c r="P16" i="6"/>
  <c r="P14" i="6"/>
  <c r="P13" i="6"/>
  <c r="P12" i="6"/>
  <c r="P11" i="6"/>
  <c r="P10" i="6"/>
  <c r="P9" i="6"/>
  <c r="P8" i="6"/>
  <c r="P7" i="6"/>
  <c r="P6" i="6"/>
  <c r="P5" i="6"/>
  <c r="R69" i="7"/>
  <c r="R68" i="7"/>
  <c r="R66" i="7"/>
  <c r="R64" i="7"/>
  <c r="R63" i="7"/>
  <c r="R51" i="7"/>
  <c r="R44" i="7"/>
  <c r="R40" i="7"/>
  <c r="R35" i="7"/>
  <c r="R34" i="7"/>
  <c r="R30" i="7"/>
  <c r="R29" i="7"/>
  <c r="R28" i="7"/>
  <c r="R16" i="7"/>
  <c r="R15" i="7"/>
  <c r="R14" i="7"/>
  <c r="R13" i="7"/>
  <c r="R12" i="7"/>
  <c r="R11" i="7"/>
  <c r="R10" i="7"/>
  <c r="R9" i="7"/>
  <c r="R8" i="7"/>
  <c r="R7" i="7"/>
  <c r="R6" i="7"/>
  <c r="R5" i="7"/>
  <c r="R57" i="7" s="1"/>
  <c r="R4" i="7"/>
  <c r="P14" i="9"/>
  <c r="P13" i="9"/>
  <c r="P12" i="9"/>
  <c r="P11" i="9"/>
  <c r="P10" i="9"/>
  <c r="P9" i="9"/>
  <c r="P8" i="9"/>
  <c r="P7" i="9"/>
  <c r="P6" i="9"/>
  <c r="P5" i="9"/>
  <c r="P4" i="9"/>
  <c r="U6" i="8"/>
  <c r="P36" i="8"/>
  <c r="P35" i="8"/>
  <c r="P31" i="8"/>
  <c r="P30" i="8"/>
  <c r="P29" i="8"/>
  <c r="P28" i="8"/>
  <c r="P20" i="8"/>
  <c r="P19" i="8"/>
  <c r="P18" i="8"/>
  <c r="P17" i="8"/>
  <c r="P16" i="8"/>
  <c r="P15" i="8"/>
  <c r="P14" i="8"/>
  <c r="P13" i="8"/>
  <c r="P12" i="8"/>
  <c r="P11" i="8"/>
  <c r="P10" i="8"/>
  <c r="P9" i="8"/>
  <c r="P8" i="8"/>
  <c r="P7" i="8"/>
  <c r="P6" i="8"/>
  <c r="P5" i="8"/>
  <c r="Q41" i="8" l="1"/>
  <c r="BR51" i="3"/>
  <c r="BU50" i="3" s="1"/>
  <c r="Q16" i="9"/>
  <c r="CE66" i="3"/>
  <c r="CE62" i="3"/>
  <c r="CE58" i="3"/>
  <c r="S61" i="7"/>
  <c r="BW63" i="3"/>
  <c r="BW62" i="3"/>
  <c r="BR70" i="3"/>
  <c r="BU69" i="3" s="1"/>
  <c r="BW59" i="3"/>
  <c r="BW58" i="3"/>
  <c r="BW61" i="3"/>
  <c r="BW60" i="3"/>
  <c r="R26" i="7"/>
  <c r="BU64" i="3"/>
  <c r="BU43" i="3"/>
  <c r="BU53" i="3"/>
  <c r="BR79" i="3"/>
  <c r="BU78" i="3" s="1"/>
  <c r="BW67" i="3"/>
  <c r="BU6" i="3"/>
  <c r="BW66" i="3"/>
  <c r="AI6" i="6"/>
  <c r="AI7" i="6"/>
  <c r="AI12" i="6"/>
  <c r="P20" i="9"/>
  <c r="P21" i="9"/>
  <c r="BR46" i="3"/>
  <c r="BU45" i="3" s="1"/>
  <c r="P31" i="6"/>
  <c r="AI11" i="6"/>
  <c r="P27" i="6"/>
  <c r="AI18" i="6"/>
  <c r="P30" i="6"/>
  <c r="AI19" i="6"/>
  <c r="P28" i="6"/>
  <c r="P33" i="8"/>
  <c r="P37" i="8"/>
  <c r="P24" i="8" s="1"/>
  <c r="AI16" i="6"/>
  <c r="AI20" i="6"/>
  <c r="AI24" i="6"/>
  <c r="P44" i="5"/>
  <c r="P35" i="5"/>
  <c r="AI9" i="6"/>
  <c r="AI10" i="6"/>
  <c r="P49" i="5"/>
  <c r="BU22" i="3"/>
  <c r="BR24" i="3" s="1"/>
  <c r="P19" i="9"/>
  <c r="BR72" i="3"/>
  <c r="BU71" i="3" s="1"/>
  <c r="BU75" i="3"/>
  <c r="P17" i="9"/>
  <c r="P34" i="6"/>
  <c r="P22" i="8"/>
  <c r="R59" i="7" s="1"/>
  <c r="AI8" i="6"/>
  <c r="R27" i="7"/>
  <c r="AI5" i="6"/>
  <c r="AI13" i="6"/>
  <c r="BU11" i="3"/>
  <c r="P18" i="9"/>
  <c r="R48" i="7"/>
  <c r="R32" i="7"/>
  <c r="R54" i="7"/>
  <c r="R50" i="7"/>
  <c r="R18" i="7"/>
  <c r="P45" i="5"/>
  <c r="AI22" i="6"/>
  <c r="P46" i="5"/>
  <c r="P41" i="5"/>
  <c r="AI23" i="6"/>
  <c r="BR28" i="3"/>
  <c r="BR49" i="3"/>
  <c r="BR18" i="3"/>
  <c r="BU17" i="3" s="1"/>
  <c r="BR36" i="3"/>
  <c r="BU35" i="3" s="1"/>
  <c r="BR40" i="3"/>
  <c r="BU40" i="3" s="1"/>
  <c r="BR56" i="3"/>
  <c r="BU55" i="3" s="1"/>
  <c r="BR74" i="3"/>
  <c r="BU73" i="3" s="1"/>
  <c r="BR20" i="3"/>
  <c r="BU19" i="3" s="1"/>
  <c r="BR16" i="3"/>
  <c r="BU15" i="3" s="1"/>
  <c r="BR25" i="3"/>
  <c r="BR29" i="3"/>
  <c r="BU29" i="3" s="1"/>
  <c r="BR34" i="3"/>
  <c r="BU33" i="3" s="1"/>
  <c r="BR38" i="3"/>
  <c r="BU38" i="3" s="1"/>
  <c r="BR48" i="3"/>
  <c r="BR8" i="3"/>
  <c r="BU8" i="3" s="1"/>
  <c r="BR14" i="3"/>
  <c r="BU13" i="3" s="1"/>
  <c r="BR27" i="3"/>
  <c r="BR32" i="3"/>
  <c r="BU31" i="3" s="1"/>
  <c r="P37" i="5"/>
  <c r="P34" i="5"/>
  <c r="P43" i="5"/>
  <c r="P35" i="6"/>
  <c r="P29" i="6"/>
  <c r="P33" i="6"/>
  <c r="R19" i="7"/>
  <c r="R24" i="7"/>
  <c r="R33" i="7"/>
  <c r="R25" i="7"/>
  <c r="R21" i="7"/>
  <c r="R56" i="7"/>
  <c r="R53" i="7"/>
  <c r="R20" i="7"/>
  <c r="R22" i="7"/>
  <c r="W47" i="1"/>
  <c r="W46" i="1"/>
  <c r="W45" i="1"/>
  <c r="W43" i="1"/>
  <c r="W44" i="1" s="1"/>
  <c r="W42" i="1"/>
  <c r="W41" i="1"/>
  <c r="BU24" i="3" l="1"/>
  <c r="P25" i="8"/>
  <c r="P26" i="8" s="1"/>
  <c r="P40" i="8" s="1"/>
  <c r="P36" i="5"/>
  <c r="P39" i="8"/>
  <c r="BU27" i="3"/>
  <c r="R60" i="7"/>
  <c r="BU48" i="3"/>
  <c r="P39" i="5"/>
  <c r="O32" i="6"/>
  <c r="O25" i="6"/>
  <c r="O24" i="6"/>
  <c r="O23" i="6"/>
  <c r="O22" i="6"/>
  <c r="O21" i="6"/>
  <c r="O20" i="6"/>
  <c r="O19" i="6"/>
  <c r="O18" i="6"/>
  <c r="O17" i="6"/>
  <c r="O16" i="6"/>
  <c r="O14" i="6"/>
  <c r="O13" i="6"/>
  <c r="O12" i="6"/>
  <c r="O11" i="6"/>
  <c r="O10" i="6"/>
  <c r="O9" i="6"/>
  <c r="O8" i="6"/>
  <c r="O7" i="6"/>
  <c r="O6" i="6"/>
  <c r="O5" i="6"/>
  <c r="AH5" i="6" s="1"/>
  <c r="O33" i="5"/>
  <c r="N33" i="5"/>
  <c r="O48" i="5"/>
  <c r="O40" i="5"/>
  <c r="O38" i="5"/>
  <c r="O32" i="5"/>
  <c r="O31" i="5"/>
  <c r="O30" i="5"/>
  <c r="O29" i="5"/>
  <c r="O28" i="5"/>
  <c r="O27" i="5"/>
  <c r="O26" i="5"/>
  <c r="O25" i="5"/>
  <c r="O24" i="5"/>
  <c r="O23" i="5"/>
  <c r="O20" i="5"/>
  <c r="O19" i="5"/>
  <c r="O18" i="5"/>
  <c r="O17" i="5"/>
  <c r="O16" i="5"/>
  <c r="O15" i="5"/>
  <c r="O13" i="5"/>
  <c r="O12" i="5"/>
  <c r="O11" i="5"/>
  <c r="O22" i="5" s="1"/>
  <c r="O10" i="5"/>
  <c r="O9" i="5"/>
  <c r="O8" i="5"/>
  <c r="O7" i="5"/>
  <c r="O6" i="5"/>
  <c r="O5" i="5"/>
  <c r="O47" i="5" s="1"/>
  <c r="R61" i="7" l="1"/>
  <c r="AH7" i="6"/>
  <c r="P41" i="8"/>
  <c r="O41" i="5"/>
  <c r="AH13" i="6"/>
  <c r="AH8" i="6"/>
  <c r="AH6" i="6"/>
  <c r="AH24" i="6"/>
  <c r="AH11" i="6"/>
  <c r="O46" i="5"/>
  <c r="O35" i="5"/>
  <c r="AH10" i="6"/>
  <c r="AH12" i="6"/>
  <c r="AH9" i="6"/>
  <c r="AH21" i="6"/>
  <c r="AH25" i="6"/>
  <c r="O44" i="5"/>
  <c r="O37" i="5"/>
  <c r="AH18" i="6"/>
  <c r="AH22" i="6"/>
  <c r="O31" i="6"/>
  <c r="O27" i="6"/>
  <c r="O30" i="6"/>
  <c r="O35" i="6"/>
  <c r="O49" i="5"/>
  <c r="AH19" i="6"/>
  <c r="AH23" i="6"/>
  <c r="O28" i="6"/>
  <c r="AH17" i="6"/>
  <c r="O34" i="5"/>
  <c r="O45" i="5"/>
  <c r="AH16" i="6"/>
  <c r="AH20" i="6"/>
  <c r="O34" i="6"/>
  <c r="O29" i="6"/>
  <c r="O33" i="6"/>
  <c r="O43" i="5"/>
  <c r="BM78" i="3"/>
  <c r="BM80" i="3" s="1"/>
  <c r="BM76" i="3"/>
  <c r="BM71" i="3"/>
  <c r="BM69" i="3"/>
  <c r="BM73" i="3" s="1"/>
  <c r="BM75" i="3" s="1"/>
  <c r="BM65" i="3"/>
  <c r="BM64" i="3"/>
  <c r="BM54" i="3"/>
  <c r="BM53" i="3"/>
  <c r="BM55" i="3" s="1"/>
  <c r="BM50" i="3"/>
  <c r="BM45" i="3"/>
  <c r="BM44" i="3"/>
  <c r="BM46" i="3" s="1"/>
  <c r="BM43" i="3"/>
  <c r="BM39" i="3"/>
  <c r="BM41" i="3" s="1"/>
  <c r="BM35" i="3"/>
  <c r="BM33" i="3"/>
  <c r="BM31" i="3"/>
  <c r="BM30" i="3"/>
  <c r="BM23" i="3"/>
  <c r="BM22" i="3"/>
  <c r="BM19" i="3"/>
  <c r="BM15" i="3"/>
  <c r="BM13" i="3"/>
  <c r="BM12" i="3"/>
  <c r="BR58" i="3" s="1"/>
  <c r="BM11" i="3"/>
  <c r="BM9" i="3"/>
  <c r="BP80" i="3" s="1"/>
  <c r="BM7" i="3"/>
  <c r="BM6" i="3"/>
  <c r="BM17" i="3" s="1"/>
  <c r="Q69" i="7"/>
  <c r="Q68" i="7"/>
  <c r="Q66" i="7"/>
  <c r="Q64" i="7"/>
  <c r="Q63" i="7"/>
  <c r="Q51" i="7"/>
  <c r="Q44" i="7"/>
  <c r="Q40" i="7"/>
  <c r="Q35" i="7"/>
  <c r="Q34" i="7"/>
  <c r="Q30" i="7"/>
  <c r="Q29" i="7"/>
  <c r="Q28" i="7"/>
  <c r="Q16" i="7"/>
  <c r="Q15" i="7"/>
  <c r="Q14" i="7"/>
  <c r="Q13" i="7"/>
  <c r="Q12" i="7"/>
  <c r="Q11" i="7"/>
  <c r="Q10" i="7"/>
  <c r="Q9" i="7"/>
  <c r="Q8" i="7"/>
  <c r="Q7" i="7"/>
  <c r="Q6" i="7"/>
  <c r="Q5" i="7"/>
  <c r="Q4" i="7"/>
  <c r="O14" i="9"/>
  <c r="O13" i="9"/>
  <c r="O12" i="9"/>
  <c r="O11" i="9"/>
  <c r="O10" i="9"/>
  <c r="O9" i="9"/>
  <c r="O8" i="9"/>
  <c r="O7" i="9"/>
  <c r="O6" i="9"/>
  <c r="O5" i="9"/>
  <c r="O4" i="9"/>
  <c r="P16" i="9" s="1"/>
  <c r="U35" i="8"/>
  <c r="U37" i="8" s="1"/>
  <c r="U24" i="8" s="1"/>
  <c r="U30" i="8"/>
  <c r="U19" i="8"/>
  <c r="U17" i="8"/>
  <c r="U14" i="8"/>
  <c r="U13" i="8"/>
  <c r="U9" i="8"/>
  <c r="U8" i="8"/>
  <c r="U7" i="8"/>
  <c r="U5" i="8"/>
  <c r="O36" i="8"/>
  <c r="O35" i="8"/>
  <c r="O31" i="8"/>
  <c r="O30" i="8"/>
  <c r="O29" i="8"/>
  <c r="O28" i="8"/>
  <c r="O20" i="8"/>
  <c r="O19" i="8"/>
  <c r="O18" i="8"/>
  <c r="O17" i="8"/>
  <c r="O16" i="8"/>
  <c r="O15" i="8"/>
  <c r="O14" i="8"/>
  <c r="O13" i="8"/>
  <c r="O12" i="8"/>
  <c r="O11" i="8"/>
  <c r="O10" i="8"/>
  <c r="O9" i="8"/>
  <c r="O8" i="8"/>
  <c r="O7" i="8"/>
  <c r="O6" i="8"/>
  <c r="O5" i="8"/>
  <c r="BP53" i="3" l="1"/>
  <c r="Q57" i="7"/>
  <c r="BP75" i="3"/>
  <c r="BM51" i="3"/>
  <c r="BP50" i="3" s="1"/>
  <c r="O37" i="8"/>
  <c r="O24" i="8" s="1"/>
  <c r="BP22" i="3"/>
  <c r="BM24" i="3" s="1"/>
  <c r="BM70" i="3"/>
  <c r="BP69" i="3" s="1"/>
  <c r="BZ62" i="3"/>
  <c r="BZ60" i="3"/>
  <c r="BZ58" i="3"/>
  <c r="BZ66" i="3"/>
  <c r="Q18" i="7"/>
  <c r="BP64" i="3"/>
  <c r="Q19" i="7"/>
  <c r="BR61" i="3"/>
  <c r="BR60" i="3"/>
  <c r="BR63" i="3"/>
  <c r="BR62" i="3"/>
  <c r="BR59" i="3"/>
  <c r="Q50" i="7"/>
  <c r="O36" i="5"/>
  <c r="BM79" i="3"/>
  <c r="BP78" i="3" s="1"/>
  <c r="BR67" i="3"/>
  <c r="BR66" i="3"/>
  <c r="BP45" i="3"/>
  <c r="Q20" i="7"/>
  <c r="O17" i="9"/>
  <c r="O19" i="9"/>
  <c r="Q26" i="7"/>
  <c r="O22" i="8"/>
  <c r="O39" i="8" s="1"/>
  <c r="O33" i="8"/>
  <c r="O21" i="9"/>
  <c r="Q54" i="7"/>
  <c r="O39" i="5"/>
  <c r="O20" i="9"/>
  <c r="Q22" i="7"/>
  <c r="U22" i="8"/>
  <c r="U33" i="8"/>
  <c r="Q32" i="7"/>
  <c r="BM72" i="3"/>
  <c r="BP71" i="3" s="1"/>
  <c r="BM48" i="3"/>
  <c r="BM49" i="3"/>
  <c r="BP48" i="3" s="1"/>
  <c r="BP6" i="3"/>
  <c r="BM18" i="3"/>
  <c r="BP17" i="3" s="1"/>
  <c r="BM28" i="3"/>
  <c r="BM36" i="3"/>
  <c r="BP35" i="3" s="1"/>
  <c r="BM40" i="3"/>
  <c r="BP40" i="3" s="1"/>
  <c r="BP43" i="3"/>
  <c r="BM56" i="3"/>
  <c r="BP55" i="3" s="1"/>
  <c r="BM74" i="3"/>
  <c r="BP73" i="3" s="1"/>
  <c r="BM20" i="3"/>
  <c r="BP19" i="3" s="1"/>
  <c r="BM16" i="3"/>
  <c r="BP15" i="3" s="1"/>
  <c r="BM25" i="3"/>
  <c r="BM29" i="3"/>
  <c r="BP29" i="3" s="1"/>
  <c r="BM34" i="3"/>
  <c r="BP33" i="3" s="1"/>
  <c r="BM38" i="3"/>
  <c r="BP38" i="3" s="1"/>
  <c r="BM8" i="3"/>
  <c r="BP8" i="3" s="1"/>
  <c r="BP11" i="3"/>
  <c r="BM14" i="3"/>
  <c r="BP13" i="3" s="1"/>
  <c r="BM27" i="3"/>
  <c r="BM32" i="3"/>
  <c r="BP31" i="3" s="1"/>
  <c r="Q24" i="7"/>
  <c r="Q53" i="7"/>
  <c r="Q25" i="7"/>
  <c r="Q48" i="7"/>
  <c r="Q21" i="7"/>
  <c r="Q56" i="7"/>
  <c r="Q33" i="7"/>
  <c r="Q27" i="7"/>
  <c r="O18" i="9"/>
  <c r="BP24" i="3" l="1"/>
  <c r="BP27" i="3"/>
  <c r="O25" i="8"/>
  <c r="O26" i="8" s="1"/>
  <c r="O40" i="8" s="1"/>
  <c r="O41" i="8" s="1"/>
  <c r="U25" i="8"/>
  <c r="U26" i="8" s="1"/>
  <c r="U40" i="8" s="1"/>
  <c r="U39" i="8"/>
  <c r="Q60" i="7"/>
  <c r="Q59" i="7"/>
  <c r="A2" i="9"/>
  <c r="Q61" i="7" l="1"/>
  <c r="U41" i="8"/>
  <c r="D14" i="9"/>
  <c r="E14" i="9"/>
  <c r="F14" i="9"/>
  <c r="G14" i="9"/>
  <c r="H14" i="9"/>
  <c r="I14" i="9"/>
  <c r="J14" i="9"/>
  <c r="K14" i="9"/>
  <c r="L14" i="9"/>
  <c r="M14" i="9"/>
  <c r="N14" i="9"/>
  <c r="U14" i="9"/>
  <c r="C14" i="9"/>
  <c r="D13" i="9"/>
  <c r="E13" i="9"/>
  <c r="F13" i="9"/>
  <c r="G13" i="9"/>
  <c r="H13" i="9"/>
  <c r="I13" i="9"/>
  <c r="J13" i="9"/>
  <c r="K13" i="9"/>
  <c r="L13" i="9"/>
  <c r="M13" i="9"/>
  <c r="N13" i="9"/>
  <c r="U13" i="9"/>
  <c r="C13" i="9"/>
  <c r="D12" i="9"/>
  <c r="E12" i="9"/>
  <c r="F12" i="9"/>
  <c r="G12" i="9"/>
  <c r="H12" i="9"/>
  <c r="I12" i="9"/>
  <c r="J12" i="9"/>
  <c r="K12" i="9"/>
  <c r="L12" i="9"/>
  <c r="M12" i="9"/>
  <c r="N12" i="9"/>
  <c r="U12" i="9"/>
  <c r="C12" i="9"/>
  <c r="D11" i="9"/>
  <c r="E11" i="9"/>
  <c r="F11" i="9"/>
  <c r="G11" i="9"/>
  <c r="H11" i="9"/>
  <c r="I11" i="9"/>
  <c r="J11" i="9"/>
  <c r="K11" i="9"/>
  <c r="L11" i="9"/>
  <c r="M11" i="9"/>
  <c r="N11" i="9"/>
  <c r="U11" i="9"/>
  <c r="C11" i="9"/>
  <c r="D10" i="9"/>
  <c r="E10" i="9"/>
  <c r="F10" i="9"/>
  <c r="G10" i="9"/>
  <c r="H10" i="9"/>
  <c r="I10" i="9"/>
  <c r="J10" i="9"/>
  <c r="K10" i="9"/>
  <c r="L10" i="9"/>
  <c r="M10" i="9"/>
  <c r="M21" i="9" s="1"/>
  <c r="N10" i="9"/>
  <c r="U10" i="9"/>
  <c r="C10" i="9"/>
  <c r="D9" i="9"/>
  <c r="E9" i="9"/>
  <c r="F9" i="9"/>
  <c r="G9" i="9"/>
  <c r="H9" i="9"/>
  <c r="I9" i="9"/>
  <c r="J9" i="9"/>
  <c r="K9" i="9"/>
  <c r="L9" i="9"/>
  <c r="M9" i="9"/>
  <c r="N9" i="9"/>
  <c r="U9" i="9"/>
  <c r="C9" i="9"/>
  <c r="D8" i="9"/>
  <c r="E8" i="9"/>
  <c r="F8" i="9"/>
  <c r="G8" i="9"/>
  <c r="H8" i="9"/>
  <c r="I8" i="9"/>
  <c r="J8" i="9"/>
  <c r="K8" i="9"/>
  <c r="L8" i="9"/>
  <c r="M8" i="9"/>
  <c r="N8" i="9"/>
  <c r="U8" i="9"/>
  <c r="C8" i="9"/>
  <c r="D7" i="9"/>
  <c r="E7" i="9"/>
  <c r="F7" i="9"/>
  <c r="G7" i="9"/>
  <c r="H7" i="9"/>
  <c r="I7" i="9"/>
  <c r="J7" i="9"/>
  <c r="K7" i="9"/>
  <c r="L7" i="9"/>
  <c r="M7" i="9"/>
  <c r="N7" i="9"/>
  <c r="U7" i="9"/>
  <c r="C7" i="9"/>
  <c r="D6" i="9"/>
  <c r="E6" i="9"/>
  <c r="F6" i="9"/>
  <c r="G6" i="9"/>
  <c r="H6" i="9"/>
  <c r="I6" i="9"/>
  <c r="J6" i="9"/>
  <c r="K6" i="9"/>
  <c r="L6" i="9"/>
  <c r="M6" i="9"/>
  <c r="N6" i="9"/>
  <c r="U6" i="9"/>
  <c r="C6" i="9"/>
  <c r="U4" i="9"/>
  <c r="U16" i="9" s="1"/>
  <c r="N4" i="9"/>
  <c r="M4" i="9"/>
  <c r="L4" i="9"/>
  <c r="K4" i="9"/>
  <c r="J4" i="9"/>
  <c r="I4" i="9"/>
  <c r="H4" i="9"/>
  <c r="G4" i="9"/>
  <c r="F4" i="9"/>
  <c r="E4" i="9"/>
  <c r="D4" i="9"/>
  <c r="C4" i="9"/>
  <c r="N38" i="5"/>
  <c r="N32" i="5"/>
  <c r="N30" i="5"/>
  <c r="N29" i="5"/>
  <c r="N28" i="5"/>
  <c r="N27" i="5"/>
  <c r="N26" i="5"/>
  <c r="N25" i="5"/>
  <c r="N40" i="5"/>
  <c r="N31" i="5"/>
  <c r="N24" i="5"/>
  <c r="N23" i="5"/>
  <c r="N20" i="5"/>
  <c r="N19" i="5"/>
  <c r="N18" i="5"/>
  <c r="N17" i="5"/>
  <c r="N16" i="5"/>
  <c r="N15" i="5"/>
  <c r="N13" i="5"/>
  <c r="N12" i="5"/>
  <c r="N11" i="5"/>
  <c r="N22" i="5" s="1"/>
  <c r="N9" i="5"/>
  <c r="N8" i="5"/>
  <c r="N7" i="5"/>
  <c r="N6" i="5"/>
  <c r="N5" i="5"/>
  <c r="N25" i="6"/>
  <c r="N24" i="6"/>
  <c r="N23" i="6"/>
  <c r="N22" i="6"/>
  <c r="N21" i="6"/>
  <c r="N20" i="6"/>
  <c r="N19" i="6"/>
  <c r="N18" i="6"/>
  <c r="N17" i="6"/>
  <c r="N16" i="6"/>
  <c r="N14" i="6"/>
  <c r="N13" i="6"/>
  <c r="N12" i="6"/>
  <c r="N11" i="6"/>
  <c r="N10" i="6"/>
  <c r="N9" i="6"/>
  <c r="N8" i="6"/>
  <c r="N7" i="6"/>
  <c r="N6" i="6"/>
  <c r="N5" i="6"/>
  <c r="AG5" i="6" s="1"/>
  <c r="N36" i="8"/>
  <c r="N31" i="8"/>
  <c r="N29" i="8"/>
  <c r="M29" i="8"/>
  <c r="L29" i="8"/>
  <c r="N28" i="8"/>
  <c r="M28" i="8"/>
  <c r="L28" i="8"/>
  <c r="N20" i="8"/>
  <c r="N18" i="8"/>
  <c r="N16" i="8"/>
  <c r="N15" i="8"/>
  <c r="N12" i="8"/>
  <c r="M12" i="8"/>
  <c r="L12" i="8"/>
  <c r="N11" i="8"/>
  <c r="BH78" i="3"/>
  <c r="BH80" i="3" s="1"/>
  <c r="BH76" i="3"/>
  <c r="BH71" i="3"/>
  <c r="BH65" i="3"/>
  <c r="J64" i="3"/>
  <c r="J65" i="3"/>
  <c r="O64" i="3"/>
  <c r="O65" i="3"/>
  <c r="BH54" i="3"/>
  <c r="BH53" i="3"/>
  <c r="BH55" i="3" s="1"/>
  <c r="BH50" i="3"/>
  <c r="BH45" i="3"/>
  <c r="BH44" i="3"/>
  <c r="BH46" i="3" s="1"/>
  <c r="BH43" i="3"/>
  <c r="BH39" i="3"/>
  <c r="BH41" i="3" s="1"/>
  <c r="BH35" i="3"/>
  <c r="BH33" i="3"/>
  <c r="BH31" i="3"/>
  <c r="BH30" i="3"/>
  <c r="BH19" i="3"/>
  <c r="BH15" i="3"/>
  <c r="BH12" i="3"/>
  <c r="BH36" i="3" s="1"/>
  <c r="BH9" i="3"/>
  <c r="BH7" i="3"/>
  <c r="BH6" i="3"/>
  <c r="BH17" i="3" s="1"/>
  <c r="P69" i="7"/>
  <c r="P68" i="7"/>
  <c r="P64" i="7"/>
  <c r="P51" i="7"/>
  <c r="P44" i="7"/>
  <c r="P40" i="7"/>
  <c r="P35" i="7"/>
  <c r="P34" i="7"/>
  <c r="P30" i="7"/>
  <c r="P29" i="7"/>
  <c r="P28" i="7"/>
  <c r="P16" i="7"/>
  <c r="P15" i="7"/>
  <c r="P14" i="7"/>
  <c r="P13" i="7"/>
  <c r="P11" i="7"/>
  <c r="P10" i="7"/>
  <c r="P9" i="7"/>
  <c r="P8" i="7"/>
  <c r="P7" i="7"/>
  <c r="P6" i="7"/>
  <c r="P20" i="7" s="1"/>
  <c r="P5" i="7"/>
  <c r="P4" i="7"/>
  <c r="N9" i="8"/>
  <c r="N35" i="8"/>
  <c r="N30" i="8"/>
  <c r="N19" i="8"/>
  <c r="N17" i="8"/>
  <c r="N14" i="8"/>
  <c r="N13" i="8"/>
  <c r="N10" i="8"/>
  <c r="N8" i="8"/>
  <c r="N7" i="8"/>
  <c r="N6" i="8"/>
  <c r="N5" i="8"/>
  <c r="V47" i="1"/>
  <c r="V46" i="1"/>
  <c r="V45" i="1"/>
  <c r="BH22" i="3" s="1"/>
  <c r="V43" i="1"/>
  <c r="V44" i="1" s="1"/>
  <c r="BH23" i="3" s="1"/>
  <c r="V42" i="1"/>
  <c r="N10" i="5" s="1"/>
  <c r="V41" i="1"/>
  <c r="BH11" i="3" s="1"/>
  <c r="M38" i="5"/>
  <c r="BC78" i="3"/>
  <c r="BC80" i="3" s="1"/>
  <c r="BC76" i="3"/>
  <c r="BC71" i="3"/>
  <c r="AX78" i="3"/>
  <c r="AX80" i="3" s="1"/>
  <c r="AX76" i="3"/>
  <c r="AX71" i="3"/>
  <c r="BC64" i="3"/>
  <c r="BC65" i="3"/>
  <c r="AX65" i="3"/>
  <c r="AX64" i="3"/>
  <c r="BC54" i="3"/>
  <c r="BC53" i="3"/>
  <c r="BC55" i="3" s="1"/>
  <c r="AX54" i="3"/>
  <c r="AX53" i="3"/>
  <c r="AX55" i="3" s="1"/>
  <c r="BC50" i="3"/>
  <c r="AX50" i="3"/>
  <c r="BC45" i="3"/>
  <c r="BC44" i="3"/>
  <c r="BC43" i="3"/>
  <c r="AX45" i="3"/>
  <c r="AX44" i="3"/>
  <c r="AX43" i="3"/>
  <c r="BC39" i="3"/>
  <c r="BC41" i="3" s="1"/>
  <c r="AX39" i="3"/>
  <c r="AX41" i="3" s="1"/>
  <c r="BC35" i="3"/>
  <c r="BC33" i="3"/>
  <c r="BC31" i="3"/>
  <c r="BC30" i="3"/>
  <c r="AX35" i="3"/>
  <c r="AX33" i="3"/>
  <c r="AX31" i="3"/>
  <c r="AX30" i="3"/>
  <c r="BC19" i="3"/>
  <c r="BC15" i="3"/>
  <c r="AX19" i="3"/>
  <c r="BC63" i="3" s="1"/>
  <c r="AX15" i="3"/>
  <c r="BC61" i="3" s="1"/>
  <c r="BC12" i="3"/>
  <c r="BC70" i="3" s="1"/>
  <c r="AX12" i="3"/>
  <c r="AX25" i="3" s="1"/>
  <c r="BC9" i="3"/>
  <c r="AX9" i="3"/>
  <c r="BA80" i="3" s="1"/>
  <c r="BC7" i="3"/>
  <c r="BC28" i="3" s="1"/>
  <c r="AX7" i="3"/>
  <c r="BC67" i="3" s="1"/>
  <c r="BC6" i="3"/>
  <c r="BC8" i="3" s="1"/>
  <c r="AX6" i="3"/>
  <c r="AX40" i="3" s="1"/>
  <c r="M40" i="5"/>
  <c r="M33" i="5"/>
  <c r="M32" i="5"/>
  <c r="M31" i="5"/>
  <c r="M30" i="5"/>
  <c r="M29" i="5"/>
  <c r="M28" i="5"/>
  <c r="M27" i="5"/>
  <c r="M26" i="5"/>
  <c r="M25" i="5"/>
  <c r="M24" i="5"/>
  <c r="M23" i="5"/>
  <c r="M20" i="5"/>
  <c r="M19" i="5"/>
  <c r="M18" i="5"/>
  <c r="M17" i="5"/>
  <c r="M16" i="5"/>
  <c r="M15" i="5"/>
  <c r="L40" i="5"/>
  <c r="L38" i="5"/>
  <c r="L33" i="5"/>
  <c r="L32" i="5"/>
  <c r="L31" i="5"/>
  <c r="L30" i="5"/>
  <c r="L29" i="5"/>
  <c r="L28" i="5"/>
  <c r="L27" i="5"/>
  <c r="L26" i="5"/>
  <c r="L25" i="5"/>
  <c r="L24" i="5"/>
  <c r="L23" i="5"/>
  <c r="L20" i="5"/>
  <c r="L19" i="5"/>
  <c r="L18" i="5"/>
  <c r="L17" i="5"/>
  <c r="L16" i="5"/>
  <c r="L15" i="5"/>
  <c r="M13" i="5"/>
  <c r="M12" i="5"/>
  <c r="M11" i="5"/>
  <c r="M22" i="5" s="1"/>
  <c r="M9" i="5"/>
  <c r="M8" i="5"/>
  <c r="M7" i="5"/>
  <c r="M6" i="5"/>
  <c r="M5" i="5"/>
  <c r="L13" i="5"/>
  <c r="L12" i="5"/>
  <c r="L11" i="5"/>
  <c r="L22" i="5" s="1"/>
  <c r="L9" i="5"/>
  <c r="L8" i="5"/>
  <c r="L7" i="5"/>
  <c r="L6" i="5"/>
  <c r="L5" i="5"/>
  <c r="L5" i="6"/>
  <c r="M5" i="6"/>
  <c r="AF5" i="6" s="1"/>
  <c r="L6" i="6"/>
  <c r="M6" i="6"/>
  <c r="L7" i="6"/>
  <c r="M7" i="6"/>
  <c r="L8" i="6"/>
  <c r="M8" i="6"/>
  <c r="L9" i="6"/>
  <c r="AE9" i="6" s="1"/>
  <c r="M9" i="6"/>
  <c r="AF9" i="6" s="1"/>
  <c r="L10" i="6"/>
  <c r="M10" i="6"/>
  <c r="L11" i="6"/>
  <c r="AE11" i="6" s="1"/>
  <c r="M11" i="6"/>
  <c r="L12" i="6"/>
  <c r="M12" i="6"/>
  <c r="L13" i="6"/>
  <c r="AE13" i="6" s="1"/>
  <c r="M13" i="6"/>
  <c r="AF13" i="6" s="1"/>
  <c r="L14" i="6"/>
  <c r="M14" i="6"/>
  <c r="L16" i="6"/>
  <c r="M16" i="6"/>
  <c r="L17" i="6"/>
  <c r="M17" i="6"/>
  <c r="L18" i="6"/>
  <c r="M18" i="6"/>
  <c r="L19" i="6"/>
  <c r="M19" i="6"/>
  <c r="L20" i="6"/>
  <c r="M20" i="6"/>
  <c r="L21" i="6"/>
  <c r="M21" i="6"/>
  <c r="L22" i="6"/>
  <c r="M22" i="6"/>
  <c r="L23" i="6"/>
  <c r="M23" i="6"/>
  <c r="L24" i="6"/>
  <c r="M24" i="6"/>
  <c r="L25" i="6"/>
  <c r="AE25" i="6" s="1"/>
  <c r="M25" i="6"/>
  <c r="AF25" i="6" s="1"/>
  <c r="W69" i="7"/>
  <c r="O69" i="7"/>
  <c r="N69" i="7"/>
  <c r="W68" i="7"/>
  <c r="O68" i="7"/>
  <c r="N68" i="7"/>
  <c r="W64" i="7"/>
  <c r="O64" i="7"/>
  <c r="N64" i="7"/>
  <c r="W51" i="7"/>
  <c r="O51" i="7"/>
  <c r="N51" i="7"/>
  <c r="W44" i="7"/>
  <c r="O44" i="7"/>
  <c r="N44" i="7"/>
  <c r="W40" i="7"/>
  <c r="O40" i="7"/>
  <c r="N40" i="7"/>
  <c r="W35" i="7"/>
  <c r="O35" i="7"/>
  <c r="N35" i="7"/>
  <c r="W34" i="7"/>
  <c r="O34" i="7"/>
  <c r="N34" i="7"/>
  <c r="W30" i="7"/>
  <c r="O30" i="7"/>
  <c r="N30" i="7"/>
  <c r="W29" i="7"/>
  <c r="O29" i="7"/>
  <c r="N29" i="7"/>
  <c r="W28" i="7"/>
  <c r="O28" i="7"/>
  <c r="N28" i="7"/>
  <c r="W16" i="7"/>
  <c r="O16" i="7"/>
  <c r="N16" i="7"/>
  <c r="W15" i="7"/>
  <c r="O15" i="7"/>
  <c r="N15" i="7"/>
  <c r="W14" i="7"/>
  <c r="O14" i="7"/>
  <c r="N14" i="7"/>
  <c r="W13" i="7"/>
  <c r="O13" i="7"/>
  <c r="N13" i="7"/>
  <c r="W11" i="7"/>
  <c r="O11" i="7"/>
  <c r="N11" i="7"/>
  <c r="W10" i="7"/>
  <c r="O10" i="7"/>
  <c r="N10" i="7"/>
  <c r="W9" i="7"/>
  <c r="O9" i="7"/>
  <c r="N9" i="7"/>
  <c r="W8" i="7"/>
  <c r="O8" i="7"/>
  <c r="N8" i="7"/>
  <c r="W7" i="7"/>
  <c r="O7" i="7"/>
  <c r="N7" i="7"/>
  <c r="W6" i="7"/>
  <c r="O6" i="7"/>
  <c r="N6" i="7"/>
  <c r="N20" i="7" s="1"/>
  <c r="W5" i="7"/>
  <c r="O5" i="7"/>
  <c r="O57" i="7" s="1"/>
  <c r="N5" i="7"/>
  <c r="W4" i="7"/>
  <c r="O4" i="7"/>
  <c r="N4" i="7"/>
  <c r="L36" i="8"/>
  <c r="M36" i="8"/>
  <c r="L31" i="8"/>
  <c r="M31" i="8"/>
  <c r="L20" i="8"/>
  <c r="M20" i="8"/>
  <c r="L18" i="8"/>
  <c r="M18" i="8"/>
  <c r="M16" i="8"/>
  <c r="L16" i="8"/>
  <c r="L15" i="8"/>
  <c r="M15" i="8"/>
  <c r="M11" i="8"/>
  <c r="L11" i="8"/>
  <c r="M35" i="8"/>
  <c r="M30" i="8"/>
  <c r="M19" i="8"/>
  <c r="M17" i="8"/>
  <c r="M14" i="8"/>
  <c r="M13" i="8"/>
  <c r="M10" i="8"/>
  <c r="M9" i="8"/>
  <c r="M8" i="8"/>
  <c r="M7" i="8"/>
  <c r="M6" i="8"/>
  <c r="M5" i="8"/>
  <c r="L35" i="8"/>
  <c r="L30" i="8"/>
  <c r="L19" i="8"/>
  <c r="L17" i="8"/>
  <c r="L14" i="8"/>
  <c r="L13" i="8"/>
  <c r="L10" i="8"/>
  <c r="L9" i="8"/>
  <c r="L8" i="8"/>
  <c r="L7" i="8"/>
  <c r="L6" i="8"/>
  <c r="L5" i="8"/>
  <c r="U47" i="1"/>
  <c r="U46" i="1"/>
  <c r="U45" i="1"/>
  <c r="U43" i="1"/>
  <c r="U44" i="1" s="1"/>
  <c r="U42" i="1"/>
  <c r="U41" i="1"/>
  <c r="T47" i="1"/>
  <c r="AX69" i="3" s="1"/>
  <c r="T46" i="1"/>
  <c r="T45" i="1"/>
  <c r="AX22" i="3" s="1"/>
  <c r="T43" i="1"/>
  <c r="T44" i="1" s="1"/>
  <c r="AX23" i="3" s="1"/>
  <c r="T42" i="1"/>
  <c r="AX13" i="3" s="1"/>
  <c r="T41" i="1"/>
  <c r="AX11" i="3" s="1"/>
  <c r="L41" i="1"/>
  <c r="J11" i="3" s="1"/>
  <c r="M41" i="1"/>
  <c r="O11" i="3" s="1"/>
  <c r="N41" i="1"/>
  <c r="T11" i="3" s="1"/>
  <c r="O41" i="1"/>
  <c r="Y11" i="3" s="1"/>
  <c r="D36" i="8"/>
  <c r="D35" i="8"/>
  <c r="D31" i="8"/>
  <c r="D30" i="8"/>
  <c r="D29" i="8"/>
  <c r="D28" i="8"/>
  <c r="D20" i="8"/>
  <c r="D19" i="8"/>
  <c r="D18" i="8"/>
  <c r="D17" i="8"/>
  <c r="D16" i="8"/>
  <c r="D15" i="8"/>
  <c r="D14" i="8"/>
  <c r="D13" i="8"/>
  <c r="D12" i="8"/>
  <c r="D11" i="8"/>
  <c r="D10" i="8"/>
  <c r="D9" i="8"/>
  <c r="D8" i="8"/>
  <c r="D7" i="8"/>
  <c r="D6" i="8"/>
  <c r="D5" i="8"/>
  <c r="E36" i="8"/>
  <c r="E35" i="8"/>
  <c r="E31" i="8"/>
  <c r="E30" i="8"/>
  <c r="E29" i="8"/>
  <c r="E28" i="8"/>
  <c r="E20" i="8"/>
  <c r="E19" i="8"/>
  <c r="E18" i="8"/>
  <c r="E17" i="8"/>
  <c r="E16" i="8"/>
  <c r="E15" i="8"/>
  <c r="E14" i="8"/>
  <c r="E13" i="8"/>
  <c r="E12" i="8"/>
  <c r="E11" i="8"/>
  <c r="E10" i="8"/>
  <c r="E9" i="8"/>
  <c r="E8" i="8"/>
  <c r="E7" i="8"/>
  <c r="E6" i="8"/>
  <c r="E5" i="8"/>
  <c r="D33" i="5"/>
  <c r="D24" i="6"/>
  <c r="D21" i="6"/>
  <c r="D32" i="5"/>
  <c r="F7" i="7"/>
  <c r="D17" i="5"/>
  <c r="D20" i="6"/>
  <c r="D19" i="6"/>
  <c r="D17" i="6"/>
  <c r="E26" i="5"/>
  <c r="F51" i="7"/>
  <c r="F4" i="7"/>
  <c r="L47" i="1"/>
  <c r="D48" i="5" s="1"/>
  <c r="L46" i="1"/>
  <c r="L45" i="1"/>
  <c r="J22" i="3" s="1"/>
  <c r="L43" i="1"/>
  <c r="L44" i="1" s="1"/>
  <c r="J23" i="3" s="1"/>
  <c r="L42" i="1"/>
  <c r="F12" i="7" s="1"/>
  <c r="D23" i="5"/>
  <c r="J15" i="3"/>
  <c r="D9" i="5"/>
  <c r="D9" i="6"/>
  <c r="D6" i="5"/>
  <c r="F35" i="7"/>
  <c r="F16" i="7"/>
  <c r="J71" i="3"/>
  <c r="F13" i="7"/>
  <c r="D8" i="5"/>
  <c r="F68" i="7"/>
  <c r="F9" i="7"/>
  <c r="F8" i="7"/>
  <c r="F6" i="7"/>
  <c r="F5" i="7"/>
  <c r="J76" i="3"/>
  <c r="J54" i="3"/>
  <c r="J53" i="3"/>
  <c r="J55" i="3" s="1"/>
  <c r="J44" i="3"/>
  <c r="J46" i="3" s="1"/>
  <c r="J43" i="3"/>
  <c r="J35" i="3"/>
  <c r="J31" i="3"/>
  <c r="J30" i="3"/>
  <c r="J19" i="3"/>
  <c r="J9" i="3"/>
  <c r="J7" i="3"/>
  <c r="O67" i="3" s="1"/>
  <c r="D25" i="6"/>
  <c r="D23" i="6"/>
  <c r="D22" i="6"/>
  <c r="D18" i="6"/>
  <c r="D13" i="6"/>
  <c r="D7" i="6"/>
  <c r="D5" i="6"/>
  <c r="W5" i="6" s="1"/>
  <c r="D40" i="5"/>
  <c r="K38" i="5"/>
  <c r="J38" i="5"/>
  <c r="I38" i="5"/>
  <c r="H38" i="5"/>
  <c r="G38" i="5"/>
  <c r="F38" i="5"/>
  <c r="E38" i="5"/>
  <c r="D38" i="5"/>
  <c r="F33" i="5"/>
  <c r="G33" i="5"/>
  <c r="H33" i="5"/>
  <c r="I33" i="5"/>
  <c r="F32" i="5"/>
  <c r="G32" i="5"/>
  <c r="H32" i="5"/>
  <c r="I32" i="5"/>
  <c r="D30" i="5"/>
  <c r="E30" i="5"/>
  <c r="F30" i="5"/>
  <c r="G30" i="5"/>
  <c r="H30" i="5"/>
  <c r="I30" i="5"/>
  <c r="E29" i="5"/>
  <c r="F29" i="5"/>
  <c r="G29" i="5"/>
  <c r="H29" i="5"/>
  <c r="I29" i="5"/>
  <c r="D28" i="5"/>
  <c r="E28" i="5"/>
  <c r="F28" i="5"/>
  <c r="G28" i="5"/>
  <c r="H28" i="5"/>
  <c r="I28" i="5"/>
  <c r="F27" i="5"/>
  <c r="G27" i="5"/>
  <c r="H27" i="5"/>
  <c r="I27" i="5"/>
  <c r="D26" i="5"/>
  <c r="G26" i="5"/>
  <c r="H26" i="5"/>
  <c r="I26" i="5"/>
  <c r="D25" i="5"/>
  <c r="E25" i="5"/>
  <c r="F25" i="5"/>
  <c r="F26" i="5"/>
  <c r="G25" i="5"/>
  <c r="H25" i="5"/>
  <c r="I25" i="5"/>
  <c r="D24" i="5"/>
  <c r="D20" i="5"/>
  <c r="D19" i="5"/>
  <c r="D16" i="5"/>
  <c r="D15" i="5"/>
  <c r="E25" i="6"/>
  <c r="E24" i="6"/>
  <c r="E23" i="6"/>
  <c r="E22" i="6"/>
  <c r="E21" i="6"/>
  <c r="E20" i="6"/>
  <c r="E19" i="6"/>
  <c r="E18" i="6"/>
  <c r="E17" i="6"/>
  <c r="E16" i="6"/>
  <c r="E14" i="6"/>
  <c r="E13" i="6"/>
  <c r="E12" i="6"/>
  <c r="E10" i="6"/>
  <c r="E9" i="6"/>
  <c r="E8" i="6"/>
  <c r="E7" i="6"/>
  <c r="E6" i="6"/>
  <c r="E5" i="6"/>
  <c r="X5" i="6" s="1"/>
  <c r="F25" i="6"/>
  <c r="F24" i="6"/>
  <c r="F23" i="6"/>
  <c r="F22" i="6"/>
  <c r="F21" i="6"/>
  <c r="F20" i="6"/>
  <c r="F19" i="6"/>
  <c r="F18" i="6"/>
  <c r="F17" i="6"/>
  <c r="F16" i="6"/>
  <c r="F14" i="6"/>
  <c r="F13" i="6"/>
  <c r="F12" i="6"/>
  <c r="F10" i="6"/>
  <c r="F9" i="6"/>
  <c r="F8" i="6"/>
  <c r="F7" i="6"/>
  <c r="F6" i="6"/>
  <c r="F5" i="6"/>
  <c r="G25" i="6"/>
  <c r="G24" i="6"/>
  <c r="G23" i="6"/>
  <c r="G22" i="6"/>
  <c r="G21" i="6"/>
  <c r="Z21" i="6" s="1"/>
  <c r="G20" i="6"/>
  <c r="G19" i="6"/>
  <c r="G18" i="6"/>
  <c r="G17" i="6"/>
  <c r="Z17" i="6" s="1"/>
  <c r="G16" i="6"/>
  <c r="G14" i="6"/>
  <c r="G13" i="6"/>
  <c r="G12" i="6"/>
  <c r="G10" i="6"/>
  <c r="G9" i="6"/>
  <c r="G8" i="6"/>
  <c r="G7" i="6"/>
  <c r="G6" i="6"/>
  <c r="G5" i="6"/>
  <c r="G31" i="6" s="1"/>
  <c r="H25" i="6"/>
  <c r="AA25" i="6" s="1"/>
  <c r="H24" i="6"/>
  <c r="H23" i="6"/>
  <c r="H22" i="6"/>
  <c r="H21" i="6"/>
  <c r="H20" i="6"/>
  <c r="H19" i="6"/>
  <c r="H18" i="6"/>
  <c r="H17" i="6"/>
  <c r="H16" i="6"/>
  <c r="H14" i="6"/>
  <c r="H13" i="6"/>
  <c r="H12" i="6"/>
  <c r="H10" i="6"/>
  <c r="H9" i="6"/>
  <c r="H8" i="6"/>
  <c r="H7" i="6"/>
  <c r="H6" i="6"/>
  <c r="H5" i="6"/>
  <c r="E40" i="5"/>
  <c r="E31" i="5"/>
  <c r="E24" i="5"/>
  <c r="E23" i="5"/>
  <c r="E20" i="5"/>
  <c r="E19" i="5"/>
  <c r="E18" i="5"/>
  <c r="E17" i="5"/>
  <c r="E16" i="5"/>
  <c r="E15" i="5"/>
  <c r="E13" i="5"/>
  <c r="E12" i="5"/>
  <c r="E11" i="5"/>
  <c r="E22" i="5" s="1"/>
  <c r="E9" i="5"/>
  <c r="E8" i="5"/>
  <c r="E7" i="5"/>
  <c r="E6" i="5"/>
  <c r="E5" i="5"/>
  <c r="F40" i="5"/>
  <c r="F31" i="5"/>
  <c r="F24" i="5"/>
  <c r="F23" i="5"/>
  <c r="F20" i="5"/>
  <c r="F19" i="5"/>
  <c r="F18" i="5"/>
  <c r="F17" i="5"/>
  <c r="F16" i="5"/>
  <c r="F15" i="5"/>
  <c r="F13" i="5"/>
  <c r="F12" i="5"/>
  <c r="F11" i="5"/>
  <c r="F22" i="5" s="1"/>
  <c r="F9" i="5"/>
  <c r="F8" i="5"/>
  <c r="F7" i="5"/>
  <c r="F6" i="5"/>
  <c r="F5" i="5"/>
  <c r="G40" i="5"/>
  <c r="G31" i="5"/>
  <c r="G24" i="5"/>
  <c r="G23" i="5"/>
  <c r="G20" i="5"/>
  <c r="G19" i="5"/>
  <c r="G18" i="5"/>
  <c r="G17" i="5"/>
  <c r="G16" i="5"/>
  <c r="G15" i="5"/>
  <c r="G13" i="5"/>
  <c r="G12" i="5"/>
  <c r="G11" i="5"/>
  <c r="G22" i="5" s="1"/>
  <c r="G9" i="5"/>
  <c r="G8" i="5"/>
  <c r="G7" i="5"/>
  <c r="G6" i="5"/>
  <c r="G5" i="5"/>
  <c r="H40" i="5"/>
  <c r="H31" i="5"/>
  <c r="H24" i="5"/>
  <c r="H23" i="5"/>
  <c r="H20" i="5"/>
  <c r="H19" i="5"/>
  <c r="H18" i="5"/>
  <c r="H17" i="5"/>
  <c r="H16" i="5"/>
  <c r="H15" i="5"/>
  <c r="H13" i="5"/>
  <c r="H12" i="5"/>
  <c r="H11" i="5"/>
  <c r="H22" i="5" s="1"/>
  <c r="H9" i="5"/>
  <c r="H8" i="5"/>
  <c r="H7" i="5"/>
  <c r="H6" i="5"/>
  <c r="H5" i="5"/>
  <c r="AD78" i="3"/>
  <c r="AD80" i="3" s="1"/>
  <c r="Y78" i="3"/>
  <c r="Y80" i="3" s="1"/>
  <c r="T78" i="3"/>
  <c r="T80" i="3" s="1"/>
  <c r="O78" i="3"/>
  <c r="O80" i="3" s="1"/>
  <c r="AD76" i="3"/>
  <c r="Y76" i="3"/>
  <c r="T76" i="3"/>
  <c r="O76" i="3"/>
  <c r="AD71" i="3"/>
  <c r="Y71" i="3"/>
  <c r="T71" i="3"/>
  <c r="O71" i="3"/>
  <c r="T65" i="3"/>
  <c r="Y65" i="3"/>
  <c r="AD65" i="3"/>
  <c r="AI65" i="3"/>
  <c r="T64" i="3"/>
  <c r="Y64" i="3"/>
  <c r="AD64" i="3"/>
  <c r="AI64" i="3"/>
  <c r="AD54" i="3"/>
  <c r="Y54" i="3"/>
  <c r="T54" i="3"/>
  <c r="O54" i="3"/>
  <c r="AD53" i="3"/>
  <c r="AD55" i="3" s="1"/>
  <c r="Y53" i="3"/>
  <c r="Y55" i="3" s="1"/>
  <c r="T53" i="3"/>
  <c r="T55" i="3" s="1"/>
  <c r="O53" i="3"/>
  <c r="O55" i="3" s="1"/>
  <c r="AD50" i="3"/>
  <c r="Y50" i="3"/>
  <c r="T50" i="3"/>
  <c r="O50" i="3"/>
  <c r="AD45" i="3"/>
  <c r="Y45" i="3"/>
  <c r="T45" i="3"/>
  <c r="O45" i="3"/>
  <c r="AD44" i="3"/>
  <c r="AD46" i="3" s="1"/>
  <c r="AG45" i="3" s="1"/>
  <c r="Y44" i="3"/>
  <c r="T44" i="3"/>
  <c r="O44" i="3"/>
  <c r="AD43" i="3"/>
  <c r="Y43" i="3"/>
  <c r="T43" i="3"/>
  <c r="O43" i="3"/>
  <c r="AD39" i="3"/>
  <c r="AD41" i="3" s="1"/>
  <c r="Y39" i="3"/>
  <c r="Y41" i="3" s="1"/>
  <c r="T39" i="3"/>
  <c r="O39" i="3"/>
  <c r="O41" i="3" s="1"/>
  <c r="AD35" i="3"/>
  <c r="Y35" i="3"/>
  <c r="T35" i="3"/>
  <c r="O35" i="3"/>
  <c r="AD33" i="3"/>
  <c r="Y33" i="3"/>
  <c r="T33" i="3"/>
  <c r="O33" i="3"/>
  <c r="AD31" i="3"/>
  <c r="Y31" i="3"/>
  <c r="T31" i="3"/>
  <c r="O31" i="3"/>
  <c r="AD30" i="3"/>
  <c r="Y30" i="3"/>
  <c r="T30" i="3"/>
  <c r="O30" i="3"/>
  <c r="AD19" i="3"/>
  <c r="AI63" i="3" s="1"/>
  <c r="Y19" i="3"/>
  <c r="T19" i="3"/>
  <c r="Y63" i="3" s="1"/>
  <c r="O19" i="3"/>
  <c r="T63" i="3" s="1"/>
  <c r="AD15" i="3"/>
  <c r="AI61" i="3" s="1"/>
  <c r="Y15" i="3"/>
  <c r="AD61" i="3" s="1"/>
  <c r="T15" i="3"/>
  <c r="Y61" i="3" s="1"/>
  <c r="O15" i="3"/>
  <c r="T61" i="3" s="1"/>
  <c r="AD12" i="3"/>
  <c r="AD16" i="3" s="1"/>
  <c r="Y12" i="3"/>
  <c r="Y70" i="3" s="1"/>
  <c r="T12" i="3"/>
  <c r="T36" i="3" s="1"/>
  <c r="W35" i="3" s="1"/>
  <c r="O12" i="3"/>
  <c r="O29" i="3" s="1"/>
  <c r="AD9" i="3"/>
  <c r="AG80" i="3" s="1"/>
  <c r="Y9" i="3"/>
  <c r="AB80" i="3" s="1"/>
  <c r="T9" i="3"/>
  <c r="W80" i="3" s="1"/>
  <c r="O9" i="3"/>
  <c r="R80" i="3" s="1"/>
  <c r="AD7" i="3"/>
  <c r="AD79" i="3" s="1"/>
  <c r="AG78" i="3" s="1"/>
  <c r="Y7" i="3"/>
  <c r="T7" i="3"/>
  <c r="T49" i="3" s="1"/>
  <c r="O7" i="3"/>
  <c r="O49" i="3" s="1"/>
  <c r="O6" i="3"/>
  <c r="O8" i="3" s="1"/>
  <c r="T6" i="3"/>
  <c r="Y6" i="3"/>
  <c r="Y17" i="3" s="1"/>
  <c r="AD6" i="3"/>
  <c r="AD40" i="3" s="1"/>
  <c r="G69" i="7"/>
  <c r="G68" i="7"/>
  <c r="G64" i="7"/>
  <c r="G51" i="7"/>
  <c r="G44" i="7"/>
  <c r="G40" i="7"/>
  <c r="G35" i="7"/>
  <c r="G34" i="7"/>
  <c r="G30" i="7"/>
  <c r="G29" i="7"/>
  <c r="G28" i="7"/>
  <c r="G16" i="7"/>
  <c r="G15" i="7"/>
  <c r="G14" i="7"/>
  <c r="G13" i="7"/>
  <c r="G11" i="7"/>
  <c r="G10" i="7"/>
  <c r="G9" i="7"/>
  <c r="G8" i="7"/>
  <c r="G7" i="7"/>
  <c r="G6" i="7"/>
  <c r="G5" i="7"/>
  <c r="G4" i="7"/>
  <c r="H69" i="7"/>
  <c r="H68" i="7"/>
  <c r="H64" i="7"/>
  <c r="H51" i="7"/>
  <c r="H44" i="7"/>
  <c r="H40" i="7"/>
  <c r="H35" i="7"/>
  <c r="H34" i="7"/>
  <c r="H30" i="7"/>
  <c r="H29" i="7"/>
  <c r="H28" i="7"/>
  <c r="H16" i="7"/>
  <c r="H15" i="7"/>
  <c r="H14" i="7"/>
  <c r="H13" i="7"/>
  <c r="H11" i="7"/>
  <c r="H10" i="7"/>
  <c r="H9" i="7"/>
  <c r="H8" i="7"/>
  <c r="H7" i="7"/>
  <c r="H6" i="7"/>
  <c r="H5" i="7"/>
  <c r="H4" i="7"/>
  <c r="I69" i="7"/>
  <c r="I68" i="7"/>
  <c r="I64" i="7"/>
  <c r="I51" i="7"/>
  <c r="I44" i="7"/>
  <c r="I40" i="7"/>
  <c r="I35" i="7"/>
  <c r="I34" i="7"/>
  <c r="I30" i="7"/>
  <c r="I29" i="7"/>
  <c r="I28" i="7"/>
  <c r="I16" i="7"/>
  <c r="I15" i="7"/>
  <c r="I14" i="7"/>
  <c r="I13" i="7"/>
  <c r="I11" i="7"/>
  <c r="I10" i="7"/>
  <c r="I27" i="7" s="1"/>
  <c r="I9" i="7"/>
  <c r="I8" i="7"/>
  <c r="I7" i="7"/>
  <c r="I6" i="7"/>
  <c r="I5" i="7"/>
  <c r="I4" i="7"/>
  <c r="J69" i="7"/>
  <c r="J68" i="7"/>
  <c r="J64" i="7"/>
  <c r="J51" i="7"/>
  <c r="J44" i="7"/>
  <c r="J40" i="7"/>
  <c r="J35" i="7"/>
  <c r="J34" i="7"/>
  <c r="J30" i="7"/>
  <c r="J29" i="7"/>
  <c r="J28" i="7"/>
  <c r="J16" i="7"/>
  <c r="J15" i="7"/>
  <c r="J14" i="7"/>
  <c r="J13" i="7"/>
  <c r="J11" i="7"/>
  <c r="J10" i="7"/>
  <c r="J9" i="7"/>
  <c r="J8" i="7"/>
  <c r="J7" i="7"/>
  <c r="J6" i="7"/>
  <c r="J5" i="7"/>
  <c r="J4" i="7"/>
  <c r="F36" i="8"/>
  <c r="F35" i="8"/>
  <c r="F31" i="8"/>
  <c r="F30" i="8"/>
  <c r="F29" i="8"/>
  <c r="F28" i="8"/>
  <c r="F20" i="8"/>
  <c r="F19" i="8"/>
  <c r="F18" i="8"/>
  <c r="F17" i="8"/>
  <c r="F16" i="8"/>
  <c r="F15" i="8"/>
  <c r="F14" i="8"/>
  <c r="F13" i="8"/>
  <c r="F12" i="8"/>
  <c r="F11" i="8"/>
  <c r="F10" i="8"/>
  <c r="F9" i="8"/>
  <c r="F8" i="8"/>
  <c r="F7" i="8"/>
  <c r="F6" i="8"/>
  <c r="F5" i="8"/>
  <c r="G36" i="8"/>
  <c r="G35" i="8"/>
  <c r="G31" i="8"/>
  <c r="G30" i="8"/>
  <c r="G29" i="8"/>
  <c r="G28" i="8"/>
  <c r="G20" i="8"/>
  <c r="G19" i="8"/>
  <c r="G18" i="8"/>
  <c r="G17" i="8"/>
  <c r="G16" i="8"/>
  <c r="G15" i="8"/>
  <c r="G14" i="8"/>
  <c r="G13" i="8"/>
  <c r="G12" i="8"/>
  <c r="G11" i="8"/>
  <c r="G10" i="8"/>
  <c r="G9" i="8"/>
  <c r="G8" i="8"/>
  <c r="G7" i="8"/>
  <c r="G6" i="8"/>
  <c r="G5" i="8"/>
  <c r="H36" i="8"/>
  <c r="H35" i="8"/>
  <c r="H31" i="8"/>
  <c r="H30" i="8"/>
  <c r="H29" i="8"/>
  <c r="H28" i="8"/>
  <c r="H20" i="8"/>
  <c r="H19" i="8"/>
  <c r="H18" i="8"/>
  <c r="H17" i="8"/>
  <c r="H16" i="8"/>
  <c r="H15" i="8"/>
  <c r="H14" i="8"/>
  <c r="H13" i="8"/>
  <c r="H12" i="8"/>
  <c r="H11" i="8"/>
  <c r="H10" i="8"/>
  <c r="H9" i="8"/>
  <c r="H8" i="8"/>
  <c r="H7" i="8"/>
  <c r="H6" i="8"/>
  <c r="H5" i="8"/>
  <c r="I36" i="8"/>
  <c r="I35" i="8"/>
  <c r="I31" i="8"/>
  <c r="I30" i="8"/>
  <c r="I29" i="8"/>
  <c r="I28" i="8"/>
  <c r="I20" i="8"/>
  <c r="I19" i="8"/>
  <c r="I18" i="8"/>
  <c r="I17" i="8"/>
  <c r="I16" i="8"/>
  <c r="I15" i="8"/>
  <c r="I14" i="8"/>
  <c r="I13" i="8"/>
  <c r="I12" i="8"/>
  <c r="I11" i="8"/>
  <c r="I10" i="8"/>
  <c r="I9" i="8"/>
  <c r="I8" i="8"/>
  <c r="I7" i="8"/>
  <c r="I6" i="8"/>
  <c r="I5" i="8"/>
  <c r="P47" i="1"/>
  <c r="J66" i="7" s="1"/>
  <c r="O47" i="1"/>
  <c r="Y69" i="3" s="1"/>
  <c r="Y73" i="3" s="1"/>
  <c r="Y75" i="3" s="1"/>
  <c r="N47" i="1"/>
  <c r="F32" i="6" s="1"/>
  <c r="M47" i="1"/>
  <c r="E48" i="5" s="1"/>
  <c r="P46" i="1"/>
  <c r="O46" i="1"/>
  <c r="N46" i="1"/>
  <c r="M46" i="1"/>
  <c r="P45" i="1"/>
  <c r="AD22" i="3" s="1"/>
  <c r="O45" i="1"/>
  <c r="Y22" i="3" s="1"/>
  <c r="N45" i="1"/>
  <c r="T22" i="3" s="1"/>
  <c r="M45" i="1"/>
  <c r="O22" i="3" s="1"/>
  <c r="P43" i="1"/>
  <c r="P44" i="1" s="1"/>
  <c r="AD23" i="3" s="1"/>
  <c r="O43" i="1"/>
  <c r="O44" i="1" s="1"/>
  <c r="Y23" i="3" s="1"/>
  <c r="N43" i="1"/>
  <c r="N44" i="1" s="1"/>
  <c r="T23" i="3" s="1"/>
  <c r="M43" i="1"/>
  <c r="M44" i="1" s="1"/>
  <c r="O23" i="3" s="1"/>
  <c r="O42" i="1"/>
  <c r="G5" i="9" s="1"/>
  <c r="N42" i="1"/>
  <c r="M42" i="1"/>
  <c r="E11" i="6" s="1"/>
  <c r="P41" i="1"/>
  <c r="AD11" i="3" s="1"/>
  <c r="AC41" i="1"/>
  <c r="CQ11" i="3" s="1"/>
  <c r="CT11" i="3" s="1"/>
  <c r="I11" i="6"/>
  <c r="Q42" i="1"/>
  <c r="R41" i="1"/>
  <c r="AN11" i="3" s="1"/>
  <c r="R42" i="1"/>
  <c r="J5" i="9" s="1"/>
  <c r="J11" i="6"/>
  <c r="K11" i="8"/>
  <c r="K5" i="8"/>
  <c r="K6" i="8"/>
  <c r="K7" i="8"/>
  <c r="K8" i="8"/>
  <c r="K9" i="8"/>
  <c r="K10" i="8"/>
  <c r="K12" i="8"/>
  <c r="K13" i="8"/>
  <c r="K14" i="8"/>
  <c r="K15" i="8"/>
  <c r="K16" i="8"/>
  <c r="K17" i="8"/>
  <c r="K18" i="8"/>
  <c r="K19" i="8"/>
  <c r="K20" i="8"/>
  <c r="K35" i="8"/>
  <c r="K36" i="8"/>
  <c r="K28" i="8"/>
  <c r="K29" i="8"/>
  <c r="K30" i="8"/>
  <c r="K31" i="8"/>
  <c r="M69" i="7"/>
  <c r="M68" i="7"/>
  <c r="S47" i="1"/>
  <c r="M64" i="7"/>
  <c r="M5" i="7"/>
  <c r="M9" i="7"/>
  <c r="M8" i="7"/>
  <c r="M7" i="7"/>
  <c r="M6" i="7"/>
  <c r="M51" i="7"/>
  <c r="M4" i="7"/>
  <c r="M44" i="7"/>
  <c r="M40" i="7"/>
  <c r="M35" i="7"/>
  <c r="M34" i="7"/>
  <c r="M10" i="7"/>
  <c r="M30" i="7"/>
  <c r="M29" i="7"/>
  <c r="M28" i="7"/>
  <c r="M15" i="7"/>
  <c r="M27" i="7" s="1"/>
  <c r="M13" i="7"/>
  <c r="S42" i="1"/>
  <c r="AS13" i="3" s="1"/>
  <c r="M11" i="7"/>
  <c r="M16" i="7"/>
  <c r="M14" i="7"/>
  <c r="AS78" i="3"/>
  <c r="AS80" i="3" s="1"/>
  <c r="AS76" i="3"/>
  <c r="AS71" i="3"/>
  <c r="AS7" i="3"/>
  <c r="CG66" i="3"/>
  <c r="CJ66" i="3" s="1"/>
  <c r="CG60" i="3"/>
  <c r="AS15" i="3"/>
  <c r="AN15" i="3"/>
  <c r="AS61" i="3" s="1"/>
  <c r="AN7" i="3"/>
  <c r="AN28" i="3" s="1"/>
  <c r="AS19" i="3"/>
  <c r="CG62" i="3"/>
  <c r="AS65" i="3"/>
  <c r="AS64" i="3"/>
  <c r="AN19" i="3"/>
  <c r="CG58" i="3"/>
  <c r="AS12" i="3"/>
  <c r="AX59" i="3" s="1"/>
  <c r="AS33" i="3"/>
  <c r="AN12" i="3"/>
  <c r="AN70" i="3" s="1"/>
  <c r="AS54" i="3"/>
  <c r="AS53" i="3"/>
  <c r="AS55" i="3" s="1"/>
  <c r="AS50" i="3"/>
  <c r="AS45" i="3"/>
  <c r="AS44" i="3"/>
  <c r="AS46" i="3" s="1"/>
  <c r="AS43" i="3"/>
  <c r="AS39" i="3"/>
  <c r="AS41" i="3" s="1"/>
  <c r="AS35" i="3"/>
  <c r="AS31" i="3"/>
  <c r="AS30" i="3"/>
  <c r="S43" i="1"/>
  <c r="S44" i="1" s="1"/>
  <c r="AS23" i="3" s="1"/>
  <c r="S45" i="1"/>
  <c r="AS22" i="3" s="1"/>
  <c r="S41" i="1"/>
  <c r="AS11" i="3" s="1"/>
  <c r="AS9" i="3"/>
  <c r="AS6" i="3"/>
  <c r="AS40" i="3" s="1"/>
  <c r="K14" i="6"/>
  <c r="K8" i="6"/>
  <c r="K5" i="6"/>
  <c r="K11" i="6"/>
  <c r="K22" i="6"/>
  <c r="K25" i="6"/>
  <c r="AD25" i="6" s="1"/>
  <c r="K13" i="6"/>
  <c r="AD13" i="6" s="1"/>
  <c r="K23" i="6"/>
  <c r="K24" i="6"/>
  <c r="K21" i="6"/>
  <c r="AD21" i="6" s="1"/>
  <c r="K20" i="6"/>
  <c r="K19" i="6"/>
  <c r="K18" i="6"/>
  <c r="K17" i="6"/>
  <c r="AD17" i="6" s="1"/>
  <c r="K16" i="6"/>
  <c r="K12" i="6"/>
  <c r="K10" i="6"/>
  <c r="K9" i="6"/>
  <c r="K7" i="6"/>
  <c r="AD7" i="6" s="1"/>
  <c r="K6" i="6"/>
  <c r="K7" i="5"/>
  <c r="K5" i="5"/>
  <c r="K13" i="5"/>
  <c r="K18" i="5"/>
  <c r="K20" i="5"/>
  <c r="K12" i="5"/>
  <c r="K19" i="5"/>
  <c r="K40" i="5"/>
  <c r="K11" i="5"/>
  <c r="K22" i="5" s="1"/>
  <c r="K23" i="5"/>
  <c r="K24" i="5"/>
  <c r="K25" i="5"/>
  <c r="K26" i="5"/>
  <c r="K27" i="5"/>
  <c r="K28" i="5"/>
  <c r="K29" i="5"/>
  <c r="K30" i="5"/>
  <c r="K31" i="5"/>
  <c r="K32" i="5"/>
  <c r="K33" i="5"/>
  <c r="K17" i="5"/>
  <c r="K16" i="5"/>
  <c r="K15" i="5"/>
  <c r="K9" i="5"/>
  <c r="K8" i="5"/>
  <c r="K6" i="5"/>
  <c r="S46" i="1"/>
  <c r="J5" i="8"/>
  <c r="J6" i="8"/>
  <c r="J7" i="8"/>
  <c r="J8" i="8"/>
  <c r="J9" i="8"/>
  <c r="J10" i="8"/>
  <c r="J11" i="8"/>
  <c r="J12" i="8"/>
  <c r="J13" i="8"/>
  <c r="J14" i="8"/>
  <c r="J15" i="8"/>
  <c r="J16" i="8"/>
  <c r="J17" i="8"/>
  <c r="J18" i="8"/>
  <c r="J19" i="8"/>
  <c r="J20" i="8"/>
  <c r="J28" i="8"/>
  <c r="J29" i="8"/>
  <c r="J30" i="8"/>
  <c r="J31" i="8"/>
  <c r="J35" i="8"/>
  <c r="J36" i="8"/>
  <c r="AI7" i="3"/>
  <c r="AN67" i="3" s="1"/>
  <c r="AI19" i="3"/>
  <c r="AI15" i="3"/>
  <c r="AI12" i="3"/>
  <c r="AI14" i="3" s="1"/>
  <c r="AC47" i="1"/>
  <c r="CQ69" i="3" s="1"/>
  <c r="CT69" i="3" s="1"/>
  <c r="U21" i="6"/>
  <c r="U11" i="6"/>
  <c r="AC46" i="1"/>
  <c r="AC45" i="1"/>
  <c r="CQ22" i="3" s="1"/>
  <c r="AC43" i="1"/>
  <c r="AC44" i="1" s="1"/>
  <c r="CQ23" i="3" s="1"/>
  <c r="CT22" i="3" s="1"/>
  <c r="CQ24" i="3" s="1"/>
  <c r="CT24" i="3" s="1"/>
  <c r="AC42" i="1"/>
  <c r="CQ13" i="3" s="1"/>
  <c r="CT13" i="3" s="1"/>
  <c r="K64" i="7"/>
  <c r="L64" i="7"/>
  <c r="E64" i="7"/>
  <c r="A2" i="8"/>
  <c r="K69" i="7"/>
  <c r="L69" i="7"/>
  <c r="E69" i="7"/>
  <c r="K68" i="7"/>
  <c r="L68" i="7"/>
  <c r="E68" i="7"/>
  <c r="K51" i="7"/>
  <c r="L51" i="7"/>
  <c r="E51" i="7"/>
  <c r="K44" i="7"/>
  <c r="L44" i="7"/>
  <c r="E44" i="7"/>
  <c r="K40" i="7"/>
  <c r="L40" i="7"/>
  <c r="E40" i="7"/>
  <c r="K35" i="7"/>
  <c r="L35" i="7"/>
  <c r="E35" i="7"/>
  <c r="K34" i="7"/>
  <c r="L34" i="7"/>
  <c r="E34" i="7"/>
  <c r="K30" i="7"/>
  <c r="L30" i="7"/>
  <c r="E30" i="7"/>
  <c r="K29" i="7"/>
  <c r="L29" i="7"/>
  <c r="E29" i="7"/>
  <c r="K28" i="7"/>
  <c r="L28" i="7"/>
  <c r="E28" i="7"/>
  <c r="K16" i="7"/>
  <c r="L16" i="7"/>
  <c r="E16" i="7"/>
  <c r="K15" i="7"/>
  <c r="L15" i="7"/>
  <c r="E15" i="7"/>
  <c r="K14" i="7"/>
  <c r="L14" i="7"/>
  <c r="E14" i="7"/>
  <c r="K13" i="7"/>
  <c r="K6" i="7"/>
  <c r="L13" i="7"/>
  <c r="E13" i="7"/>
  <c r="K11" i="7"/>
  <c r="L11" i="7"/>
  <c r="E11" i="7"/>
  <c r="K10" i="7"/>
  <c r="L10" i="7"/>
  <c r="L6" i="7"/>
  <c r="E10" i="7"/>
  <c r="K9" i="7"/>
  <c r="L9" i="7"/>
  <c r="E9" i="7"/>
  <c r="K8" i="7"/>
  <c r="L8" i="7"/>
  <c r="L7" i="7"/>
  <c r="E8" i="7"/>
  <c r="K7" i="7"/>
  <c r="E7" i="7"/>
  <c r="E6" i="7"/>
  <c r="K5" i="7"/>
  <c r="L5" i="7"/>
  <c r="E5" i="7"/>
  <c r="K4" i="7"/>
  <c r="L4" i="7"/>
  <c r="E4" i="7"/>
  <c r="A2" i="7"/>
  <c r="A2" i="5"/>
  <c r="A2" i="6"/>
  <c r="B2" i="3"/>
  <c r="A2" i="1"/>
  <c r="U14" i="6"/>
  <c r="R47" i="1"/>
  <c r="J32" i="6" s="1"/>
  <c r="J14" i="6"/>
  <c r="J5" i="6"/>
  <c r="Q47" i="1"/>
  <c r="I14" i="6"/>
  <c r="U8" i="6"/>
  <c r="J8" i="6"/>
  <c r="I8" i="6"/>
  <c r="I5" i="6"/>
  <c r="U5" i="6"/>
  <c r="AN5" i="6" s="1"/>
  <c r="U12" i="6"/>
  <c r="U22" i="6"/>
  <c r="U25" i="6"/>
  <c r="U16" i="6"/>
  <c r="J22" i="6"/>
  <c r="J25" i="6"/>
  <c r="J19" i="6"/>
  <c r="I22" i="6"/>
  <c r="I25" i="6"/>
  <c r="AB25" i="6" s="1"/>
  <c r="I24" i="6"/>
  <c r="U13" i="6"/>
  <c r="U27" i="6" s="1"/>
  <c r="U23" i="6"/>
  <c r="U24" i="6"/>
  <c r="J13" i="6"/>
  <c r="J27" i="6" s="1"/>
  <c r="J23" i="6"/>
  <c r="J24" i="6"/>
  <c r="I13" i="6"/>
  <c r="I27" i="6" s="1"/>
  <c r="I23" i="6"/>
  <c r="J21" i="6"/>
  <c r="I21" i="6"/>
  <c r="U20" i="6"/>
  <c r="J20" i="6"/>
  <c r="AC20" i="6" s="1"/>
  <c r="I20" i="6"/>
  <c r="U19" i="6"/>
  <c r="I19" i="6"/>
  <c r="U18" i="6"/>
  <c r="J18" i="6"/>
  <c r="I18" i="6"/>
  <c r="U17" i="6"/>
  <c r="J17" i="6"/>
  <c r="AC17" i="6" s="1"/>
  <c r="I17" i="6"/>
  <c r="J16" i="6"/>
  <c r="I16" i="6"/>
  <c r="AB16" i="6" s="1"/>
  <c r="J12" i="6"/>
  <c r="I12" i="6"/>
  <c r="U10" i="6"/>
  <c r="AN10" i="6" s="1"/>
  <c r="J10" i="6"/>
  <c r="AC10" i="6" s="1"/>
  <c r="I10" i="6"/>
  <c r="U9" i="6"/>
  <c r="J9" i="6"/>
  <c r="I9" i="6"/>
  <c r="U7" i="6"/>
  <c r="J7" i="6"/>
  <c r="I7" i="6"/>
  <c r="U6" i="6"/>
  <c r="J6" i="6"/>
  <c r="I6" i="6"/>
  <c r="AB6" i="6" s="1"/>
  <c r="K47" i="1"/>
  <c r="C25" i="6"/>
  <c r="V25" i="6" s="1"/>
  <c r="C24" i="6"/>
  <c r="C23" i="6"/>
  <c r="C22" i="6"/>
  <c r="C21" i="6"/>
  <c r="C20" i="6"/>
  <c r="C19" i="6"/>
  <c r="C18" i="6"/>
  <c r="C17" i="6"/>
  <c r="V17" i="6" s="1"/>
  <c r="C16" i="6"/>
  <c r="C14" i="6"/>
  <c r="C5" i="6"/>
  <c r="V5" i="6" s="1"/>
  <c r="C13" i="6"/>
  <c r="C12" i="6"/>
  <c r="C10" i="6"/>
  <c r="C9" i="6"/>
  <c r="C8" i="6"/>
  <c r="C7" i="6"/>
  <c r="C6" i="6"/>
  <c r="K41" i="1"/>
  <c r="E11" i="3" s="1"/>
  <c r="Q41" i="1"/>
  <c r="AI11" i="3" s="1"/>
  <c r="K42" i="1"/>
  <c r="C11" i="6" s="1"/>
  <c r="K43" i="1"/>
  <c r="K44" i="1" s="1"/>
  <c r="E23" i="3" s="1"/>
  <c r="K45" i="1"/>
  <c r="E22" i="3" s="1"/>
  <c r="E12" i="3"/>
  <c r="J59" i="3" s="1"/>
  <c r="Q43" i="1"/>
  <c r="Q44" i="1" s="1"/>
  <c r="AI23" i="3" s="1"/>
  <c r="R43" i="1"/>
  <c r="R44" i="1" s="1"/>
  <c r="AN23" i="3" s="1"/>
  <c r="Q45" i="1"/>
  <c r="AI22" i="3" s="1"/>
  <c r="R45" i="1"/>
  <c r="AN22" i="3" s="1"/>
  <c r="K46" i="1"/>
  <c r="Q46" i="1"/>
  <c r="R46" i="1"/>
  <c r="I7" i="5"/>
  <c r="J7" i="5"/>
  <c r="C7" i="5"/>
  <c r="I13" i="5"/>
  <c r="J13" i="5"/>
  <c r="C13" i="5"/>
  <c r="I5" i="5"/>
  <c r="J5" i="5"/>
  <c r="C5" i="5"/>
  <c r="I18" i="5"/>
  <c r="I20" i="5"/>
  <c r="J18" i="5"/>
  <c r="J20" i="5"/>
  <c r="J12" i="5"/>
  <c r="C18" i="5"/>
  <c r="C20" i="5"/>
  <c r="I6" i="5"/>
  <c r="J6" i="5"/>
  <c r="I8" i="5"/>
  <c r="J8" i="5"/>
  <c r="I9" i="5"/>
  <c r="J9" i="5"/>
  <c r="C9" i="5"/>
  <c r="C8" i="5"/>
  <c r="C6" i="5"/>
  <c r="I12" i="5"/>
  <c r="C12" i="5"/>
  <c r="J40" i="5"/>
  <c r="J11" i="5"/>
  <c r="J22" i="5" s="1"/>
  <c r="J23" i="5"/>
  <c r="J24" i="5"/>
  <c r="J25" i="5"/>
  <c r="J26" i="5"/>
  <c r="J27" i="5"/>
  <c r="J28" i="5"/>
  <c r="J29" i="5"/>
  <c r="J31" i="5"/>
  <c r="J30" i="5"/>
  <c r="J32" i="5"/>
  <c r="J33" i="5"/>
  <c r="I40" i="5"/>
  <c r="I11" i="5"/>
  <c r="I22" i="5" s="1"/>
  <c r="I23" i="5"/>
  <c r="I24" i="5"/>
  <c r="I31" i="5"/>
  <c r="I17" i="5"/>
  <c r="J17" i="5"/>
  <c r="C17" i="5"/>
  <c r="I16" i="5"/>
  <c r="J16" i="5"/>
  <c r="C16" i="5"/>
  <c r="I15" i="5"/>
  <c r="J15" i="5"/>
  <c r="C15" i="5"/>
  <c r="I19" i="5"/>
  <c r="J19" i="5"/>
  <c r="C19" i="5"/>
  <c r="C11" i="5"/>
  <c r="E7" i="3"/>
  <c r="AN78" i="3"/>
  <c r="AN80" i="3" s="1"/>
  <c r="AI78" i="3"/>
  <c r="AI80" i="3" s="1"/>
  <c r="E78" i="3"/>
  <c r="E80" i="3" s="1"/>
  <c r="H80" i="3" s="1"/>
  <c r="AN76" i="3"/>
  <c r="AI76" i="3"/>
  <c r="E76" i="3"/>
  <c r="AN71" i="3"/>
  <c r="AI71" i="3"/>
  <c r="E71" i="3"/>
  <c r="AN65" i="3"/>
  <c r="AN64" i="3"/>
  <c r="E19" i="3"/>
  <c r="J63" i="3" s="1"/>
  <c r="E15" i="3"/>
  <c r="J61" i="3" s="1"/>
  <c r="CG55" i="3"/>
  <c r="AN9" i="3"/>
  <c r="AQ80" i="3" s="1"/>
  <c r="AN53" i="3"/>
  <c r="AN55" i="3" s="1"/>
  <c r="AI9" i="3"/>
  <c r="AI53" i="3"/>
  <c r="AI55" i="3" s="1"/>
  <c r="E9" i="3"/>
  <c r="E53" i="3"/>
  <c r="E55" i="3" s="1"/>
  <c r="AN54" i="3"/>
  <c r="AI54" i="3"/>
  <c r="E54" i="3"/>
  <c r="AN50" i="3"/>
  <c r="E50" i="3"/>
  <c r="AI50" i="3"/>
  <c r="AN45" i="3"/>
  <c r="AN44" i="3"/>
  <c r="AN46" i="3" s="1"/>
  <c r="AI45" i="3"/>
  <c r="AI44" i="3"/>
  <c r="E45" i="3"/>
  <c r="E44" i="3"/>
  <c r="AN43" i="3"/>
  <c r="AI43" i="3"/>
  <c r="E43" i="3"/>
  <c r="CG41" i="3"/>
  <c r="CG17" i="3"/>
  <c r="AN39" i="3"/>
  <c r="AN41" i="3" s="1"/>
  <c r="AN6" i="3"/>
  <c r="AN8" i="3" s="1"/>
  <c r="AI39" i="3"/>
  <c r="AI41" i="3" s="1"/>
  <c r="AI6" i="3"/>
  <c r="AI17" i="3" s="1"/>
  <c r="E6" i="3"/>
  <c r="E17" i="3" s="1"/>
  <c r="E39" i="3"/>
  <c r="E41" i="3" s="1"/>
  <c r="AN35" i="3"/>
  <c r="AI35" i="3"/>
  <c r="E35" i="3"/>
  <c r="AN33" i="3"/>
  <c r="AI33" i="3"/>
  <c r="E33" i="3"/>
  <c r="AN31" i="3"/>
  <c r="AI31" i="3"/>
  <c r="E31" i="3"/>
  <c r="AN30" i="3"/>
  <c r="AI30" i="3"/>
  <c r="E30" i="3"/>
  <c r="E33" i="5"/>
  <c r="E27" i="5"/>
  <c r="D27" i="5"/>
  <c r="E32" i="5"/>
  <c r="D16" i="6"/>
  <c r="J33" i="3"/>
  <c r="J45" i="3"/>
  <c r="J78" i="3"/>
  <c r="J80" i="3" s="1"/>
  <c r="D29" i="5"/>
  <c r="D18" i="5"/>
  <c r="D13" i="5"/>
  <c r="D14" i="6"/>
  <c r="F14" i="7"/>
  <c r="D6" i="6"/>
  <c r="J39" i="3"/>
  <c r="J41" i="3" s="1"/>
  <c r="F44" i="7"/>
  <c r="D31" i="5"/>
  <c r="F64" i="7"/>
  <c r="D7" i="5"/>
  <c r="F10" i="7"/>
  <c r="F32" i="7" s="1"/>
  <c r="D11" i="5"/>
  <c r="D22" i="5" s="1"/>
  <c r="J6" i="3"/>
  <c r="J17" i="3" s="1"/>
  <c r="F11" i="7"/>
  <c r="F15" i="7"/>
  <c r="F28" i="7"/>
  <c r="F34" i="7"/>
  <c r="D5" i="5"/>
  <c r="D8" i="6"/>
  <c r="D12" i="6"/>
  <c r="F30" i="7"/>
  <c r="F40" i="7"/>
  <c r="F69" i="7"/>
  <c r="D10" i="6"/>
  <c r="D12" i="5"/>
  <c r="J12" i="3"/>
  <c r="J14" i="3" s="1"/>
  <c r="F29" i="7"/>
  <c r="CG70" i="3"/>
  <c r="J12" i="7"/>
  <c r="J13" i="3"/>
  <c r="AD13" i="3"/>
  <c r="U20" i="9" l="1"/>
  <c r="L48" i="5"/>
  <c r="BF53" i="3"/>
  <c r="BK35" i="3"/>
  <c r="AL80" i="3"/>
  <c r="BK80" i="3"/>
  <c r="F27" i="7"/>
  <c r="R22" i="3"/>
  <c r="O24" i="3" s="1"/>
  <c r="W22" i="3"/>
  <c r="T24" i="3" s="1"/>
  <c r="AF11" i="6"/>
  <c r="AF7" i="6"/>
  <c r="AG22" i="3"/>
  <c r="AD24" i="3" s="1"/>
  <c r="D41" i="5"/>
  <c r="M53" i="3"/>
  <c r="BK45" i="3"/>
  <c r="I21" i="9"/>
  <c r="V21" i="6"/>
  <c r="CQ72" i="3"/>
  <c r="CT71" i="3" s="1"/>
  <c r="CQ73" i="3"/>
  <c r="I47" i="5"/>
  <c r="N31" i="6"/>
  <c r="N63" i="7"/>
  <c r="E47" i="5"/>
  <c r="T14" i="3"/>
  <c r="J47" i="5"/>
  <c r="G12" i="7"/>
  <c r="C47" i="5"/>
  <c r="Y59" i="3"/>
  <c r="AI29" i="3"/>
  <c r="AL29" i="3" s="1"/>
  <c r="AN69" i="3"/>
  <c r="W63" i="7"/>
  <c r="U48" i="5"/>
  <c r="U49" i="5" s="1"/>
  <c r="W12" i="7"/>
  <c r="W18" i="7" s="1"/>
  <c r="U10" i="5"/>
  <c r="R64" i="3"/>
  <c r="M80" i="3"/>
  <c r="AV80" i="3"/>
  <c r="CJ80" i="3"/>
  <c r="BF80" i="3"/>
  <c r="AV6" i="3"/>
  <c r="G48" i="5"/>
  <c r="G49" i="5" s="1"/>
  <c r="E12" i="7"/>
  <c r="CJ43" i="3"/>
  <c r="W21" i="6"/>
  <c r="BF64" i="3"/>
  <c r="Y48" i="3"/>
  <c r="AS51" i="3"/>
  <c r="AV50" i="3" s="1"/>
  <c r="AD56" i="3"/>
  <c r="AG55" i="3" s="1"/>
  <c r="O51" i="3"/>
  <c r="R50" i="3" s="1"/>
  <c r="AX51" i="3"/>
  <c r="BA50" i="3" s="1"/>
  <c r="BH51" i="3"/>
  <c r="BK50" i="3" s="1"/>
  <c r="J56" i="3"/>
  <c r="M55" i="3" s="1"/>
  <c r="E51" i="3"/>
  <c r="H50" i="3" s="1"/>
  <c r="E21" i="9"/>
  <c r="BC11" i="3"/>
  <c r="BF11" i="3" s="1"/>
  <c r="D16" i="9"/>
  <c r="L16" i="9"/>
  <c r="L20" i="9"/>
  <c r="M5" i="9"/>
  <c r="M19" i="9" s="1"/>
  <c r="M48" i="5"/>
  <c r="M49" i="5" s="1"/>
  <c r="BC23" i="3"/>
  <c r="CE22" i="3"/>
  <c r="CB24" i="3" s="1"/>
  <c r="CE24" i="3" s="1"/>
  <c r="BC22" i="3"/>
  <c r="U21" i="9"/>
  <c r="H33" i="7"/>
  <c r="AG43" i="3"/>
  <c r="AN8" i="6"/>
  <c r="R6" i="3"/>
  <c r="AQ22" i="3"/>
  <c r="AN24" i="3" s="1"/>
  <c r="AQ69" i="3"/>
  <c r="M22" i="3"/>
  <c r="J24" i="3" s="1"/>
  <c r="CJ53" i="3"/>
  <c r="W64" i="3"/>
  <c r="AG53" i="3"/>
  <c r="W53" i="3"/>
  <c r="Y67" i="3"/>
  <c r="AQ64" i="3"/>
  <c r="AA6" i="6"/>
  <c r="AV11" i="3"/>
  <c r="AS32" i="3"/>
  <c r="AV31" i="3" s="1"/>
  <c r="H16" i="9"/>
  <c r="C21" i="9"/>
  <c r="O17" i="3"/>
  <c r="O40" i="3"/>
  <c r="R40" i="3" s="1"/>
  <c r="AX61" i="3"/>
  <c r="O38" i="3"/>
  <c r="AS25" i="3"/>
  <c r="E18" i="3"/>
  <c r="H17" i="3" s="1"/>
  <c r="AD32" i="3"/>
  <c r="AG31" i="3" s="1"/>
  <c r="W8" i="6"/>
  <c r="D31" i="6"/>
  <c r="AC12" i="6"/>
  <c r="AN60" i="3"/>
  <c r="G20" i="7"/>
  <c r="AD49" i="3"/>
  <c r="T67" i="3"/>
  <c r="AD74" i="3"/>
  <c r="AD48" i="3"/>
  <c r="I41" i="5"/>
  <c r="J48" i="3"/>
  <c r="AS49" i="3"/>
  <c r="AI67" i="3"/>
  <c r="AS74" i="3"/>
  <c r="V20" i="6"/>
  <c r="V24" i="6"/>
  <c r="J30" i="6"/>
  <c r="G53" i="7"/>
  <c r="Y19" i="6"/>
  <c r="E13" i="3"/>
  <c r="G17" i="9"/>
  <c r="H11" i="3"/>
  <c r="E50" i="7"/>
  <c r="K54" i="7"/>
  <c r="E33" i="7"/>
  <c r="E24" i="7"/>
  <c r="AI66" i="3"/>
  <c r="J49" i="3"/>
  <c r="M33" i="8"/>
  <c r="I16" i="9"/>
  <c r="L21" i="9"/>
  <c r="H21" i="9"/>
  <c r="D21" i="9"/>
  <c r="AX17" i="3"/>
  <c r="I63" i="7"/>
  <c r="AS28" i="3"/>
  <c r="C10" i="5"/>
  <c r="BH48" i="3"/>
  <c r="E56" i="3"/>
  <c r="H55" i="3" s="1"/>
  <c r="AS36" i="3"/>
  <c r="AV35" i="3" s="1"/>
  <c r="AS70" i="3"/>
  <c r="E20" i="3"/>
  <c r="H19" i="3" s="1"/>
  <c r="AS79" i="3"/>
  <c r="AV78" i="3" s="1"/>
  <c r="G27" i="7"/>
  <c r="E48" i="3"/>
  <c r="G32" i="6"/>
  <c r="G33" i="6" s="1"/>
  <c r="AD36" i="3"/>
  <c r="AG35" i="3" s="1"/>
  <c r="AD51" i="3"/>
  <c r="AG50" i="3" s="1"/>
  <c r="AD28" i="3"/>
  <c r="M12" i="7"/>
  <c r="M21" i="7" s="1"/>
  <c r="H32" i="6"/>
  <c r="H34" i="6" s="1"/>
  <c r="E32" i="3"/>
  <c r="H31" i="3" s="1"/>
  <c r="AS38" i="3"/>
  <c r="AS18" i="3"/>
  <c r="E36" i="3"/>
  <c r="H35" i="3" s="1"/>
  <c r="G18" i="7"/>
  <c r="V19" i="6"/>
  <c r="V23" i="6"/>
  <c r="AB17" i="6"/>
  <c r="AB20" i="6"/>
  <c r="AB13" i="6"/>
  <c r="G26" i="7"/>
  <c r="X9" i="6"/>
  <c r="W9" i="6"/>
  <c r="F18" i="7"/>
  <c r="M18" i="9"/>
  <c r="L37" i="8"/>
  <c r="L24" i="8" s="1"/>
  <c r="AG23" i="6"/>
  <c r="J21" i="9"/>
  <c r="C20" i="9"/>
  <c r="D20" i="9"/>
  <c r="CG46" i="3"/>
  <c r="CJ45" i="3" s="1"/>
  <c r="E41" i="5"/>
  <c r="AI20" i="3"/>
  <c r="AL19" i="3" s="1"/>
  <c r="E31" i="6"/>
  <c r="G33" i="7"/>
  <c r="O63" i="7"/>
  <c r="AI27" i="3"/>
  <c r="T29" i="3"/>
  <c r="W29" i="3" s="1"/>
  <c r="W11" i="3"/>
  <c r="AI32" i="3"/>
  <c r="AL31" i="3" s="1"/>
  <c r="AI70" i="3"/>
  <c r="O14" i="3"/>
  <c r="AX36" i="3"/>
  <c r="BA35" i="3" s="1"/>
  <c r="M13" i="3"/>
  <c r="H22" i="3"/>
  <c r="E24" i="3" s="1"/>
  <c r="T58" i="3"/>
  <c r="AN59" i="3"/>
  <c r="T20" i="3"/>
  <c r="W19" i="3" s="1"/>
  <c r="T70" i="3"/>
  <c r="T18" i="3"/>
  <c r="AX18" i="3"/>
  <c r="BA17" i="3" s="1"/>
  <c r="AX29" i="3"/>
  <c r="BA29" i="3" s="1"/>
  <c r="AI36" i="3"/>
  <c r="AL35" i="3" s="1"/>
  <c r="AX27" i="3"/>
  <c r="AX34" i="3"/>
  <c r="BA33" i="3" s="1"/>
  <c r="T27" i="3"/>
  <c r="J69" i="3"/>
  <c r="J72" i="3" s="1"/>
  <c r="M71" i="3" s="1"/>
  <c r="W6" i="6"/>
  <c r="H6" i="3"/>
  <c r="AV22" i="3"/>
  <c r="AS24" i="3" s="1"/>
  <c r="AV40" i="3"/>
  <c r="J27" i="7"/>
  <c r="AB6" i="3"/>
  <c r="AB69" i="3"/>
  <c r="AB75" i="3"/>
  <c r="Y8" i="6"/>
  <c r="Y9" i="6"/>
  <c r="X6" i="6"/>
  <c r="X10" i="6"/>
  <c r="BA40" i="3"/>
  <c r="R29" i="3"/>
  <c r="E25" i="7"/>
  <c r="AX38" i="3"/>
  <c r="BA38" i="3" s="1"/>
  <c r="AX16" i="3"/>
  <c r="BA15" i="3" s="1"/>
  <c r="AG6" i="3"/>
  <c r="O34" i="3"/>
  <c r="R33" i="3" s="1"/>
  <c r="AI38" i="3"/>
  <c r="AL38" i="3" s="1"/>
  <c r="T25" i="3"/>
  <c r="T38" i="3"/>
  <c r="W38" i="3" s="1"/>
  <c r="T32" i="3"/>
  <c r="W31" i="3" s="1"/>
  <c r="T16" i="3"/>
  <c r="W15" i="3" s="1"/>
  <c r="T34" i="3"/>
  <c r="W33" i="3" s="1"/>
  <c r="W10" i="6"/>
  <c r="W12" i="6"/>
  <c r="T79" i="3"/>
  <c r="W78" i="3" s="1"/>
  <c r="E35" i="5"/>
  <c r="AA17" i="6"/>
  <c r="M45" i="3"/>
  <c r="AX79" i="3"/>
  <c r="BA78" i="3" s="1"/>
  <c r="BA53" i="3"/>
  <c r="BA64" i="3"/>
  <c r="AG64" i="3"/>
  <c r="H53" i="3"/>
  <c r="E48" i="7"/>
  <c r="AB53" i="3"/>
  <c r="AB64" i="3"/>
  <c r="T48" i="3"/>
  <c r="W48" i="3" s="1"/>
  <c r="E37" i="5"/>
  <c r="T28" i="3"/>
  <c r="D43" i="5"/>
  <c r="D46" i="5"/>
  <c r="AQ53" i="3"/>
  <c r="I35" i="5"/>
  <c r="AV45" i="3"/>
  <c r="AV53" i="3"/>
  <c r="R53" i="3"/>
  <c r="AL64" i="3"/>
  <c r="BK43" i="3"/>
  <c r="M64" i="3"/>
  <c r="BU66" i="3"/>
  <c r="BU62" i="3"/>
  <c r="Y51" i="3"/>
  <c r="AB50" i="3" s="1"/>
  <c r="BC16" i="3"/>
  <c r="BF15" i="3" s="1"/>
  <c r="AS17" i="3"/>
  <c r="BU58" i="3"/>
  <c r="Y74" i="3"/>
  <c r="AB73" i="3" s="1"/>
  <c r="BU60" i="3"/>
  <c r="F47" i="5"/>
  <c r="F31" i="6"/>
  <c r="Y7" i="6"/>
  <c r="Y5" i="6"/>
  <c r="AC13" i="6"/>
  <c r="F35" i="6"/>
  <c r="W25" i="6"/>
  <c r="P24" i="7"/>
  <c r="N37" i="8"/>
  <c r="N24" i="8" s="1"/>
  <c r="AC25" i="6"/>
  <c r="W20" i="6"/>
  <c r="Y28" i="3"/>
  <c r="I44" i="5"/>
  <c r="E54" i="7"/>
  <c r="L54" i="7"/>
  <c r="H27" i="6"/>
  <c r="AA18" i="6"/>
  <c r="H30" i="6"/>
  <c r="X24" i="6"/>
  <c r="W18" i="6"/>
  <c r="E37" i="8"/>
  <c r="E24" i="8" s="1"/>
  <c r="D28" i="6"/>
  <c r="AS67" i="3"/>
  <c r="E74" i="3"/>
  <c r="AA19" i="6"/>
  <c r="Y49" i="3"/>
  <c r="D44" i="5"/>
  <c r="AN49" i="3"/>
  <c r="E32" i="7"/>
  <c r="E53" i="7"/>
  <c r="E28" i="3"/>
  <c r="AC18" i="6"/>
  <c r="AA20" i="6"/>
  <c r="AA24" i="6"/>
  <c r="N29" i="6"/>
  <c r="F21" i="7"/>
  <c r="F25" i="7"/>
  <c r="J33" i="6"/>
  <c r="Y20" i="6"/>
  <c r="BH28" i="3"/>
  <c r="BM67" i="3"/>
  <c r="BM66" i="3"/>
  <c r="BM63" i="3"/>
  <c r="BM62" i="3"/>
  <c r="J19" i="9"/>
  <c r="F20" i="9"/>
  <c r="K50" i="7"/>
  <c r="E56" i="7"/>
  <c r="I20" i="7"/>
  <c r="F44" i="5"/>
  <c r="AG8" i="6"/>
  <c r="AG12" i="6"/>
  <c r="G16" i="9"/>
  <c r="N16" i="9"/>
  <c r="O16" i="9"/>
  <c r="V22" i="6"/>
  <c r="CJ6" i="3"/>
  <c r="Z16" i="6"/>
  <c r="Y18" i="6"/>
  <c r="F30" i="6"/>
  <c r="BM59" i="3"/>
  <c r="BM58" i="3"/>
  <c r="C43" i="5"/>
  <c r="K57" i="7"/>
  <c r="K33" i="7"/>
  <c r="E26" i="7"/>
  <c r="G44" i="5"/>
  <c r="E44" i="5"/>
  <c r="D35" i="5"/>
  <c r="F56" i="7"/>
  <c r="F54" i="7"/>
  <c r="D37" i="5"/>
  <c r="BM61" i="3"/>
  <c r="BM60" i="3"/>
  <c r="I31" i="6"/>
  <c r="Z10" i="6"/>
  <c r="AA22" i="6"/>
  <c r="X16" i="6"/>
  <c r="AB5" i="6"/>
  <c r="K27" i="6"/>
  <c r="AA13" i="6"/>
  <c r="Y12" i="6"/>
  <c r="F28" i="6"/>
  <c r="X8" i="6"/>
  <c r="X13" i="6"/>
  <c r="AD19" i="6"/>
  <c r="AD23" i="6"/>
  <c r="M31" i="6"/>
  <c r="V18" i="6"/>
  <c r="C30" i="6"/>
  <c r="AB7" i="6"/>
  <c r="AC9" i="6"/>
  <c r="AB18" i="6"/>
  <c r="AB21" i="6"/>
  <c r="J31" i="6"/>
  <c r="AD16" i="6"/>
  <c r="AD20" i="6"/>
  <c r="AD10" i="6"/>
  <c r="W17" i="6"/>
  <c r="C45" i="5"/>
  <c r="C46" i="5"/>
  <c r="D45" i="5"/>
  <c r="K41" i="5"/>
  <c r="N46" i="5"/>
  <c r="M45" i="5"/>
  <c r="N44" i="5"/>
  <c r="C44" i="5"/>
  <c r="G43" i="5"/>
  <c r="D49" i="5"/>
  <c r="L49" i="5"/>
  <c r="M44" i="5"/>
  <c r="O60" i="3"/>
  <c r="R11" i="3"/>
  <c r="O32" i="3"/>
  <c r="R31" i="3" s="1"/>
  <c r="O16" i="3"/>
  <c r="R15" i="3" s="1"/>
  <c r="AD8" i="3"/>
  <c r="AG8" i="3" s="1"/>
  <c r="O79" i="3"/>
  <c r="R78" i="3" s="1"/>
  <c r="AI74" i="3"/>
  <c r="O74" i="3"/>
  <c r="O28" i="3"/>
  <c r="O27" i="3"/>
  <c r="AI40" i="3"/>
  <c r="AL40" i="3" s="1"/>
  <c r="O18" i="3"/>
  <c r="R17" i="3" s="1"/>
  <c r="T59" i="3"/>
  <c r="O70" i="3"/>
  <c r="AI79" i="3"/>
  <c r="AL78" i="3" s="1"/>
  <c r="AI28" i="3"/>
  <c r="BH32" i="3"/>
  <c r="BK31" i="3" s="1"/>
  <c r="BC79" i="3"/>
  <c r="BF78" i="3" s="1"/>
  <c r="BC34" i="3"/>
  <c r="BF33" i="3" s="1"/>
  <c r="BH63" i="3"/>
  <c r="O25" i="3"/>
  <c r="R24" i="3" s="1"/>
  <c r="T60" i="3"/>
  <c r="W60" i="3" s="1"/>
  <c r="O20" i="3"/>
  <c r="R19" i="3" s="1"/>
  <c r="O36" i="3"/>
  <c r="R35" i="3" s="1"/>
  <c r="R38" i="3"/>
  <c r="AL6" i="3"/>
  <c r="AI49" i="3"/>
  <c r="BH20" i="3"/>
  <c r="BK19" i="3" s="1"/>
  <c r="M43" i="3"/>
  <c r="E57" i="7"/>
  <c r="L53" i="7"/>
  <c r="E20" i="7"/>
  <c r="H50" i="7"/>
  <c r="G56" i="7"/>
  <c r="G54" i="7"/>
  <c r="O27" i="7"/>
  <c r="P48" i="7"/>
  <c r="L27" i="7"/>
  <c r="O19" i="7"/>
  <c r="I32" i="7"/>
  <c r="E22" i="7"/>
  <c r="L50" i="7"/>
  <c r="L19" i="7"/>
  <c r="W50" i="7"/>
  <c r="CG8" i="3"/>
  <c r="CJ8" i="3" s="1"/>
  <c r="AF10" i="6"/>
  <c r="BH14" i="3"/>
  <c r="BH34" i="3"/>
  <c r="BK33" i="3" s="1"/>
  <c r="Y72" i="3"/>
  <c r="AB71" i="3" s="1"/>
  <c r="Y14" i="3"/>
  <c r="Y27" i="3"/>
  <c r="AS8" i="3"/>
  <c r="AV8" i="3" s="1"/>
  <c r="AN9" i="6"/>
  <c r="K47" i="5"/>
  <c r="AD9" i="6"/>
  <c r="AD8" i="6"/>
  <c r="G19" i="7"/>
  <c r="Y62" i="3"/>
  <c r="AB62" i="3" s="1"/>
  <c r="W24" i="7"/>
  <c r="O20" i="7"/>
  <c r="L20" i="7"/>
  <c r="E19" i="7"/>
  <c r="T62" i="3"/>
  <c r="W62" i="3" s="1"/>
  <c r="BH29" i="3"/>
  <c r="BK29" i="3" s="1"/>
  <c r="E27" i="6"/>
  <c r="J25" i="7"/>
  <c r="Y18" i="3"/>
  <c r="AB17" i="3" s="1"/>
  <c r="AB10" i="6"/>
  <c r="U31" i="6"/>
  <c r="AS60" i="3"/>
  <c r="E49" i="5"/>
  <c r="J26" i="7"/>
  <c r="I33" i="7"/>
  <c r="AA7" i="6"/>
  <c r="AA12" i="6"/>
  <c r="W7" i="6"/>
  <c r="M29" i="6"/>
  <c r="AF12" i="6"/>
  <c r="AF8" i="6"/>
  <c r="AF6" i="6"/>
  <c r="P26" i="7"/>
  <c r="CG40" i="3"/>
  <c r="CJ40" i="3" s="1"/>
  <c r="AD5" i="6"/>
  <c r="Y58" i="3"/>
  <c r="BH16" i="3"/>
  <c r="BK15" i="3" s="1"/>
  <c r="Y16" i="3"/>
  <c r="AB15" i="3" s="1"/>
  <c r="L26" i="7"/>
  <c r="K24" i="7"/>
  <c r="AN11" i="6"/>
  <c r="AD6" i="6"/>
  <c r="AD12" i="6"/>
  <c r="AD11" i="6"/>
  <c r="E43" i="5"/>
  <c r="Y6" i="6"/>
  <c r="Y10" i="6"/>
  <c r="X7" i="6"/>
  <c r="W13" i="6"/>
  <c r="O24" i="7"/>
  <c r="P33" i="7"/>
  <c r="F22" i="8"/>
  <c r="F39" i="8" s="1"/>
  <c r="F37" i="8"/>
  <c r="F24" i="8" s="1"/>
  <c r="E34" i="5"/>
  <c r="AE17" i="6"/>
  <c r="CG79" i="3"/>
  <c r="CJ78" i="3" s="1"/>
  <c r="AN66" i="3"/>
  <c r="AQ66" i="3" s="1"/>
  <c r="F57" i="7"/>
  <c r="T56" i="3"/>
  <c r="W55" i="3" s="1"/>
  <c r="G22" i="7"/>
  <c r="CG28" i="3"/>
  <c r="J28" i="3"/>
  <c r="J33" i="8"/>
  <c r="K33" i="8"/>
  <c r="J53" i="7"/>
  <c r="T51" i="3"/>
  <c r="W50" i="3" s="1"/>
  <c r="H29" i="6"/>
  <c r="Y17" i="6"/>
  <c r="Y21" i="6"/>
  <c r="Y25" i="6"/>
  <c r="E30" i="6"/>
  <c r="W16" i="6"/>
  <c r="D37" i="8"/>
  <c r="D24" i="8" s="1"/>
  <c r="O54" i="7"/>
  <c r="AF21" i="6"/>
  <c r="AF19" i="6"/>
  <c r="L44" i="5"/>
  <c r="F21" i="9"/>
  <c r="AN74" i="3"/>
  <c r="Y22" i="6"/>
  <c r="J66" i="3"/>
  <c r="G57" i="7"/>
  <c r="G48" i="7"/>
  <c r="AN24" i="6"/>
  <c r="K45" i="5"/>
  <c r="H37" i="8"/>
  <c r="H24" i="8" s="1"/>
  <c r="I50" i="7"/>
  <c r="H44" i="5"/>
  <c r="H41" i="5"/>
  <c r="G46" i="5"/>
  <c r="F34" i="5"/>
  <c r="F35" i="5"/>
  <c r="E45" i="5"/>
  <c r="G27" i="6"/>
  <c r="BH56" i="3"/>
  <c r="BK55" i="3" s="1"/>
  <c r="Y23" i="6"/>
  <c r="M6" i="3"/>
  <c r="O66" i="3"/>
  <c r="R66" i="3" s="1"/>
  <c r="J74" i="3"/>
  <c r="J79" i="3"/>
  <c r="M78" i="3" s="1"/>
  <c r="V16" i="6"/>
  <c r="AN18" i="6"/>
  <c r="AB24" i="6"/>
  <c r="K44" i="5"/>
  <c r="AD18" i="6"/>
  <c r="AD22" i="6"/>
  <c r="M32" i="7"/>
  <c r="I37" i="8"/>
  <c r="I24" i="8" s="1"/>
  <c r="G33" i="8"/>
  <c r="G37" i="8"/>
  <c r="G24" i="8" s="1"/>
  <c r="F33" i="8"/>
  <c r="J50" i="7"/>
  <c r="J56" i="7"/>
  <c r="I53" i="7"/>
  <c r="G50" i="7"/>
  <c r="E46" i="5"/>
  <c r="AA16" i="6"/>
  <c r="Y16" i="6"/>
  <c r="Y24" i="6"/>
  <c r="E29" i="6"/>
  <c r="AX56" i="3"/>
  <c r="BA55" i="3" s="1"/>
  <c r="N41" i="5"/>
  <c r="AN32" i="3"/>
  <c r="AQ31" i="3" s="1"/>
  <c r="AN27" i="3"/>
  <c r="AQ27" i="3" s="1"/>
  <c r="AN34" i="3"/>
  <c r="AQ33" i="3" s="1"/>
  <c r="I5" i="9"/>
  <c r="I17" i="9" s="1"/>
  <c r="AI13" i="3"/>
  <c r="AL13" i="3" s="1"/>
  <c r="H27" i="7"/>
  <c r="H20" i="7"/>
  <c r="T46" i="3"/>
  <c r="W45" i="3" s="1"/>
  <c r="W43" i="3"/>
  <c r="BC49" i="3"/>
  <c r="AN36" i="3"/>
  <c r="AQ35" i="3" s="1"/>
  <c r="E32" i="6"/>
  <c r="L33" i="7"/>
  <c r="K26" i="7"/>
  <c r="J57" i="7"/>
  <c r="J33" i="7"/>
  <c r="O56" i="3"/>
  <c r="R55" i="3" s="1"/>
  <c r="O48" i="3"/>
  <c r="R48" i="3" s="1"/>
  <c r="AD18" i="3"/>
  <c r="AD14" i="3"/>
  <c r="AG13" i="3" s="1"/>
  <c r="AD27" i="3"/>
  <c r="AD38" i="3"/>
  <c r="AG38" i="3" s="1"/>
  <c r="AX73" i="3"/>
  <c r="AX75" i="3" s="1"/>
  <c r="BA75" i="3" s="1"/>
  <c r="AX72" i="3"/>
  <c r="BA71" i="3" s="1"/>
  <c r="N27" i="7"/>
  <c r="M63" i="7"/>
  <c r="AS69" i="3"/>
  <c r="AS72" i="3" s="1"/>
  <c r="AV71" i="3" s="1"/>
  <c r="H24" i="7"/>
  <c r="H26" i="7"/>
  <c r="E20" i="9"/>
  <c r="F45" i="5"/>
  <c r="BC29" i="3"/>
  <c r="BF29" i="3" s="1"/>
  <c r="M27" i="6"/>
  <c r="BC38" i="3"/>
  <c r="AN20" i="3"/>
  <c r="AQ19" i="3" s="1"/>
  <c r="G21" i="7"/>
  <c r="BC14" i="3"/>
  <c r="AS58" i="3"/>
  <c r="BC32" i="3"/>
  <c r="BF31" i="3" s="1"/>
  <c r="L32" i="7"/>
  <c r="BC74" i="3"/>
  <c r="E38" i="3"/>
  <c r="H38" i="3" s="1"/>
  <c r="J46" i="5"/>
  <c r="C28" i="6"/>
  <c r="AC21" i="6"/>
  <c r="J28" i="6"/>
  <c r="AC19" i="6"/>
  <c r="T17" i="3"/>
  <c r="T8" i="3"/>
  <c r="W8" i="3" s="1"/>
  <c r="T40" i="3"/>
  <c r="T74" i="3"/>
  <c r="W6" i="3"/>
  <c r="T66" i="3"/>
  <c r="F37" i="5"/>
  <c r="W23" i="6"/>
  <c r="O63" i="3"/>
  <c r="O62" i="3"/>
  <c r="AS63" i="3"/>
  <c r="AN62" i="3"/>
  <c r="AX63" i="3"/>
  <c r="AS62" i="3"/>
  <c r="G63" i="7"/>
  <c r="G66" i="7"/>
  <c r="O69" i="3"/>
  <c r="O72" i="3" s="1"/>
  <c r="R71" i="3" s="1"/>
  <c r="F63" i="7"/>
  <c r="D32" i="6"/>
  <c r="D34" i="6" s="1"/>
  <c r="F66" i="7"/>
  <c r="BH59" i="3"/>
  <c r="BC27" i="3"/>
  <c r="BF27" i="3" s="1"/>
  <c r="BC36" i="3"/>
  <c r="BF35" i="3" s="1"/>
  <c r="BC18" i="3"/>
  <c r="BA43" i="3"/>
  <c r="AX46" i="3"/>
  <c r="BA45" i="3" s="1"/>
  <c r="AN16" i="3"/>
  <c r="AQ15" i="3" s="1"/>
  <c r="BC25" i="3"/>
  <c r="BC20" i="3"/>
  <c r="BF19" i="3" s="1"/>
  <c r="AF22" i="6"/>
  <c r="BF6" i="3"/>
  <c r="E27" i="7"/>
  <c r="E46" i="3"/>
  <c r="H45" i="3" s="1"/>
  <c r="H43" i="3"/>
  <c r="J67" i="3"/>
  <c r="E49" i="3"/>
  <c r="E79" i="3"/>
  <c r="H78" i="3" s="1"/>
  <c r="E70" i="3"/>
  <c r="E14" i="3"/>
  <c r="E25" i="3"/>
  <c r="H24" i="3" s="1"/>
  <c r="E29" i="3"/>
  <c r="H29" i="3" s="1"/>
  <c r="E16" i="3"/>
  <c r="H15" i="3" s="1"/>
  <c r="E34" i="3"/>
  <c r="H33" i="3" s="1"/>
  <c r="E27" i="3"/>
  <c r="AC24" i="6"/>
  <c r="AC16" i="6"/>
  <c r="AC22" i="6"/>
  <c r="I48" i="5"/>
  <c r="I49" i="5" s="1"/>
  <c r="I32" i="6"/>
  <c r="I33" i="6" s="1"/>
  <c r="L24" i="7"/>
  <c r="AI16" i="3"/>
  <c r="AL15" i="3" s="1"/>
  <c r="AI18" i="3"/>
  <c r="AL17" i="3" s="1"/>
  <c r="AI34" i="3"/>
  <c r="AL33" i="3" s="1"/>
  <c r="AI25" i="3"/>
  <c r="J37" i="8"/>
  <c r="J24" i="8" s="1"/>
  <c r="CG36" i="3"/>
  <c r="CJ35" i="3" s="1"/>
  <c r="CG27" i="3"/>
  <c r="M50" i="7"/>
  <c r="K37" i="8"/>
  <c r="K24" i="8" s="1"/>
  <c r="H53" i="7"/>
  <c r="G32" i="7"/>
  <c r="R8" i="3"/>
  <c r="Y79" i="3"/>
  <c r="AB78" i="3" s="1"/>
  <c r="Y66" i="3"/>
  <c r="AD67" i="3"/>
  <c r="AD66" i="3"/>
  <c r="O46" i="3"/>
  <c r="R45" i="3" s="1"/>
  <c r="R43" i="3"/>
  <c r="W24" i="6"/>
  <c r="E22" i="8"/>
  <c r="E39" i="8" s="1"/>
  <c r="E33" i="8"/>
  <c r="D22" i="8"/>
  <c r="D39" i="8" s="1"/>
  <c r="D33" i="8"/>
  <c r="M35" i="5"/>
  <c r="BK64" i="3"/>
  <c r="N33" i="8"/>
  <c r="AE20" i="6"/>
  <c r="AI8" i="3"/>
  <c r="AL8" i="3" s="1"/>
  <c r="AL11" i="3"/>
  <c r="AB9" i="6"/>
  <c r="AN20" i="6"/>
  <c r="E10" i="5"/>
  <c r="H45" i="5"/>
  <c r="G35" i="5"/>
  <c r="X22" i="6"/>
  <c r="W19" i="6"/>
  <c r="BC69" i="3"/>
  <c r="BC72" i="3" s="1"/>
  <c r="BF71" i="3" s="1"/>
  <c r="W54" i="7"/>
  <c r="N53" i="7"/>
  <c r="AF24" i="6"/>
  <c r="M30" i="6"/>
  <c r="AF20" i="6"/>
  <c r="AF18" i="6"/>
  <c r="AF16" i="6"/>
  <c r="J17" i="9"/>
  <c r="I19" i="7"/>
  <c r="AA9" i="6"/>
  <c r="X19" i="6"/>
  <c r="W22" i="6"/>
  <c r="N50" i="7"/>
  <c r="O56" i="7"/>
  <c r="W19" i="7"/>
  <c r="O48" i="7"/>
  <c r="L30" i="6"/>
  <c r="L27" i="6"/>
  <c r="M47" i="5"/>
  <c r="AG7" i="6"/>
  <c r="W48" i="7"/>
  <c r="I48" i="7"/>
  <c r="O22" i="7"/>
  <c r="AN17" i="6"/>
  <c r="AX28" i="3"/>
  <c r="AV43" i="3"/>
  <c r="I22" i="7"/>
  <c r="AN25" i="6"/>
  <c r="AQ43" i="3"/>
  <c r="K19" i="7"/>
  <c r="K37" i="5"/>
  <c r="N54" i="7"/>
  <c r="K21" i="9"/>
  <c r="G21" i="9"/>
  <c r="O53" i="7"/>
  <c r="U30" i="6"/>
  <c r="AX49" i="3"/>
  <c r="Y56" i="3"/>
  <c r="AB55" i="3" s="1"/>
  <c r="AN19" i="6"/>
  <c r="J22" i="7"/>
  <c r="H35" i="5"/>
  <c r="AA21" i="6"/>
  <c r="Z18" i="6"/>
  <c r="H37" i="5"/>
  <c r="N32" i="7"/>
  <c r="P56" i="7"/>
  <c r="N45" i="5"/>
  <c r="K48" i="7"/>
  <c r="AN22" i="6"/>
  <c r="AX74" i="3"/>
  <c r="BA73" i="3" s="1"/>
  <c r="AN16" i="6"/>
  <c r="I33" i="8"/>
  <c r="H33" i="8"/>
  <c r="J54" i="7"/>
  <c r="I54" i="7"/>
  <c r="O33" i="7"/>
  <c r="M37" i="5"/>
  <c r="AG22" i="6"/>
  <c r="M20" i="9"/>
  <c r="CJ11" i="3"/>
  <c r="N33" i="7"/>
  <c r="O12" i="7"/>
  <c r="O21" i="7" s="1"/>
  <c r="AD63" i="3"/>
  <c r="BA6" i="3"/>
  <c r="AD17" i="3"/>
  <c r="AN25" i="3"/>
  <c r="AN29" i="3"/>
  <c r="AQ29" i="3" s="1"/>
  <c r="BK11" i="3"/>
  <c r="BH18" i="3"/>
  <c r="BK17" i="3" s="1"/>
  <c r="AQ11" i="3"/>
  <c r="H31" i="6"/>
  <c r="AS34" i="3"/>
  <c r="AV33" i="3" s="1"/>
  <c r="K66" i="7"/>
  <c r="AX20" i="3"/>
  <c r="BA19" i="3" s="1"/>
  <c r="AX32" i="3"/>
  <c r="BA31" i="3" s="1"/>
  <c r="AS29" i="3"/>
  <c r="AV29" i="3" s="1"/>
  <c r="AN18" i="3"/>
  <c r="CG29" i="3"/>
  <c r="CJ29" i="3" s="1"/>
  <c r="CG20" i="3"/>
  <c r="CJ19" i="3" s="1"/>
  <c r="AD34" i="3"/>
  <c r="AG33" i="3" s="1"/>
  <c r="AD29" i="3"/>
  <c r="CG34" i="3"/>
  <c r="CJ33" i="3" s="1"/>
  <c r="AD70" i="3"/>
  <c r="AN12" i="6"/>
  <c r="I10" i="5"/>
  <c r="AB22" i="3"/>
  <c r="Y24" i="3" s="1"/>
  <c r="H22" i="8"/>
  <c r="J60" i="7" s="1"/>
  <c r="G22" i="8"/>
  <c r="G39" i="8" s="1"/>
  <c r="AG29" i="3"/>
  <c r="AA10" i="6"/>
  <c r="L34" i="5"/>
  <c r="N34" i="5"/>
  <c r="K16" i="9"/>
  <c r="H20" i="9"/>
  <c r="J20" i="9"/>
  <c r="AG11" i="3"/>
  <c r="AE8" i="6"/>
  <c r="P27" i="7"/>
  <c r="J18" i="7"/>
  <c r="K63" i="7"/>
  <c r="J22" i="8"/>
  <c r="J39" i="8" s="1"/>
  <c r="W27" i="7"/>
  <c r="AN13" i="6"/>
  <c r="L32" i="6"/>
  <c r="L35" i="6" s="1"/>
  <c r="AE5" i="6"/>
  <c r="N66" i="7"/>
  <c r="M33" i="7"/>
  <c r="AN38" i="3"/>
  <c r="AN14" i="3"/>
  <c r="AX8" i="3"/>
  <c r="BA8" i="3" s="1"/>
  <c r="M20" i="7"/>
  <c r="BH27" i="3"/>
  <c r="BH38" i="3"/>
  <c r="BK38" i="3" s="1"/>
  <c r="BH25" i="3"/>
  <c r="AN58" i="3"/>
  <c r="AA5" i="6"/>
  <c r="AS16" i="3"/>
  <c r="AV15" i="3" s="1"/>
  <c r="AS14" i="3"/>
  <c r="AV13" i="3" s="1"/>
  <c r="AI69" i="3"/>
  <c r="AI73" i="3" s="1"/>
  <c r="AI75" i="3" s="1"/>
  <c r="AL75" i="3" s="1"/>
  <c r="AS59" i="3"/>
  <c r="AV58" i="3" s="1"/>
  <c r="AX60" i="3"/>
  <c r="AX14" i="3"/>
  <c r="BA13" i="3" s="1"/>
  <c r="AS20" i="3"/>
  <c r="AV19" i="3" s="1"/>
  <c r="CG38" i="3"/>
  <c r="CJ38" i="3" s="1"/>
  <c r="I66" i="7"/>
  <c r="AD25" i="3"/>
  <c r="AG24" i="3" s="1"/>
  <c r="AD20" i="3"/>
  <c r="AG19" i="3" s="1"/>
  <c r="AN7" i="6"/>
  <c r="K31" i="6"/>
  <c r="CG14" i="3"/>
  <c r="AA8" i="6"/>
  <c r="G29" i="6"/>
  <c r="BA11" i="3"/>
  <c r="BH70" i="3"/>
  <c r="N47" i="5"/>
  <c r="G34" i="5"/>
  <c r="G19" i="9"/>
  <c r="M24" i="7"/>
  <c r="AD62" i="3"/>
  <c r="I26" i="7"/>
  <c r="H48" i="5"/>
  <c r="H49" i="5" s="1"/>
  <c r="AD69" i="3"/>
  <c r="AD73" i="3" s="1"/>
  <c r="AN13" i="3"/>
  <c r="AB8" i="6"/>
  <c r="J35" i="6"/>
  <c r="AS27" i="3"/>
  <c r="G47" i="5"/>
  <c r="Y8" i="3"/>
  <c r="AB8" i="3" s="1"/>
  <c r="J63" i="7"/>
  <c r="AD60" i="3"/>
  <c r="AG60" i="3" s="1"/>
  <c r="Y13" i="3"/>
  <c r="L12" i="7"/>
  <c r="L18" i="7" s="1"/>
  <c r="J45" i="5"/>
  <c r="AL22" i="3"/>
  <c r="AI24" i="3" s="1"/>
  <c r="Z9" i="6"/>
  <c r="I22" i="8"/>
  <c r="I39" i="8" s="1"/>
  <c r="AG40" i="3"/>
  <c r="G18" i="9"/>
  <c r="AV38" i="3"/>
  <c r="AN40" i="3"/>
  <c r="AQ40" i="3" s="1"/>
  <c r="AV60" i="3"/>
  <c r="AG15" i="3"/>
  <c r="Y40" i="3"/>
  <c r="AB40" i="3" s="1"/>
  <c r="I12" i="7"/>
  <c r="J10" i="5"/>
  <c r="J24" i="7"/>
  <c r="Z25" i="6"/>
  <c r="Z22" i="6"/>
  <c r="K56" i="7"/>
  <c r="I56" i="7"/>
  <c r="G28" i="6"/>
  <c r="K32" i="7"/>
  <c r="Z24" i="6"/>
  <c r="Z23" i="6"/>
  <c r="Z20" i="6"/>
  <c r="G30" i="6"/>
  <c r="AS48" i="3"/>
  <c r="AQ45" i="3"/>
  <c r="J37" i="5"/>
  <c r="I46" i="5"/>
  <c r="H46" i="5"/>
  <c r="H34" i="5"/>
  <c r="Z19" i="6"/>
  <c r="J41" i="5"/>
  <c r="L33" i="8"/>
  <c r="AS56" i="3"/>
  <c r="AV55" i="3" s="1"/>
  <c r="AL53" i="3"/>
  <c r="K22" i="7"/>
  <c r="K35" i="5"/>
  <c r="AV64" i="3"/>
  <c r="I37" i="5"/>
  <c r="I20" i="9"/>
  <c r="K20" i="9"/>
  <c r="G20" i="9"/>
  <c r="CJ22" i="3"/>
  <c r="CG24" i="3" s="1"/>
  <c r="AE7" i="6"/>
  <c r="BF8" i="3"/>
  <c r="N20" i="9"/>
  <c r="AE12" i="6"/>
  <c r="BF38" i="3"/>
  <c r="BH8" i="3"/>
  <c r="BK8" i="3" s="1"/>
  <c r="BH40" i="3"/>
  <c r="BK40" i="3" s="1"/>
  <c r="BC17" i="3"/>
  <c r="CG16" i="3"/>
  <c r="CJ15" i="3" s="1"/>
  <c r="AN6" i="6"/>
  <c r="U29" i="6"/>
  <c r="CJ58" i="3"/>
  <c r="W60" i="7"/>
  <c r="BC13" i="3"/>
  <c r="W33" i="7"/>
  <c r="O26" i="7"/>
  <c r="L47" i="5"/>
  <c r="AE6" i="6"/>
  <c r="BA22" i="3"/>
  <c r="AX24" i="3" s="1"/>
  <c r="BA24" i="3" s="1"/>
  <c r="L5" i="9"/>
  <c r="L19" i="9" s="1"/>
  <c r="W32" i="7"/>
  <c r="U32" i="6"/>
  <c r="U35" i="6" s="1"/>
  <c r="AE10" i="6"/>
  <c r="L31" i="6"/>
  <c r="N43" i="5"/>
  <c r="W26" i="7"/>
  <c r="BC40" i="3"/>
  <c r="BF40" i="3" s="1"/>
  <c r="CG25" i="3"/>
  <c r="CJ24" i="3" s="1"/>
  <c r="CG18" i="3"/>
  <c r="CJ17" i="3" s="1"/>
  <c r="CG32" i="3"/>
  <c r="CJ31" i="3" s="1"/>
  <c r="BK22" i="3"/>
  <c r="BH24" i="3" s="1"/>
  <c r="P12" i="7"/>
  <c r="P18" i="7" s="1"/>
  <c r="AG6" i="6"/>
  <c r="AG10" i="6"/>
  <c r="N35" i="5"/>
  <c r="M16" i="9"/>
  <c r="M28" i="6"/>
  <c r="N48" i="7"/>
  <c r="N22" i="7"/>
  <c r="W53" i="7"/>
  <c r="BH74" i="3"/>
  <c r="AG20" i="6"/>
  <c r="AG19" i="6"/>
  <c r="N27" i="6"/>
  <c r="U28" i="6"/>
  <c r="AG18" i="6"/>
  <c r="N30" i="6"/>
  <c r="AN23" i="6"/>
  <c r="W57" i="7"/>
  <c r="BK6" i="3"/>
  <c r="BK53" i="3"/>
  <c r="W20" i="7"/>
  <c r="AX48" i="3"/>
  <c r="W56" i="7"/>
  <c r="AE23" i="6"/>
  <c r="AE21" i="6"/>
  <c r="AE19" i="6"/>
  <c r="M34" i="5"/>
  <c r="L46" i="5"/>
  <c r="L41" i="5"/>
  <c r="P50" i="7"/>
  <c r="N48" i="5"/>
  <c r="N49" i="5" s="1"/>
  <c r="P66" i="7"/>
  <c r="Z7" i="6"/>
  <c r="J38" i="3"/>
  <c r="M38" i="3" s="1"/>
  <c r="V12" i="6"/>
  <c r="F22" i="7"/>
  <c r="AE24" i="6"/>
  <c r="F33" i="7"/>
  <c r="J51" i="3"/>
  <c r="M50" i="3" s="1"/>
  <c r="L43" i="5"/>
  <c r="K27" i="7"/>
  <c r="L22" i="7"/>
  <c r="P22" i="7"/>
  <c r="C31" i="6"/>
  <c r="Z12" i="6"/>
  <c r="AE18" i="6"/>
  <c r="Z8" i="6"/>
  <c r="V13" i="6"/>
  <c r="L28" i="6"/>
  <c r="AD59" i="3"/>
  <c r="Y25" i="3"/>
  <c r="E8" i="3"/>
  <c r="H8" i="3" s="1"/>
  <c r="Y29" i="3"/>
  <c r="AB29" i="3" s="1"/>
  <c r="AD58" i="3"/>
  <c r="E40" i="3"/>
  <c r="H40" i="3" s="1"/>
  <c r="D47" i="5"/>
  <c r="J34" i="5"/>
  <c r="I45" i="5"/>
  <c r="V10" i="6"/>
  <c r="K48" i="5"/>
  <c r="K49" i="5" s="1"/>
  <c r="M66" i="7"/>
  <c r="K32" i="6"/>
  <c r="I24" i="7"/>
  <c r="H47" i="5"/>
  <c r="BH49" i="3"/>
  <c r="BH79" i="3"/>
  <c r="BK78" i="3" s="1"/>
  <c r="AB11" i="3"/>
  <c r="Y32" i="3"/>
  <c r="AB31" i="3" s="1"/>
  <c r="E21" i="7"/>
  <c r="Z5" i="6"/>
  <c r="F20" i="7"/>
  <c r="AE22" i="6"/>
  <c r="Z6" i="6"/>
  <c r="Y34" i="3"/>
  <c r="AB33" i="3" s="1"/>
  <c r="Y38" i="3"/>
  <c r="AB38" i="3" s="1"/>
  <c r="Y20" i="3"/>
  <c r="AB19" i="3" s="1"/>
  <c r="Y36" i="3"/>
  <c r="AB35" i="3" s="1"/>
  <c r="CJ69" i="3"/>
  <c r="W66" i="7"/>
  <c r="K5" i="9"/>
  <c r="K10" i="5"/>
  <c r="P53" i="7"/>
  <c r="P57" i="7"/>
  <c r="V8" i="6"/>
  <c r="L29" i="6"/>
  <c r="L48" i="7"/>
  <c r="Y60" i="3"/>
  <c r="AB60" i="3" s="1"/>
  <c r="Z13" i="6"/>
  <c r="V11" i="6"/>
  <c r="AE16" i="6"/>
  <c r="V7" i="6"/>
  <c r="AS66" i="3"/>
  <c r="AX67" i="3"/>
  <c r="H56" i="7"/>
  <c r="F41" i="5"/>
  <c r="AX58" i="3"/>
  <c r="BA58" i="3" s="1"/>
  <c r="AX70" i="3"/>
  <c r="BA69" i="3" s="1"/>
  <c r="BC60" i="3"/>
  <c r="BF60" i="3" s="1"/>
  <c r="BH61" i="3"/>
  <c r="P32" i="7"/>
  <c r="BH62" i="3"/>
  <c r="CJ62" i="3"/>
  <c r="BC58" i="3"/>
  <c r="N32" i="6"/>
  <c r="E16" i="9"/>
  <c r="F16" i="9"/>
  <c r="F24" i="7"/>
  <c r="J44" i="5"/>
  <c r="J35" i="5"/>
  <c r="M26" i="7"/>
  <c r="K22" i="8"/>
  <c r="K39" i="8" s="1"/>
  <c r="AC11" i="6"/>
  <c r="K12" i="7"/>
  <c r="K25" i="7" s="1"/>
  <c r="G10" i="5"/>
  <c r="I57" i="7"/>
  <c r="AI58" i="3"/>
  <c r="G45" i="5"/>
  <c r="G41" i="5"/>
  <c r="F50" i="7"/>
  <c r="M32" i="6"/>
  <c r="M34" i="6" s="1"/>
  <c r="L45" i="5"/>
  <c r="BC66" i="3"/>
  <c r="BF66" i="3" s="1"/>
  <c r="L10" i="5"/>
  <c r="P54" i="7"/>
  <c r="N21" i="9"/>
  <c r="V9" i="6"/>
  <c r="C27" i="6"/>
  <c r="AB19" i="6"/>
  <c r="I29" i="6"/>
  <c r="AN21" i="6"/>
  <c r="X12" i="6"/>
  <c r="G37" i="5"/>
  <c r="N12" i="7"/>
  <c r="O66" i="7"/>
  <c r="P19" i="7"/>
  <c r="BH13" i="3"/>
  <c r="V6" i="6"/>
  <c r="AB12" i="6"/>
  <c r="AI62" i="3"/>
  <c r="AL62" i="3" s="1"/>
  <c r="J18" i="9"/>
  <c r="X11" i="6"/>
  <c r="G24" i="7"/>
  <c r="H43" i="5"/>
  <c r="AF23" i="6"/>
  <c r="AF17" i="6"/>
  <c r="L37" i="5"/>
  <c r="BH67" i="3"/>
  <c r="N37" i="5"/>
  <c r="C5" i="9"/>
  <c r="C17" i="9" s="1"/>
  <c r="D27" i="6"/>
  <c r="D29" i="6"/>
  <c r="F26" i="7"/>
  <c r="F19" i="7"/>
  <c r="M11" i="3"/>
  <c r="J25" i="3"/>
  <c r="M24" i="3" s="1"/>
  <c r="O59" i="3"/>
  <c r="J36" i="3"/>
  <c r="M35" i="3" s="1"/>
  <c r="J34" i="3"/>
  <c r="M33" i="3" s="1"/>
  <c r="J27" i="3"/>
  <c r="AN73" i="3"/>
  <c r="AN75" i="3" s="1"/>
  <c r="AQ75" i="3" s="1"/>
  <c r="AN72" i="3"/>
  <c r="AQ71" i="3" s="1"/>
  <c r="F10" i="5"/>
  <c r="T13" i="3"/>
  <c r="W13" i="3" s="1"/>
  <c r="F11" i="6"/>
  <c r="Y11" i="6" s="1"/>
  <c r="H12" i="7"/>
  <c r="H18" i="7" s="1"/>
  <c r="F48" i="5"/>
  <c r="F49" i="5" s="1"/>
  <c r="T69" i="3"/>
  <c r="H66" i="7"/>
  <c r="O61" i="3"/>
  <c r="J60" i="3"/>
  <c r="M60" i="3" s="1"/>
  <c r="E18" i="7"/>
  <c r="J32" i="3"/>
  <c r="M31" i="3" s="1"/>
  <c r="I43" i="5"/>
  <c r="C48" i="5"/>
  <c r="C49" i="5" s="1"/>
  <c r="C32" i="6"/>
  <c r="E66" i="7"/>
  <c r="M19" i="7"/>
  <c r="F33" i="6"/>
  <c r="J20" i="3"/>
  <c r="M19" i="3" s="1"/>
  <c r="J18" i="3"/>
  <c r="M17" i="3" s="1"/>
  <c r="O58" i="3"/>
  <c r="AQ38" i="3"/>
  <c r="J62" i="3"/>
  <c r="M62" i="3" s="1"/>
  <c r="E63" i="7"/>
  <c r="AC5" i="6"/>
  <c r="AC8" i="6"/>
  <c r="AC6" i="6"/>
  <c r="AC7" i="6"/>
  <c r="U5" i="9"/>
  <c r="T41" i="3"/>
  <c r="W40" i="3" s="1"/>
  <c r="Y13" i="6"/>
  <c r="F27" i="6"/>
  <c r="F5" i="9"/>
  <c r="F34" i="6"/>
  <c r="J16" i="3"/>
  <c r="M15" i="3" s="1"/>
  <c r="J70" i="3"/>
  <c r="M69" i="3" s="1"/>
  <c r="J29" i="3"/>
  <c r="M29" i="3" s="1"/>
  <c r="J58" i="3"/>
  <c r="M58" i="3" s="1"/>
  <c r="E69" i="3"/>
  <c r="H63" i="7"/>
  <c r="N26" i="7"/>
  <c r="N19" i="7"/>
  <c r="AX62" i="3"/>
  <c r="BC62" i="3"/>
  <c r="BF62" i="3" s="1"/>
  <c r="G25" i="7"/>
  <c r="J8" i="3"/>
  <c r="M8" i="3" s="1"/>
  <c r="J40" i="3"/>
  <c r="M40" i="3" s="1"/>
  <c r="AN63" i="3"/>
  <c r="AN17" i="3"/>
  <c r="L63" i="7"/>
  <c r="AN61" i="3"/>
  <c r="AI60" i="3"/>
  <c r="AL60" i="3" s="1"/>
  <c r="L35" i="5"/>
  <c r="BH58" i="3"/>
  <c r="AI59" i="3"/>
  <c r="AG13" i="6"/>
  <c r="D34" i="5"/>
  <c r="D11" i="6"/>
  <c r="W11" i="6" s="1"/>
  <c r="D10" i="5"/>
  <c r="D5" i="9"/>
  <c r="J34" i="6"/>
  <c r="L66" i="7"/>
  <c r="J48" i="5"/>
  <c r="J49" i="5" s="1"/>
  <c r="J29" i="6"/>
  <c r="AB11" i="6"/>
  <c r="O13" i="3"/>
  <c r="E5" i="9"/>
  <c r="H11" i="6"/>
  <c r="AA11" i="6" s="1"/>
  <c r="H10" i="5"/>
  <c r="H5" i="9"/>
  <c r="N24" i="7"/>
  <c r="CJ60" i="3"/>
  <c r="BH60" i="3"/>
  <c r="BC59" i="3"/>
  <c r="AG11" i="6"/>
  <c r="AG9" i="6"/>
  <c r="J16" i="9"/>
  <c r="C29" i="6"/>
  <c r="I34" i="5"/>
  <c r="W22" i="7"/>
  <c r="N22" i="8"/>
  <c r="G11" i="6"/>
  <c r="Z11" i="6" s="1"/>
  <c r="N5" i="9"/>
  <c r="J43" i="5"/>
  <c r="K34" i="5"/>
  <c r="K29" i="6"/>
  <c r="L22" i="8"/>
  <c r="M22" i="8"/>
  <c r="O32" i="7"/>
  <c r="M43" i="5"/>
  <c r="M10" i="5"/>
  <c r="P63" i="7"/>
  <c r="BH69" i="3"/>
  <c r="M53" i="7"/>
  <c r="M22" i="7"/>
  <c r="M57" i="7"/>
  <c r="M54" i="7"/>
  <c r="L57" i="7"/>
  <c r="K30" i="6"/>
  <c r="M48" i="7"/>
  <c r="M56" i="7"/>
  <c r="K53" i="7"/>
  <c r="K20" i="7"/>
  <c r="AN79" i="3"/>
  <c r="AQ78" i="3" s="1"/>
  <c r="AQ6" i="3"/>
  <c r="J19" i="7"/>
  <c r="J21" i="7"/>
  <c r="J48" i="7"/>
  <c r="J32" i="7"/>
  <c r="J20" i="7"/>
  <c r="H32" i="7"/>
  <c r="H19" i="7"/>
  <c r="AA23" i="6"/>
  <c r="H28" i="6"/>
  <c r="F53" i="7"/>
  <c r="F48" i="7"/>
  <c r="L56" i="7"/>
  <c r="AD24" i="6"/>
  <c r="H22" i="7"/>
  <c r="H57" i="7"/>
  <c r="BC48" i="3"/>
  <c r="AC23" i="6"/>
  <c r="D30" i="6"/>
  <c r="AI46" i="3"/>
  <c r="AL45" i="3" s="1"/>
  <c r="AL43" i="3"/>
  <c r="CG56" i="3"/>
  <c r="CJ55" i="3" s="1"/>
  <c r="CG51" i="3"/>
  <c r="CJ50" i="3" s="1"/>
  <c r="CG48" i="3"/>
  <c r="K43" i="5"/>
  <c r="K46" i="5"/>
  <c r="H54" i="7"/>
  <c r="Y46" i="3"/>
  <c r="AB45" i="3" s="1"/>
  <c r="AB43" i="3"/>
  <c r="F43" i="5"/>
  <c r="F46" i="5"/>
  <c r="X21" i="6"/>
  <c r="N56" i="7"/>
  <c r="N57" i="7"/>
  <c r="M41" i="5"/>
  <c r="BC46" i="3"/>
  <c r="BF45" i="3" s="1"/>
  <c r="BF43" i="3"/>
  <c r="AI56" i="3"/>
  <c r="AL55" i="3" s="1"/>
  <c r="AI48" i="3"/>
  <c r="AI51" i="3"/>
  <c r="AL50" i="3" s="1"/>
  <c r="I30" i="6"/>
  <c r="AB22" i="6"/>
  <c r="BC51" i="3"/>
  <c r="BF50" i="3" s="1"/>
  <c r="BC56" i="3"/>
  <c r="BF55" i="3" s="1"/>
  <c r="W59" i="7"/>
  <c r="F29" i="6"/>
  <c r="H48" i="7"/>
  <c r="K28" i="6"/>
  <c r="AB23" i="6"/>
  <c r="I28" i="6"/>
  <c r="AN56" i="3"/>
  <c r="AQ55" i="3" s="1"/>
  <c r="AQ8" i="3"/>
  <c r="AN48" i="3"/>
  <c r="AN51" i="3"/>
  <c r="AQ50" i="3" s="1"/>
  <c r="CG49" i="3"/>
  <c r="CG74" i="3"/>
  <c r="X18" i="6"/>
  <c r="E28" i="6"/>
  <c r="X20" i="6"/>
  <c r="X25" i="6"/>
  <c r="X23" i="6"/>
  <c r="X17" i="6"/>
  <c r="M37" i="8"/>
  <c r="M24" i="8" s="1"/>
  <c r="O50" i="7"/>
  <c r="AG25" i="6"/>
  <c r="AG21" i="6"/>
  <c r="AG17" i="6"/>
  <c r="N28" i="6"/>
  <c r="AG24" i="6"/>
  <c r="AG16" i="6"/>
  <c r="AX66" i="3"/>
  <c r="BH66" i="3"/>
  <c r="M46" i="5"/>
  <c r="U18" i="9" l="1"/>
  <c r="U17" i="9"/>
  <c r="U19" i="9"/>
  <c r="CQ75" i="3"/>
  <c r="CT75" i="3" s="1"/>
  <c r="CT73" i="3"/>
  <c r="W24" i="3"/>
  <c r="BF58" i="3"/>
  <c r="AQ60" i="3"/>
  <c r="H13" i="3"/>
  <c r="AV24" i="3"/>
  <c r="AB58" i="3"/>
  <c r="R62" i="3"/>
  <c r="BF22" i="3"/>
  <c r="BC24" i="3" s="1"/>
  <c r="BF24" i="3" s="1"/>
  <c r="AV62" i="3"/>
  <c r="AQ58" i="3"/>
  <c r="W25" i="7"/>
  <c r="W21" i="7"/>
  <c r="AB48" i="3"/>
  <c r="AL66" i="3"/>
  <c r="M48" i="3"/>
  <c r="M17" i="9"/>
  <c r="AQ24" i="3"/>
  <c r="AL27" i="3"/>
  <c r="BK48" i="3"/>
  <c r="CB72" i="3"/>
  <c r="CE71" i="3" s="1"/>
  <c r="CB73" i="3"/>
  <c r="AV48" i="3"/>
  <c r="W27" i="3"/>
  <c r="CJ13" i="3"/>
  <c r="CJ27" i="3"/>
  <c r="BA60" i="3"/>
  <c r="AV69" i="3"/>
  <c r="G36" i="5"/>
  <c r="H69" i="3"/>
  <c r="BP60" i="3"/>
  <c r="BP58" i="3"/>
  <c r="AL58" i="3"/>
  <c r="AB24" i="3"/>
  <c r="BF13" i="3"/>
  <c r="BF69" i="3"/>
  <c r="AV27" i="3"/>
  <c r="AG66" i="3"/>
  <c r="AG27" i="3"/>
  <c r="AB66" i="3"/>
  <c r="H48" i="3"/>
  <c r="BP66" i="3"/>
  <c r="M25" i="8"/>
  <c r="M26" i="8" s="1"/>
  <c r="M40" i="8" s="1"/>
  <c r="M66" i="3"/>
  <c r="AG48" i="3"/>
  <c r="BA48" i="3"/>
  <c r="W66" i="3"/>
  <c r="H36" i="5"/>
  <c r="AQ48" i="3"/>
  <c r="L25" i="8"/>
  <c r="L26" i="8" s="1"/>
  <c r="N61" i="7" s="1"/>
  <c r="BK27" i="3"/>
  <c r="I35" i="6"/>
  <c r="G34" i="6"/>
  <c r="H35" i="6"/>
  <c r="H33" i="6"/>
  <c r="M18" i="7"/>
  <c r="G35" i="6"/>
  <c r="M25" i="7"/>
  <c r="F60" i="7"/>
  <c r="AV17" i="3"/>
  <c r="N25" i="8"/>
  <c r="N26" i="8" s="1"/>
  <c r="N40" i="8" s="1"/>
  <c r="L36" i="5"/>
  <c r="J59" i="7"/>
  <c r="BA27" i="3"/>
  <c r="K18" i="7"/>
  <c r="E36" i="5"/>
  <c r="R27" i="3"/>
  <c r="AB27" i="3"/>
  <c r="H39" i="8"/>
  <c r="BK24" i="3"/>
  <c r="H59" i="7"/>
  <c r="F25" i="8"/>
  <c r="F26" i="8" s="1"/>
  <c r="H27" i="3"/>
  <c r="BP62" i="3"/>
  <c r="W69" i="3"/>
  <c r="AB13" i="3"/>
  <c r="W17" i="3"/>
  <c r="I36" i="5"/>
  <c r="BF17" i="3"/>
  <c r="D36" i="5"/>
  <c r="AI72" i="3"/>
  <c r="AL71" i="3" s="1"/>
  <c r="R60" i="3"/>
  <c r="AL69" i="3"/>
  <c r="AG69" i="3"/>
  <c r="J73" i="3"/>
  <c r="J75" i="3" s="1"/>
  <c r="M75" i="3" s="1"/>
  <c r="AG17" i="3"/>
  <c r="R69" i="3"/>
  <c r="R13" i="3"/>
  <c r="H60" i="7"/>
  <c r="AQ62" i="3"/>
  <c r="R58" i="3"/>
  <c r="AG62" i="3"/>
  <c r="M27" i="3"/>
  <c r="W58" i="3"/>
  <c r="AL48" i="3"/>
  <c r="BK62" i="3"/>
  <c r="AV66" i="3"/>
  <c r="AL24" i="3"/>
  <c r="K21" i="7"/>
  <c r="D25" i="8"/>
  <c r="D26" i="8" s="1"/>
  <c r="F61" i="7" s="1"/>
  <c r="I34" i="6"/>
  <c r="G39" i="5"/>
  <c r="BF48" i="3"/>
  <c r="O73" i="3"/>
  <c r="O75" i="3" s="1"/>
  <c r="R75" i="3" s="1"/>
  <c r="AQ17" i="3"/>
  <c r="AQ13" i="3"/>
  <c r="G59" i="7"/>
  <c r="E39" i="5"/>
  <c r="AD72" i="3"/>
  <c r="AG71" i="3" s="1"/>
  <c r="L33" i="6"/>
  <c r="M39" i="5"/>
  <c r="G60" i="7"/>
  <c r="BK58" i="3"/>
  <c r="BA62" i="3"/>
  <c r="G25" i="8"/>
  <c r="G26" i="8" s="1"/>
  <c r="BK13" i="3"/>
  <c r="M36" i="5"/>
  <c r="E25" i="8"/>
  <c r="E26" i="8" s="1"/>
  <c r="E40" i="8" s="1"/>
  <c r="E41" i="8" s="1"/>
  <c r="N36" i="5"/>
  <c r="I60" i="7"/>
  <c r="K36" i="5"/>
  <c r="I59" i="7"/>
  <c r="F59" i="7"/>
  <c r="F36" i="5"/>
  <c r="H25" i="8"/>
  <c r="H26" i="8" s="1"/>
  <c r="J61" i="7" s="1"/>
  <c r="I18" i="9"/>
  <c r="I19" i="9"/>
  <c r="AS73" i="3"/>
  <c r="AS75" i="3" s="1"/>
  <c r="AV75" i="3" s="1"/>
  <c r="BC73" i="3"/>
  <c r="BC75" i="3" s="1"/>
  <c r="BF75" i="3" s="1"/>
  <c r="F39" i="5"/>
  <c r="L59" i="7"/>
  <c r="D35" i="6"/>
  <c r="D33" i="6"/>
  <c r="E35" i="6"/>
  <c r="E34" i="6"/>
  <c r="E33" i="6"/>
  <c r="J36" i="5"/>
  <c r="K60" i="7"/>
  <c r="J25" i="8"/>
  <c r="J26" i="8" s="1"/>
  <c r="J40" i="8" s="1"/>
  <c r="J41" i="8" s="1"/>
  <c r="K59" i="7"/>
  <c r="AL73" i="3"/>
  <c r="O25" i="7"/>
  <c r="O18" i="7"/>
  <c r="M39" i="8"/>
  <c r="BK69" i="3"/>
  <c r="L60" i="7"/>
  <c r="I25" i="8"/>
  <c r="I26" i="8" s="1"/>
  <c r="L34" i="6"/>
  <c r="K39" i="5"/>
  <c r="I21" i="7"/>
  <c r="I18" i="7"/>
  <c r="AD75" i="3"/>
  <c r="AG75" i="3" s="1"/>
  <c r="AG73" i="3"/>
  <c r="K25" i="8"/>
  <c r="K26" i="8" s="1"/>
  <c r="K40" i="8" s="1"/>
  <c r="K41" i="8" s="1"/>
  <c r="I25" i="7"/>
  <c r="AG58" i="3"/>
  <c r="M59" i="7"/>
  <c r="L21" i="7"/>
  <c r="L25" i="7"/>
  <c r="AV73" i="3"/>
  <c r="AQ73" i="3"/>
  <c r="M60" i="7"/>
  <c r="BA66" i="3"/>
  <c r="H39" i="5"/>
  <c r="U33" i="6"/>
  <c r="U34" i="6"/>
  <c r="O59" i="7"/>
  <c r="O60" i="7"/>
  <c r="N39" i="5"/>
  <c r="BK60" i="3"/>
  <c r="P21" i="7"/>
  <c r="P25" i="7"/>
  <c r="L18" i="9"/>
  <c r="L17" i="9"/>
  <c r="CJ48" i="3"/>
  <c r="L39" i="5"/>
  <c r="BK66" i="3"/>
  <c r="N59" i="7"/>
  <c r="N39" i="8"/>
  <c r="N18" i="7"/>
  <c r="N25" i="7"/>
  <c r="N21" i="7"/>
  <c r="K17" i="9"/>
  <c r="K19" i="9"/>
  <c r="K18" i="9"/>
  <c r="J39" i="5"/>
  <c r="K33" i="6"/>
  <c r="K34" i="6"/>
  <c r="K35" i="6"/>
  <c r="N34" i="6"/>
  <c r="N35" i="6"/>
  <c r="N33" i="6"/>
  <c r="C18" i="9"/>
  <c r="C19" i="9"/>
  <c r="M35" i="6"/>
  <c r="M33" i="6"/>
  <c r="CG72" i="3"/>
  <c r="CJ71" i="3" s="1"/>
  <c r="CG73" i="3"/>
  <c r="CG75" i="3" s="1"/>
  <c r="CJ75" i="3" s="1"/>
  <c r="D18" i="9"/>
  <c r="D19" i="9"/>
  <c r="D17" i="9"/>
  <c r="E73" i="3"/>
  <c r="E75" i="3" s="1"/>
  <c r="H75" i="3" s="1"/>
  <c r="E72" i="3"/>
  <c r="H71" i="3" s="1"/>
  <c r="N60" i="7"/>
  <c r="P59" i="7"/>
  <c r="N17" i="9"/>
  <c r="N18" i="9"/>
  <c r="N19" i="9"/>
  <c r="L39" i="8"/>
  <c r="P60" i="7"/>
  <c r="BH73" i="3"/>
  <c r="BH75" i="3" s="1"/>
  <c r="BK75" i="3" s="1"/>
  <c r="BH72" i="3"/>
  <c r="BK71" i="3" s="1"/>
  <c r="E19" i="9"/>
  <c r="E18" i="9"/>
  <c r="E17" i="9"/>
  <c r="F18" i="9"/>
  <c r="F17" i="9"/>
  <c r="F19" i="9"/>
  <c r="C33" i="6"/>
  <c r="C35" i="6"/>
  <c r="C34" i="6"/>
  <c r="H25" i="7"/>
  <c r="H21" i="7"/>
  <c r="H18" i="9"/>
  <c r="H19" i="9"/>
  <c r="H17" i="9"/>
  <c r="D39" i="5"/>
  <c r="I39" i="5"/>
  <c r="T73" i="3"/>
  <c r="T75" i="3" s="1"/>
  <c r="W75" i="3" s="1"/>
  <c r="T72" i="3"/>
  <c r="W71" i="3" s="1"/>
  <c r="M73" i="3" l="1"/>
  <c r="L40" i="8"/>
  <c r="L41" i="8" s="1"/>
  <c r="CB75" i="3"/>
  <c r="CE75" i="3" s="1"/>
  <c r="CE73" i="3"/>
  <c r="G61" i="7"/>
  <c r="P61" i="7"/>
  <c r="W73" i="3"/>
  <c r="N41" i="8"/>
  <c r="H61" i="7"/>
  <c r="F40" i="8"/>
  <c r="F41" i="8" s="1"/>
  <c r="BF73" i="3"/>
  <c r="H73" i="3"/>
  <c r="D40" i="8"/>
  <c r="D41" i="8" s="1"/>
  <c r="R73" i="3"/>
  <c r="G40" i="8"/>
  <c r="G41" i="8" s="1"/>
  <c r="I61" i="7"/>
  <c r="H40" i="8"/>
  <c r="H41" i="8" s="1"/>
  <c r="M41" i="8"/>
  <c r="M61" i="7"/>
  <c r="L61" i="7"/>
  <c r="K61" i="7"/>
  <c r="I40" i="8"/>
  <c r="I41" i="8" s="1"/>
  <c r="O61" i="7"/>
  <c r="CJ73" i="3"/>
  <c r="BK73" i="3"/>
  <c r="W61" i="7"/>
</calcChain>
</file>

<file path=xl/sharedStrings.xml><?xml version="1.0" encoding="utf-8"?>
<sst xmlns="http://schemas.openxmlformats.org/spreadsheetml/2006/main" count="1674" uniqueCount="585">
  <si>
    <t>前期販売管理費を基準に、当期販売管理費の増減額がどの程度であるかを示す指標</t>
    <rPh sb="0" eb="2">
      <t>ゼンキ</t>
    </rPh>
    <rPh sb="2" eb="4">
      <t>ハンバイ</t>
    </rPh>
    <rPh sb="4" eb="7">
      <t>カンリヒ</t>
    </rPh>
    <rPh sb="8" eb="10">
      <t>キジュン</t>
    </rPh>
    <rPh sb="12" eb="14">
      <t>トウキ</t>
    </rPh>
    <rPh sb="14" eb="16">
      <t>ハンバイ</t>
    </rPh>
    <rPh sb="16" eb="19">
      <t>カンリヒ</t>
    </rPh>
    <rPh sb="20" eb="22">
      <t>ゾウゲン</t>
    </rPh>
    <rPh sb="22" eb="23">
      <t>ガク</t>
    </rPh>
    <rPh sb="26" eb="28">
      <t>テイド</t>
    </rPh>
    <rPh sb="33" eb="34">
      <t>シメ</t>
    </rPh>
    <rPh sb="35" eb="37">
      <t>シヒョウ</t>
    </rPh>
    <phoneticPr fontId="3"/>
  </si>
  <si>
    <t>－</t>
    <phoneticPr fontId="3"/>
  </si>
  <si>
    <t>売上高成長率より低い場合は、原価の高騰、経費の増加、または売上単価の減少が考えられる。</t>
    <rPh sb="0" eb="2">
      <t>ウリアゲ</t>
    </rPh>
    <rPh sb="2" eb="3">
      <t>ダカ</t>
    </rPh>
    <rPh sb="3" eb="6">
      <t>セイチョウリツ</t>
    </rPh>
    <rPh sb="8" eb="9">
      <t>ヒク</t>
    </rPh>
    <rPh sb="10" eb="12">
      <t>バアイ</t>
    </rPh>
    <rPh sb="14" eb="16">
      <t>ゲンカ</t>
    </rPh>
    <rPh sb="17" eb="19">
      <t>コウトウ</t>
    </rPh>
    <rPh sb="20" eb="22">
      <t>ケイヒ</t>
    </rPh>
    <rPh sb="23" eb="25">
      <t>ゾウカ</t>
    </rPh>
    <rPh sb="29" eb="31">
      <t>ウリアゲ</t>
    </rPh>
    <rPh sb="31" eb="33">
      <t>タンカ</t>
    </rPh>
    <rPh sb="34" eb="36">
      <t>ゲンショウ</t>
    </rPh>
    <rPh sb="37" eb="38">
      <t>カンガ</t>
    </rPh>
    <phoneticPr fontId="3"/>
  </si>
  <si>
    <t>前期従業員数を基準に、当期従業員数の増減がどの程度であるかを示す指標</t>
    <rPh sb="0" eb="2">
      <t>ゼンキ</t>
    </rPh>
    <rPh sb="2" eb="6">
      <t>ジュウギョウインスウ</t>
    </rPh>
    <rPh sb="7" eb="9">
      <t>キジュン</t>
    </rPh>
    <rPh sb="11" eb="13">
      <t>トウキ</t>
    </rPh>
    <rPh sb="13" eb="16">
      <t>ジュウギョウイン</t>
    </rPh>
    <rPh sb="16" eb="17">
      <t>スウ</t>
    </rPh>
    <rPh sb="18" eb="20">
      <t>ゾウゲン</t>
    </rPh>
    <rPh sb="23" eb="25">
      <t>テイド</t>
    </rPh>
    <rPh sb="30" eb="31">
      <t>シメ</t>
    </rPh>
    <rPh sb="32" eb="34">
      <t>シヒョウ</t>
    </rPh>
    <phoneticPr fontId="3"/>
  </si>
  <si>
    <t>企業の成長、売上の増加に伴い増減するが、大量採用や退職者の増加には注意が必要である。</t>
    <rPh sb="0" eb="2">
      <t>キギョウ</t>
    </rPh>
    <rPh sb="3" eb="5">
      <t>セイチョウ</t>
    </rPh>
    <rPh sb="6" eb="8">
      <t>ウリアゲ</t>
    </rPh>
    <rPh sb="9" eb="11">
      <t>ゾウカ</t>
    </rPh>
    <rPh sb="12" eb="13">
      <t>トモナ</t>
    </rPh>
    <rPh sb="14" eb="16">
      <t>ゾウゲン</t>
    </rPh>
    <rPh sb="20" eb="22">
      <t>タイリョウ</t>
    </rPh>
    <rPh sb="22" eb="24">
      <t>サイヨウ</t>
    </rPh>
    <rPh sb="25" eb="28">
      <t>タイショクシャ</t>
    </rPh>
    <rPh sb="29" eb="31">
      <t>ゾウカ</t>
    </rPh>
    <rPh sb="33" eb="35">
      <t>チュウイ</t>
    </rPh>
    <rPh sb="36" eb="38">
      <t>ヒツヨウ</t>
    </rPh>
    <phoneticPr fontId="3"/>
  </si>
  <si>
    <t>企業の成長、売上の増加に伴い増加するが、売上高成長率の範囲内での増加が望ましい。</t>
    <rPh sb="0" eb="2">
      <t>キギョウ</t>
    </rPh>
    <rPh sb="3" eb="5">
      <t>セイチョウ</t>
    </rPh>
    <rPh sb="6" eb="8">
      <t>ウリアゲ</t>
    </rPh>
    <rPh sb="9" eb="11">
      <t>ゾウカ</t>
    </rPh>
    <rPh sb="12" eb="13">
      <t>トモナ</t>
    </rPh>
    <rPh sb="14" eb="16">
      <t>ゾウカ</t>
    </rPh>
    <rPh sb="20" eb="22">
      <t>ウリアゲ</t>
    </rPh>
    <rPh sb="22" eb="23">
      <t>ダカ</t>
    </rPh>
    <rPh sb="23" eb="26">
      <t>セイチョウリツ</t>
    </rPh>
    <rPh sb="27" eb="30">
      <t>ハンイナイ</t>
    </rPh>
    <rPh sb="32" eb="34">
      <t>ゾウカ</t>
    </rPh>
    <rPh sb="35" eb="36">
      <t>ノゾ</t>
    </rPh>
    <phoneticPr fontId="3"/>
  </si>
  <si>
    <t>前期末総資産額を基準に、当期末総資産額の増減がどの程度であるかを示す指標</t>
    <rPh sb="0" eb="3">
      <t>ゼンキマツ</t>
    </rPh>
    <rPh sb="3" eb="6">
      <t>ソウシサン</t>
    </rPh>
    <rPh sb="6" eb="7">
      <t>ガク</t>
    </rPh>
    <rPh sb="8" eb="10">
      <t>キジュン</t>
    </rPh>
    <rPh sb="12" eb="14">
      <t>トウキ</t>
    </rPh>
    <rPh sb="14" eb="15">
      <t>マツ</t>
    </rPh>
    <rPh sb="15" eb="18">
      <t>ソウシサン</t>
    </rPh>
    <rPh sb="18" eb="19">
      <t>ガク</t>
    </rPh>
    <rPh sb="20" eb="22">
      <t>ゾウゲン</t>
    </rPh>
    <rPh sb="25" eb="27">
      <t>テイド</t>
    </rPh>
    <rPh sb="32" eb="33">
      <t>シメ</t>
    </rPh>
    <rPh sb="34" eb="36">
      <t>シヒョウ</t>
    </rPh>
    <phoneticPr fontId="3"/>
  </si>
  <si>
    <t>企業の成長にともない増加する傾向にある。企業成長に必要な試算の増加、他人資本ではなく自己資本の増加なのか、その内容によって、適否が判断される。</t>
    <rPh sb="0" eb="2">
      <t>キギョウ</t>
    </rPh>
    <rPh sb="3" eb="5">
      <t>セイチョウ</t>
    </rPh>
    <rPh sb="10" eb="12">
      <t>ゾウカ</t>
    </rPh>
    <rPh sb="14" eb="16">
      <t>ケイコウ</t>
    </rPh>
    <rPh sb="20" eb="22">
      <t>キギョウ</t>
    </rPh>
    <rPh sb="22" eb="24">
      <t>セイチョウ</t>
    </rPh>
    <rPh sb="25" eb="27">
      <t>ヒツヨウ</t>
    </rPh>
    <rPh sb="28" eb="30">
      <t>シサン</t>
    </rPh>
    <rPh sb="31" eb="33">
      <t>ゾウカ</t>
    </rPh>
    <rPh sb="34" eb="36">
      <t>タニン</t>
    </rPh>
    <rPh sb="36" eb="38">
      <t>シホン</t>
    </rPh>
    <rPh sb="42" eb="44">
      <t>ジコ</t>
    </rPh>
    <rPh sb="44" eb="46">
      <t>シホン</t>
    </rPh>
    <rPh sb="47" eb="49">
      <t>ゾウカ</t>
    </rPh>
    <rPh sb="55" eb="57">
      <t>ナイヨウ</t>
    </rPh>
    <rPh sb="62" eb="64">
      <t>テキヒ</t>
    </rPh>
    <rPh sb="65" eb="67">
      <t>ハンダン</t>
    </rPh>
    <phoneticPr fontId="3"/>
  </si>
  <si>
    <t>売上高に対する加工高（付加価値）の割合を示す指標、この比率が高いほど内製加工率が高いことを示す</t>
    <rPh sb="0" eb="2">
      <t>ウリアゲ</t>
    </rPh>
    <rPh sb="2" eb="3">
      <t>ダカ</t>
    </rPh>
    <rPh sb="4" eb="5">
      <t>タイ</t>
    </rPh>
    <rPh sb="7" eb="9">
      <t>カコウ</t>
    </rPh>
    <rPh sb="9" eb="10">
      <t>ダカ</t>
    </rPh>
    <rPh sb="11" eb="13">
      <t>フカ</t>
    </rPh>
    <rPh sb="13" eb="15">
      <t>カチ</t>
    </rPh>
    <rPh sb="17" eb="19">
      <t>ワリアイ</t>
    </rPh>
    <rPh sb="20" eb="21">
      <t>シメ</t>
    </rPh>
    <rPh sb="22" eb="24">
      <t>シヒョウ</t>
    </rPh>
    <rPh sb="27" eb="29">
      <t>ヒリツ</t>
    </rPh>
    <rPh sb="30" eb="31">
      <t>タカ</t>
    </rPh>
    <rPh sb="34" eb="36">
      <t>ナイセイ</t>
    </rPh>
    <rPh sb="36" eb="38">
      <t>カコウ</t>
    </rPh>
    <rPh sb="38" eb="39">
      <t>リツ</t>
    </rPh>
    <rPh sb="40" eb="41">
      <t>タカ</t>
    </rPh>
    <rPh sb="45" eb="46">
      <t>シメ</t>
    </rPh>
    <phoneticPr fontId="3"/>
  </si>
  <si>
    <t>加工高（付加価値）÷売上高×100</t>
    <rPh sb="0" eb="2">
      <t>カコウ</t>
    </rPh>
    <rPh sb="2" eb="3">
      <t>ダカ</t>
    </rPh>
    <rPh sb="4" eb="6">
      <t>フカ</t>
    </rPh>
    <rPh sb="6" eb="8">
      <t>カチ</t>
    </rPh>
    <rPh sb="10" eb="12">
      <t>ウリアゲ</t>
    </rPh>
    <rPh sb="12" eb="13">
      <t>ダカ</t>
    </rPh>
    <phoneticPr fontId="3"/>
  </si>
  <si>
    <t>人件費÷加工高（付加価値）×100</t>
    <rPh sb="0" eb="3">
      <t>ジンケンヒ</t>
    </rPh>
    <rPh sb="4" eb="6">
      <t>カコウ</t>
    </rPh>
    <rPh sb="6" eb="7">
      <t>ダカ</t>
    </rPh>
    <rPh sb="8" eb="10">
      <t>フカ</t>
    </rPh>
    <rPh sb="10" eb="12">
      <t>カチ</t>
    </rPh>
    <phoneticPr fontId="3"/>
  </si>
  <si>
    <t>加工高（付加価値）に占める人件費の割合の程度を示す指標</t>
    <rPh sb="0" eb="2">
      <t>カコウ</t>
    </rPh>
    <rPh sb="2" eb="3">
      <t>ダカ</t>
    </rPh>
    <rPh sb="4" eb="6">
      <t>フカ</t>
    </rPh>
    <rPh sb="6" eb="8">
      <t>カチ</t>
    </rPh>
    <rPh sb="10" eb="11">
      <t>シ</t>
    </rPh>
    <rPh sb="13" eb="16">
      <t>ジンケンヒ</t>
    </rPh>
    <rPh sb="17" eb="19">
      <t>ワリアイ</t>
    </rPh>
    <rPh sb="20" eb="22">
      <t>テイド</t>
    </rPh>
    <rPh sb="23" eb="24">
      <t>シメ</t>
    </rPh>
    <rPh sb="25" eb="27">
      <t>シヒョウ</t>
    </rPh>
    <phoneticPr fontId="3"/>
  </si>
  <si>
    <t>従業員の視点、企業の視点によって、良否の判定は相違する。付加価値の増加により、従業員にとっては給料の絶対額の増加、企業にとっては労働分配率の低下の両面を満たすことが、従業員と企業の両方にとって最善である。</t>
    <rPh sb="0" eb="3">
      <t>ジュウギョウイン</t>
    </rPh>
    <rPh sb="4" eb="6">
      <t>シテン</t>
    </rPh>
    <rPh sb="7" eb="9">
      <t>キギョウ</t>
    </rPh>
    <rPh sb="10" eb="12">
      <t>シテン</t>
    </rPh>
    <rPh sb="17" eb="19">
      <t>リョウヒ</t>
    </rPh>
    <rPh sb="20" eb="22">
      <t>ハンテイ</t>
    </rPh>
    <rPh sb="23" eb="25">
      <t>ソウイ</t>
    </rPh>
    <rPh sb="28" eb="30">
      <t>フカ</t>
    </rPh>
    <rPh sb="30" eb="32">
      <t>カチ</t>
    </rPh>
    <rPh sb="33" eb="35">
      <t>ゾウカ</t>
    </rPh>
    <rPh sb="39" eb="42">
      <t>ジュウギョウイン</t>
    </rPh>
    <rPh sb="47" eb="49">
      <t>キュウリョウ</t>
    </rPh>
    <rPh sb="50" eb="52">
      <t>ゼッタイ</t>
    </rPh>
    <rPh sb="52" eb="53">
      <t>ガク</t>
    </rPh>
    <rPh sb="54" eb="56">
      <t>ゾウカ</t>
    </rPh>
    <rPh sb="57" eb="59">
      <t>キギョウ</t>
    </rPh>
    <rPh sb="64" eb="66">
      <t>ロウドウ</t>
    </rPh>
    <rPh sb="66" eb="68">
      <t>ブンパイ</t>
    </rPh>
    <rPh sb="68" eb="69">
      <t>リツ</t>
    </rPh>
    <rPh sb="70" eb="72">
      <t>テイカ</t>
    </rPh>
    <rPh sb="73" eb="75">
      <t>リョウメン</t>
    </rPh>
    <rPh sb="76" eb="77">
      <t>ミ</t>
    </rPh>
    <rPh sb="83" eb="86">
      <t>ジュウギョウイン</t>
    </rPh>
    <rPh sb="87" eb="89">
      <t>キギョウ</t>
    </rPh>
    <rPh sb="90" eb="92">
      <t>リョウホウ</t>
    </rPh>
    <rPh sb="96" eb="98">
      <t>サイゼン</t>
    </rPh>
    <phoneticPr fontId="3"/>
  </si>
  <si>
    <t>加工高（付加価値）÷総資産×100</t>
    <rPh sb="0" eb="2">
      <t>カコウ</t>
    </rPh>
    <rPh sb="2" eb="3">
      <t>ダカ</t>
    </rPh>
    <rPh sb="4" eb="6">
      <t>フカ</t>
    </rPh>
    <rPh sb="6" eb="8">
      <t>カチ</t>
    </rPh>
    <rPh sb="10" eb="13">
      <t>ソウシサン</t>
    </rPh>
    <phoneticPr fontId="3"/>
  </si>
  <si>
    <t>総資本が一定期間に生み出す付加価値の効率を示す指標</t>
    <phoneticPr fontId="3"/>
  </si>
  <si>
    <t>加工高（付加価値）÷従業員数</t>
    <rPh sb="0" eb="2">
      <t>カコウ</t>
    </rPh>
    <rPh sb="2" eb="3">
      <t>ダカ</t>
    </rPh>
    <rPh sb="4" eb="6">
      <t>フカ</t>
    </rPh>
    <rPh sb="6" eb="8">
      <t>カチ</t>
    </rPh>
    <rPh sb="10" eb="13">
      <t>ジュウギョウイン</t>
    </rPh>
    <rPh sb="13" eb="14">
      <t>スウ</t>
    </rPh>
    <phoneticPr fontId="3"/>
  </si>
  <si>
    <t>従業員一人当たり、どの程度の付加価値を生み出しているかを示す指標</t>
    <rPh sb="0" eb="3">
      <t>ジュウギョウイン</t>
    </rPh>
    <rPh sb="3" eb="5">
      <t>ヒトリ</t>
    </rPh>
    <rPh sb="5" eb="6">
      <t>ア</t>
    </rPh>
    <rPh sb="11" eb="13">
      <t>テイド</t>
    </rPh>
    <rPh sb="14" eb="16">
      <t>フカ</t>
    </rPh>
    <rPh sb="16" eb="18">
      <t>カチ</t>
    </rPh>
    <rPh sb="19" eb="20">
      <t>ウ</t>
    </rPh>
    <rPh sb="21" eb="22">
      <t>ダ</t>
    </rPh>
    <rPh sb="28" eb="29">
      <t>シメ</t>
    </rPh>
    <rPh sb="30" eb="32">
      <t>シヒョウ</t>
    </rPh>
    <phoneticPr fontId="3"/>
  </si>
  <si>
    <t>（短期借入金＋長期借入金＋社債）÷総資産×100</t>
    <rPh sb="1" eb="3">
      <t>タンキ</t>
    </rPh>
    <rPh sb="3" eb="5">
      <t>カリイレ</t>
    </rPh>
    <rPh sb="5" eb="6">
      <t>キン</t>
    </rPh>
    <rPh sb="7" eb="9">
      <t>チョウキ</t>
    </rPh>
    <rPh sb="9" eb="11">
      <t>カリイレ</t>
    </rPh>
    <rPh sb="11" eb="12">
      <t>キン</t>
    </rPh>
    <rPh sb="13" eb="15">
      <t>シャサイ</t>
    </rPh>
    <rPh sb="17" eb="20">
      <t>ソウシサン</t>
    </rPh>
    <phoneticPr fontId="3"/>
  </si>
  <si>
    <t>企業が保有している資産のうち、どのくらいの資金が外部からの借入金によってまかなわれているかを示す指標</t>
    <rPh sb="0" eb="2">
      <t>キギョウ</t>
    </rPh>
    <rPh sb="3" eb="5">
      <t>ホユウ</t>
    </rPh>
    <rPh sb="9" eb="11">
      <t>シサン</t>
    </rPh>
    <rPh sb="21" eb="23">
      <t>シキン</t>
    </rPh>
    <rPh sb="24" eb="26">
      <t>ガイブ</t>
    </rPh>
    <rPh sb="29" eb="31">
      <t>カリイレ</t>
    </rPh>
    <rPh sb="31" eb="32">
      <t>キン</t>
    </rPh>
    <rPh sb="46" eb="47">
      <t>シメ</t>
    </rPh>
    <rPh sb="48" eb="50">
      <t>シヒョウ</t>
    </rPh>
    <phoneticPr fontId="3"/>
  </si>
  <si>
    <t>ＦＣや手持ち資金を増やして借入金を返済するなど有利子負債の減少、留保利益の蓄積による自己資本の増加など</t>
    <rPh sb="3" eb="5">
      <t>テモ</t>
    </rPh>
    <rPh sb="6" eb="8">
      <t>シキン</t>
    </rPh>
    <rPh sb="9" eb="10">
      <t>フ</t>
    </rPh>
    <rPh sb="13" eb="15">
      <t>カリイレ</t>
    </rPh>
    <rPh sb="15" eb="16">
      <t>キン</t>
    </rPh>
    <rPh sb="17" eb="19">
      <t>ヘンサイ</t>
    </rPh>
    <rPh sb="23" eb="26">
      <t>ユウリシ</t>
    </rPh>
    <rPh sb="26" eb="28">
      <t>フサイ</t>
    </rPh>
    <rPh sb="29" eb="31">
      <t>ゲンショウ</t>
    </rPh>
    <rPh sb="32" eb="34">
      <t>リュウホ</t>
    </rPh>
    <rPh sb="34" eb="36">
      <t>リエキ</t>
    </rPh>
    <rPh sb="37" eb="39">
      <t>チクセキ</t>
    </rPh>
    <rPh sb="42" eb="44">
      <t>ジコ</t>
    </rPh>
    <rPh sb="44" eb="46">
      <t>シホン</t>
    </rPh>
    <rPh sb="47" eb="49">
      <t>ゾウカ</t>
    </rPh>
    <phoneticPr fontId="3"/>
  </si>
  <si>
    <t>ＦＣの減少による借入金の増加、赤字による自己資本の減少など</t>
    <rPh sb="3" eb="5">
      <t>ゲンショウ</t>
    </rPh>
    <rPh sb="8" eb="10">
      <t>カリイレ</t>
    </rPh>
    <rPh sb="10" eb="11">
      <t>キン</t>
    </rPh>
    <rPh sb="12" eb="14">
      <t>ゾウカ</t>
    </rPh>
    <rPh sb="15" eb="17">
      <t>アカジ</t>
    </rPh>
    <rPh sb="20" eb="22">
      <t>ジコ</t>
    </rPh>
    <rPh sb="22" eb="24">
      <t>シホン</t>
    </rPh>
    <rPh sb="25" eb="27">
      <t>ゲンショウ</t>
    </rPh>
    <phoneticPr fontId="3"/>
  </si>
  <si>
    <t>付加価値の増加、適正な従業員数など</t>
    <rPh sb="0" eb="2">
      <t>フカ</t>
    </rPh>
    <rPh sb="2" eb="4">
      <t>カチ</t>
    </rPh>
    <rPh sb="5" eb="7">
      <t>ゾウカ</t>
    </rPh>
    <rPh sb="8" eb="10">
      <t>テキセイ</t>
    </rPh>
    <rPh sb="11" eb="14">
      <t>ジュウギョウイン</t>
    </rPh>
    <rPh sb="14" eb="15">
      <t>スウ</t>
    </rPh>
    <phoneticPr fontId="3"/>
  </si>
  <si>
    <t>生産性の低下、付加価値の減少、従業員数の大幅な増加など</t>
    <rPh sb="0" eb="3">
      <t>セイサンセイ</t>
    </rPh>
    <rPh sb="4" eb="6">
      <t>テイカ</t>
    </rPh>
    <rPh sb="7" eb="9">
      <t>フカ</t>
    </rPh>
    <rPh sb="9" eb="11">
      <t>カチ</t>
    </rPh>
    <rPh sb="12" eb="14">
      <t>ゲンショウ</t>
    </rPh>
    <rPh sb="15" eb="18">
      <t>ジュウギョウイン</t>
    </rPh>
    <rPh sb="18" eb="19">
      <t>スウ</t>
    </rPh>
    <rPh sb="20" eb="22">
      <t>オオハバ</t>
    </rPh>
    <rPh sb="23" eb="25">
      <t>ゾウカ</t>
    </rPh>
    <phoneticPr fontId="3"/>
  </si>
  <si>
    <t>※</t>
    <phoneticPr fontId="3"/>
  </si>
  <si>
    <t>加工高＝生産高または売上高－（製品仕入原価＋原材料費＋外注費）</t>
    <rPh sb="0" eb="2">
      <t>カコウ</t>
    </rPh>
    <rPh sb="2" eb="3">
      <t>ダカ</t>
    </rPh>
    <rPh sb="4" eb="7">
      <t>セイサンダカ</t>
    </rPh>
    <rPh sb="10" eb="12">
      <t>ウリアゲ</t>
    </rPh>
    <rPh sb="12" eb="13">
      <t>ダカ</t>
    </rPh>
    <rPh sb="15" eb="17">
      <t>セイヒン</t>
    </rPh>
    <rPh sb="17" eb="19">
      <t>シイレ</t>
    </rPh>
    <rPh sb="19" eb="21">
      <t>ゲンカ</t>
    </rPh>
    <rPh sb="22" eb="25">
      <t>ゲンザイリョウ</t>
    </rPh>
    <rPh sb="25" eb="26">
      <t>ヒ</t>
    </rPh>
    <rPh sb="27" eb="29">
      <t>ガイチュウ</t>
    </rPh>
    <rPh sb="29" eb="30">
      <t>ヒ</t>
    </rPh>
    <phoneticPr fontId="3"/>
  </si>
  <si>
    <t>Ａ．加工高比率（付加価値比率）　※</t>
    <rPh sb="2" eb="4">
      <t>カコウ</t>
    </rPh>
    <rPh sb="4" eb="5">
      <t>ダカ</t>
    </rPh>
    <rPh sb="5" eb="7">
      <t>ヒリツ</t>
    </rPh>
    <rPh sb="8" eb="10">
      <t>フカ</t>
    </rPh>
    <rPh sb="10" eb="12">
      <t>カチ</t>
    </rPh>
    <rPh sb="12" eb="14">
      <t>ヒリツ</t>
    </rPh>
    <phoneticPr fontId="3"/>
  </si>
  <si>
    <t>*</t>
    <phoneticPr fontId="3"/>
  </si>
  <si>
    <t>*</t>
    <phoneticPr fontId="3"/>
  </si>
  <si>
    <t>*</t>
    <phoneticPr fontId="3"/>
  </si>
  <si>
    <t>*</t>
    <phoneticPr fontId="3"/>
  </si>
  <si>
    <t>*</t>
    <phoneticPr fontId="3"/>
  </si>
  <si>
    <t>*</t>
    <phoneticPr fontId="3"/>
  </si>
  <si>
    <t>*</t>
    <phoneticPr fontId="3"/>
  </si>
  <si>
    <t>母集団企業数（社）</t>
  </si>
  <si>
    <t>従業者数（人）</t>
  </si>
  <si>
    <t>営業費用</t>
  </si>
  <si>
    <t>売上原価</t>
  </si>
  <si>
    <t>商品仕入原価</t>
  </si>
  <si>
    <t>材料費</t>
  </si>
  <si>
    <t>労務費</t>
  </si>
  <si>
    <t>外注費</t>
  </si>
  <si>
    <t>減価償却費</t>
  </si>
  <si>
    <t>その他の売上原価</t>
    <rPh sb="4" eb="6">
      <t>ウリア</t>
    </rPh>
    <rPh sb="6" eb="8">
      <t>ゲンカ</t>
    </rPh>
    <phoneticPr fontId="4"/>
  </si>
  <si>
    <t>販売費及び一般管理費</t>
  </si>
  <si>
    <t>人件費</t>
  </si>
  <si>
    <t>地代家賃</t>
  </si>
  <si>
    <t>水道光熱費</t>
  </si>
  <si>
    <t>運賃荷造費</t>
  </si>
  <si>
    <t>販売手数料</t>
  </si>
  <si>
    <t>広告宣伝費</t>
  </si>
  <si>
    <t>交際費</t>
  </si>
  <si>
    <t>従業員教育費</t>
  </si>
  <si>
    <t>租税公課</t>
  </si>
  <si>
    <t>その他の経費</t>
  </si>
  <si>
    <t>営業外損益</t>
  </si>
  <si>
    <t>営業外収益</t>
  </si>
  <si>
    <t>営業外費用</t>
  </si>
  <si>
    <t>支払利息・割引料</t>
  </si>
  <si>
    <t>その他の費用</t>
  </si>
  <si>
    <t>経常利益（経常損失）</t>
  </si>
  <si>
    <t>特別利益</t>
    <rPh sb="0" eb="2">
      <t>トクベツ</t>
    </rPh>
    <rPh sb="2" eb="4">
      <t>リエキ</t>
    </rPh>
    <phoneticPr fontId="4"/>
  </si>
  <si>
    <t>特別損失</t>
    <rPh sb="0" eb="2">
      <t>トクベツ</t>
    </rPh>
    <rPh sb="2" eb="4">
      <t>ソンシツ</t>
    </rPh>
    <phoneticPr fontId="4"/>
  </si>
  <si>
    <t>税引前当期純利益（税引前当期純損失）</t>
  </si>
  <si>
    <t>税引後当期純利益（税引後当期純損失）</t>
  </si>
  <si>
    <t>少額減価償却資産取得額の損金算入企業数（社）</t>
  </si>
  <si>
    <t>少額減価償却資産取得額の損金算入額</t>
  </si>
  <si>
    <t>損益計算書</t>
    <rPh sb="0" eb="2">
      <t>ソンエキ</t>
    </rPh>
    <rPh sb="2" eb="5">
      <t>ケイサンショ</t>
    </rPh>
    <phoneticPr fontId="3"/>
  </si>
  <si>
    <t>単位：千円</t>
    <rPh sb="0" eb="2">
      <t>タンイ</t>
    </rPh>
    <rPh sb="3" eb="5">
      <t>センエン</t>
    </rPh>
    <phoneticPr fontId="3"/>
  </si>
  <si>
    <t>売上総利益</t>
    <rPh sb="2" eb="5">
      <t>ソウリエキ</t>
    </rPh>
    <phoneticPr fontId="3"/>
  </si>
  <si>
    <t>営業利益</t>
    <rPh sb="0" eb="2">
      <t>エイギョウ</t>
    </rPh>
    <rPh sb="2" eb="4">
      <t>リエキ</t>
    </rPh>
    <phoneticPr fontId="3"/>
  </si>
  <si>
    <t>株式会社数（社）</t>
  </si>
  <si>
    <t>資　産</t>
  </si>
  <si>
    <t>流動資産</t>
  </si>
  <si>
    <t>現金・預金</t>
  </si>
  <si>
    <t>受取手形・売掛金</t>
  </si>
  <si>
    <t>有価証券</t>
  </si>
  <si>
    <t>棚卸資産</t>
  </si>
  <si>
    <t>その他の流動資産</t>
  </si>
  <si>
    <t>固定資産</t>
  </si>
  <si>
    <t>有形固定資産</t>
  </si>
  <si>
    <t>機械装置</t>
  </si>
  <si>
    <t>船舶、車両運搬具、工具・器具・備品</t>
  </si>
  <si>
    <t>土地</t>
  </si>
  <si>
    <t>建設仮勘定</t>
  </si>
  <si>
    <t>無形固定資産</t>
  </si>
  <si>
    <t>投資その他の資産</t>
  </si>
  <si>
    <t>繰延資産</t>
  </si>
  <si>
    <t>負債及び純資産</t>
    <rPh sb="4" eb="5">
      <t>ジュン</t>
    </rPh>
    <rPh sb="5" eb="7">
      <t>シサン</t>
    </rPh>
    <phoneticPr fontId="4"/>
  </si>
  <si>
    <t>負　債</t>
  </si>
  <si>
    <t>流動負債</t>
  </si>
  <si>
    <t>支払手形・買掛金</t>
  </si>
  <si>
    <t>短期借入金（金融機関）</t>
  </si>
  <si>
    <t>短期借入金（金融機関以外）</t>
  </si>
  <si>
    <t>その他の流動負債</t>
  </si>
  <si>
    <t>固定負債</t>
  </si>
  <si>
    <t>社債</t>
  </si>
  <si>
    <t>長期借入金（金融機関）</t>
  </si>
  <si>
    <t>長期借入金（金融機関以外）</t>
  </si>
  <si>
    <t>その他の固定負債</t>
  </si>
  <si>
    <t>資本金</t>
  </si>
  <si>
    <t>資本剰余金</t>
  </si>
  <si>
    <t>利益剰余金</t>
  </si>
  <si>
    <t>その他の純資産</t>
    <rPh sb="4" eb="5">
      <t>ジュン</t>
    </rPh>
    <rPh sb="5" eb="7">
      <t>シサン</t>
    </rPh>
    <phoneticPr fontId="4"/>
  </si>
  <si>
    <t>貸借対照表</t>
    <rPh sb="0" eb="2">
      <t>タイシャク</t>
    </rPh>
    <rPh sb="2" eb="5">
      <t>タイショウヒョウ</t>
    </rPh>
    <phoneticPr fontId="3"/>
  </si>
  <si>
    <t>経　営　指　標　比　較　表</t>
    <rPh sb="0" eb="1">
      <t>キョウ</t>
    </rPh>
    <rPh sb="2" eb="3">
      <t>エイ</t>
    </rPh>
    <rPh sb="4" eb="5">
      <t>ユビ</t>
    </rPh>
    <rPh sb="6" eb="7">
      <t>ヒョウ</t>
    </rPh>
    <rPh sb="8" eb="9">
      <t>ヒ</t>
    </rPh>
    <rPh sb="10" eb="11">
      <t>クラ</t>
    </rPh>
    <rPh sb="12" eb="13">
      <t>ヒョウ</t>
    </rPh>
    <phoneticPr fontId="3"/>
  </si>
  <si>
    <t>経営指標</t>
    <rPh sb="0" eb="2">
      <t>ケイエイ</t>
    </rPh>
    <rPh sb="2" eb="4">
      <t>シヒョウ</t>
    </rPh>
    <phoneticPr fontId="3"/>
  </si>
  <si>
    <t>（単位）</t>
    <rPh sb="1" eb="3">
      <t>タンイ</t>
    </rPh>
    <phoneticPr fontId="3"/>
  </si>
  <si>
    <t>経営指標の推移</t>
    <rPh sb="0" eb="2">
      <t>ケイエイ</t>
    </rPh>
    <rPh sb="2" eb="4">
      <t>シヒョウ</t>
    </rPh>
    <rPh sb="5" eb="7">
      <t>スイイ</t>
    </rPh>
    <phoneticPr fontId="3"/>
  </si>
  <si>
    <t>（１）総合収益性分析</t>
    <rPh sb="3" eb="5">
      <t>ソウゴウ</t>
    </rPh>
    <rPh sb="5" eb="8">
      <t>シュウエキセイ</t>
    </rPh>
    <rPh sb="8" eb="10">
      <t>ブンセキ</t>
    </rPh>
    <phoneticPr fontId="3"/>
  </si>
  <si>
    <t>Ａ．総資本当期純利益率（ＲＯＡ）</t>
    <rPh sb="2" eb="5">
      <t>ソウシホン</t>
    </rPh>
    <rPh sb="5" eb="7">
      <t>トウキ</t>
    </rPh>
    <rPh sb="7" eb="10">
      <t>ジュンリエキ</t>
    </rPh>
    <rPh sb="10" eb="11">
      <t>リツ</t>
    </rPh>
    <phoneticPr fontId="3"/>
  </si>
  <si>
    <t>（％）</t>
    <phoneticPr fontId="3"/>
  </si>
  <si>
    <t>×</t>
    <phoneticPr fontId="3"/>
  </si>
  <si>
    <t>×</t>
    <phoneticPr fontId="3"/>
  </si>
  <si>
    <t>Ｂ．自己資本当期純利益率（ＲＯＥ）</t>
    <rPh sb="2" eb="4">
      <t>ジコ</t>
    </rPh>
    <rPh sb="4" eb="6">
      <t>シホン</t>
    </rPh>
    <rPh sb="6" eb="8">
      <t>トウキ</t>
    </rPh>
    <rPh sb="8" eb="11">
      <t>ジュンリエキ</t>
    </rPh>
    <rPh sb="11" eb="12">
      <t>リツ</t>
    </rPh>
    <phoneticPr fontId="3"/>
  </si>
  <si>
    <t>×</t>
    <phoneticPr fontId="3"/>
  </si>
  <si>
    <t>（２）売上高利益率分析</t>
    <rPh sb="3" eb="5">
      <t>ウリアゲ</t>
    </rPh>
    <rPh sb="5" eb="6">
      <t>ダカ</t>
    </rPh>
    <rPh sb="6" eb="8">
      <t>リエキ</t>
    </rPh>
    <rPh sb="8" eb="9">
      <t>リツ</t>
    </rPh>
    <rPh sb="9" eb="11">
      <t>ブンセキ</t>
    </rPh>
    <phoneticPr fontId="3"/>
  </si>
  <si>
    <t>Ａ．売上高対総利益率（粗利益率）</t>
    <rPh sb="2" eb="4">
      <t>ウリアゲ</t>
    </rPh>
    <rPh sb="4" eb="5">
      <t>ダカ</t>
    </rPh>
    <rPh sb="5" eb="6">
      <t>タイ</t>
    </rPh>
    <rPh sb="6" eb="7">
      <t>ソウ</t>
    </rPh>
    <rPh sb="7" eb="9">
      <t>リエキ</t>
    </rPh>
    <rPh sb="9" eb="10">
      <t>リツ</t>
    </rPh>
    <rPh sb="11" eb="14">
      <t>アラリエキ</t>
    </rPh>
    <rPh sb="14" eb="15">
      <t>リツ</t>
    </rPh>
    <phoneticPr fontId="3"/>
  </si>
  <si>
    <t>（％）</t>
    <phoneticPr fontId="3"/>
  </si>
  <si>
    <t>×</t>
    <phoneticPr fontId="3"/>
  </si>
  <si>
    <t>×</t>
    <phoneticPr fontId="3"/>
  </si>
  <si>
    <t>Ｂ．売上高対営業利益率</t>
    <rPh sb="2" eb="4">
      <t>ウリアゲ</t>
    </rPh>
    <rPh sb="4" eb="5">
      <t>ダカ</t>
    </rPh>
    <rPh sb="5" eb="6">
      <t>タイ</t>
    </rPh>
    <rPh sb="6" eb="8">
      <t>エイギョウ</t>
    </rPh>
    <rPh sb="8" eb="10">
      <t>リエキ</t>
    </rPh>
    <rPh sb="10" eb="11">
      <t>リツ</t>
    </rPh>
    <phoneticPr fontId="3"/>
  </si>
  <si>
    <t>×</t>
    <phoneticPr fontId="3"/>
  </si>
  <si>
    <t>Ｃ．売上高対経常利益率</t>
    <rPh sb="2" eb="4">
      <t>ウリアゲ</t>
    </rPh>
    <rPh sb="4" eb="5">
      <t>ダカ</t>
    </rPh>
    <rPh sb="5" eb="6">
      <t>タイ</t>
    </rPh>
    <rPh sb="6" eb="8">
      <t>ケイジョウ</t>
    </rPh>
    <rPh sb="8" eb="10">
      <t>リエキ</t>
    </rPh>
    <rPh sb="10" eb="11">
      <t>リツ</t>
    </rPh>
    <phoneticPr fontId="3"/>
  </si>
  <si>
    <t>×</t>
    <phoneticPr fontId="3"/>
  </si>
  <si>
    <t>Ｄ．売上高対当期純利益率</t>
    <rPh sb="2" eb="4">
      <t>ウリアゲ</t>
    </rPh>
    <rPh sb="4" eb="5">
      <t>ダカ</t>
    </rPh>
    <rPh sb="5" eb="6">
      <t>タイ</t>
    </rPh>
    <rPh sb="6" eb="8">
      <t>トウキ</t>
    </rPh>
    <rPh sb="8" eb="9">
      <t>ジュン</t>
    </rPh>
    <rPh sb="9" eb="11">
      <t>リエキ</t>
    </rPh>
    <rPh sb="11" eb="12">
      <t>リツ</t>
    </rPh>
    <phoneticPr fontId="3"/>
  </si>
  <si>
    <t>×</t>
    <phoneticPr fontId="3"/>
  </si>
  <si>
    <t>×</t>
    <phoneticPr fontId="3"/>
  </si>
  <si>
    <t>Ｅ．売上高対販売管理費比率</t>
    <rPh sb="2" eb="4">
      <t>ウリアゲ</t>
    </rPh>
    <rPh sb="4" eb="5">
      <t>ダカ</t>
    </rPh>
    <rPh sb="5" eb="6">
      <t>タイ</t>
    </rPh>
    <rPh sb="6" eb="8">
      <t>ハンバイ</t>
    </rPh>
    <rPh sb="8" eb="11">
      <t>カンリヒ</t>
    </rPh>
    <rPh sb="11" eb="13">
      <t>ヒリツ</t>
    </rPh>
    <phoneticPr fontId="3"/>
  </si>
  <si>
    <t>（３）損益分岐点分析</t>
    <rPh sb="3" eb="5">
      <t>ソンエキ</t>
    </rPh>
    <rPh sb="5" eb="8">
      <t>ブンキテン</t>
    </rPh>
    <rPh sb="8" eb="10">
      <t>ブンセキ</t>
    </rPh>
    <phoneticPr fontId="3"/>
  </si>
  <si>
    <t>Ａ．損益分岐点売上高（採算点）</t>
    <rPh sb="2" eb="4">
      <t>ソンエキ</t>
    </rPh>
    <rPh sb="4" eb="7">
      <t>ブンキテン</t>
    </rPh>
    <rPh sb="7" eb="9">
      <t>ウリアゲ</t>
    </rPh>
    <rPh sb="9" eb="10">
      <t>ダカ</t>
    </rPh>
    <rPh sb="11" eb="14">
      <t>サイサンテン</t>
    </rPh>
    <phoneticPr fontId="3"/>
  </si>
  <si>
    <t>（千円）</t>
    <rPh sb="1" eb="2">
      <t>セン</t>
    </rPh>
    <rPh sb="2" eb="3">
      <t>エン</t>
    </rPh>
    <phoneticPr fontId="3"/>
  </si>
  <si>
    <t>Ｂ．損益分岐点比率（余裕度）</t>
    <rPh sb="2" eb="4">
      <t>ソンエキ</t>
    </rPh>
    <rPh sb="4" eb="7">
      <t>ブンキテン</t>
    </rPh>
    <rPh sb="7" eb="9">
      <t>ヒリツ</t>
    </rPh>
    <rPh sb="10" eb="12">
      <t>ヨユウ</t>
    </rPh>
    <rPh sb="12" eb="13">
      <t>ド</t>
    </rPh>
    <phoneticPr fontId="3"/>
  </si>
  <si>
    <t>（％）</t>
    <phoneticPr fontId="3"/>
  </si>
  <si>
    <t>×</t>
    <phoneticPr fontId="3"/>
  </si>
  <si>
    <t>（４）回転率・回転期間分析</t>
    <rPh sb="3" eb="5">
      <t>カイテン</t>
    </rPh>
    <rPh sb="5" eb="6">
      <t>リツ</t>
    </rPh>
    <rPh sb="7" eb="9">
      <t>カイテン</t>
    </rPh>
    <rPh sb="9" eb="11">
      <t>キカン</t>
    </rPh>
    <rPh sb="11" eb="13">
      <t>ブンセキ</t>
    </rPh>
    <phoneticPr fontId="3"/>
  </si>
  <si>
    <t>Ａ．総資本回転率</t>
    <rPh sb="2" eb="5">
      <t>ソウシホン</t>
    </rPh>
    <rPh sb="5" eb="7">
      <t>カイテン</t>
    </rPh>
    <rPh sb="7" eb="8">
      <t>リツ</t>
    </rPh>
    <phoneticPr fontId="3"/>
  </si>
  <si>
    <t>（回）</t>
    <rPh sb="1" eb="2">
      <t>カイ</t>
    </rPh>
    <phoneticPr fontId="3"/>
  </si>
  <si>
    <t>Ｂ．固定資産回転率</t>
    <rPh sb="2" eb="4">
      <t>コテイ</t>
    </rPh>
    <rPh sb="4" eb="6">
      <t>シサン</t>
    </rPh>
    <rPh sb="6" eb="8">
      <t>カイテン</t>
    </rPh>
    <rPh sb="8" eb="9">
      <t>リツ</t>
    </rPh>
    <phoneticPr fontId="3"/>
  </si>
  <si>
    <t>Ｃ．売上債権回転期間</t>
    <rPh sb="2" eb="4">
      <t>ウリアゲ</t>
    </rPh>
    <rPh sb="4" eb="6">
      <t>サイケン</t>
    </rPh>
    <rPh sb="6" eb="8">
      <t>カイテン</t>
    </rPh>
    <rPh sb="8" eb="10">
      <t>キカン</t>
    </rPh>
    <phoneticPr fontId="3"/>
  </si>
  <si>
    <t>（日）</t>
    <rPh sb="1" eb="2">
      <t>ニチ</t>
    </rPh>
    <phoneticPr fontId="3"/>
  </si>
  <si>
    <t>Ｄ．棚卸資産回転期間</t>
    <rPh sb="2" eb="4">
      <t>タナオロシ</t>
    </rPh>
    <rPh sb="4" eb="6">
      <t>シサン</t>
    </rPh>
    <rPh sb="6" eb="8">
      <t>カイテン</t>
    </rPh>
    <rPh sb="8" eb="10">
      <t>キカン</t>
    </rPh>
    <phoneticPr fontId="3"/>
  </si>
  <si>
    <t>×</t>
    <phoneticPr fontId="3"/>
  </si>
  <si>
    <t>Ｅ．買入債務回転期間</t>
    <rPh sb="2" eb="4">
      <t>カイイレ</t>
    </rPh>
    <rPh sb="4" eb="6">
      <t>サイム</t>
    </rPh>
    <rPh sb="6" eb="8">
      <t>カイテン</t>
    </rPh>
    <rPh sb="8" eb="10">
      <t>キカン</t>
    </rPh>
    <phoneticPr fontId="3"/>
  </si>
  <si>
    <t>×</t>
    <phoneticPr fontId="3"/>
  </si>
  <si>
    <t>（５）生産性分析</t>
    <rPh sb="3" eb="5">
      <t>セイサン</t>
    </rPh>
    <rPh sb="5" eb="6">
      <t>セイ</t>
    </rPh>
    <rPh sb="6" eb="8">
      <t>ブンセキ</t>
    </rPh>
    <phoneticPr fontId="3"/>
  </si>
  <si>
    <t>Ａ．従業員一人当たり年間売上高</t>
    <rPh sb="2" eb="5">
      <t>ジュウギョウイン</t>
    </rPh>
    <rPh sb="5" eb="7">
      <t>ヒトリ</t>
    </rPh>
    <rPh sb="7" eb="8">
      <t>ア</t>
    </rPh>
    <rPh sb="10" eb="12">
      <t>ネンカン</t>
    </rPh>
    <rPh sb="12" eb="14">
      <t>ウリアゲ</t>
    </rPh>
    <rPh sb="14" eb="15">
      <t>ダカ</t>
    </rPh>
    <phoneticPr fontId="3"/>
  </si>
  <si>
    <t>Ｂ．従業員一人当たり年間当期純利益</t>
    <rPh sb="2" eb="5">
      <t>ジュウギョウイン</t>
    </rPh>
    <rPh sb="5" eb="7">
      <t>ヒトリ</t>
    </rPh>
    <rPh sb="7" eb="8">
      <t>ア</t>
    </rPh>
    <rPh sb="10" eb="12">
      <t>ネンカン</t>
    </rPh>
    <rPh sb="12" eb="14">
      <t>トウキ</t>
    </rPh>
    <rPh sb="14" eb="15">
      <t>ジュン</t>
    </rPh>
    <rPh sb="15" eb="17">
      <t>リエキ</t>
    </rPh>
    <phoneticPr fontId="3"/>
  </si>
  <si>
    <t>（６）短期支払能力分析</t>
    <rPh sb="3" eb="5">
      <t>タンキ</t>
    </rPh>
    <rPh sb="5" eb="7">
      <t>シハライ</t>
    </rPh>
    <rPh sb="7" eb="9">
      <t>ノウリョク</t>
    </rPh>
    <rPh sb="9" eb="11">
      <t>ブンセキ</t>
    </rPh>
    <phoneticPr fontId="3"/>
  </si>
  <si>
    <t>Ａ．流動比率</t>
    <rPh sb="2" eb="4">
      <t>リュウドウ</t>
    </rPh>
    <rPh sb="4" eb="6">
      <t>ヒリツ</t>
    </rPh>
    <phoneticPr fontId="3"/>
  </si>
  <si>
    <t>（％）</t>
    <phoneticPr fontId="3"/>
  </si>
  <si>
    <t>×</t>
    <phoneticPr fontId="3"/>
  </si>
  <si>
    <t>Ｂ．当座比率</t>
    <rPh sb="2" eb="4">
      <t>トウザ</t>
    </rPh>
    <rPh sb="4" eb="6">
      <t>ヒリツ</t>
    </rPh>
    <phoneticPr fontId="3"/>
  </si>
  <si>
    <t>（％）</t>
    <phoneticPr fontId="3"/>
  </si>
  <si>
    <t>Ａ．自己資本比率</t>
    <rPh sb="2" eb="4">
      <t>ジコ</t>
    </rPh>
    <rPh sb="4" eb="6">
      <t>シホン</t>
    </rPh>
    <rPh sb="6" eb="8">
      <t>ヒリツ</t>
    </rPh>
    <phoneticPr fontId="3"/>
  </si>
  <si>
    <t>Ｂ．負債比率</t>
    <rPh sb="2" eb="4">
      <t>フサイ</t>
    </rPh>
    <rPh sb="4" eb="6">
      <t>ヒリツ</t>
    </rPh>
    <phoneticPr fontId="3"/>
  </si>
  <si>
    <t>×</t>
    <phoneticPr fontId="3"/>
  </si>
  <si>
    <t>（８）調達と運用の適合性分析</t>
    <rPh sb="3" eb="5">
      <t>チョウタツ</t>
    </rPh>
    <rPh sb="6" eb="8">
      <t>ウンヨウ</t>
    </rPh>
    <rPh sb="9" eb="12">
      <t>テキゴウセイ</t>
    </rPh>
    <rPh sb="12" eb="14">
      <t>ブンセキ</t>
    </rPh>
    <phoneticPr fontId="3"/>
  </si>
  <si>
    <t>Ａ．固定長期適合率</t>
    <rPh sb="2" eb="4">
      <t>コテイ</t>
    </rPh>
    <rPh sb="4" eb="6">
      <t>チョウキ</t>
    </rPh>
    <rPh sb="6" eb="8">
      <t>テキゴウ</t>
    </rPh>
    <rPh sb="8" eb="9">
      <t>リツ</t>
    </rPh>
    <phoneticPr fontId="3"/>
  </si>
  <si>
    <t>Ｂ．固定比率</t>
    <rPh sb="2" eb="4">
      <t>コテイ</t>
    </rPh>
    <rPh sb="4" eb="6">
      <t>ヒリツ</t>
    </rPh>
    <phoneticPr fontId="3"/>
  </si>
  <si>
    <t>（９）成長性分析</t>
    <rPh sb="3" eb="6">
      <t>セイチョウセイ</t>
    </rPh>
    <rPh sb="6" eb="8">
      <t>ブンセキ</t>
    </rPh>
    <phoneticPr fontId="3"/>
  </si>
  <si>
    <t>Ａ．売上高成長率</t>
    <rPh sb="2" eb="4">
      <t>ウリアゲ</t>
    </rPh>
    <rPh sb="4" eb="5">
      <t>ダカ</t>
    </rPh>
    <rPh sb="5" eb="8">
      <t>セイチョウリツ</t>
    </rPh>
    <phoneticPr fontId="3"/>
  </si>
  <si>
    <t>（％）</t>
    <phoneticPr fontId="3"/>
  </si>
  <si>
    <t>×</t>
    <phoneticPr fontId="3"/>
  </si>
  <si>
    <t>Ｂ．経常利益成長率</t>
    <rPh sb="2" eb="4">
      <t>ケイジョウ</t>
    </rPh>
    <rPh sb="4" eb="6">
      <t>リエキ</t>
    </rPh>
    <rPh sb="6" eb="9">
      <t>セイチョウリツ</t>
    </rPh>
    <phoneticPr fontId="3"/>
  </si>
  <si>
    <t>（％）</t>
    <phoneticPr fontId="3"/>
  </si>
  <si>
    <t>Ｃ．販売管理費増減率</t>
    <rPh sb="2" eb="4">
      <t>ハンバイ</t>
    </rPh>
    <rPh sb="4" eb="7">
      <t>カンリヒ</t>
    </rPh>
    <rPh sb="7" eb="9">
      <t>ゾウゲン</t>
    </rPh>
    <rPh sb="9" eb="10">
      <t>リツ</t>
    </rPh>
    <phoneticPr fontId="3"/>
  </si>
  <si>
    <t>Ｄ．従業員数増減率</t>
    <rPh sb="2" eb="5">
      <t>ジュウギョウイン</t>
    </rPh>
    <rPh sb="5" eb="6">
      <t>スウ</t>
    </rPh>
    <rPh sb="6" eb="8">
      <t>ゾウゲン</t>
    </rPh>
    <rPh sb="8" eb="9">
      <t>リツ</t>
    </rPh>
    <phoneticPr fontId="3"/>
  </si>
  <si>
    <t>（％）</t>
    <phoneticPr fontId="3"/>
  </si>
  <si>
    <t>×</t>
    <phoneticPr fontId="3"/>
  </si>
  <si>
    <t>×</t>
    <phoneticPr fontId="3"/>
  </si>
  <si>
    <t>×</t>
    <phoneticPr fontId="3"/>
  </si>
  <si>
    <t>（１０）付加価値分析</t>
    <rPh sb="4" eb="6">
      <t>フカ</t>
    </rPh>
    <rPh sb="6" eb="8">
      <t>カチ</t>
    </rPh>
    <rPh sb="8" eb="10">
      <t>ブンセキ</t>
    </rPh>
    <phoneticPr fontId="3"/>
  </si>
  <si>
    <t>Ａ．加工高比率</t>
    <rPh sb="2" eb="4">
      <t>カコウ</t>
    </rPh>
    <rPh sb="4" eb="5">
      <t>ダカ</t>
    </rPh>
    <rPh sb="5" eb="7">
      <t>ヒリツ</t>
    </rPh>
    <phoneticPr fontId="3"/>
  </si>
  <si>
    <t>×</t>
    <phoneticPr fontId="3"/>
  </si>
  <si>
    <t>Ｂ．労働分配率</t>
    <rPh sb="2" eb="4">
      <t>ロウドウ</t>
    </rPh>
    <rPh sb="4" eb="6">
      <t>ブンパイ</t>
    </rPh>
    <rPh sb="6" eb="7">
      <t>リツ</t>
    </rPh>
    <phoneticPr fontId="3"/>
  </si>
  <si>
    <t>（％）</t>
    <phoneticPr fontId="3"/>
  </si>
  <si>
    <t>（％）</t>
    <phoneticPr fontId="3"/>
  </si>
  <si>
    <t>×</t>
    <phoneticPr fontId="3"/>
  </si>
  <si>
    <t>×</t>
    <phoneticPr fontId="3"/>
  </si>
  <si>
    <t>Ｄ．付加価値生産性</t>
    <rPh sb="2" eb="4">
      <t>フカ</t>
    </rPh>
    <rPh sb="4" eb="6">
      <t>カチ</t>
    </rPh>
    <rPh sb="6" eb="9">
      <t>セイサンセイ</t>
    </rPh>
    <phoneticPr fontId="3"/>
  </si>
  <si>
    <t>（１１）その他</t>
    <rPh sb="6" eb="7">
      <t>タ</t>
    </rPh>
    <phoneticPr fontId="3"/>
  </si>
  <si>
    <t>Ａ．借入金依存度</t>
    <rPh sb="2" eb="4">
      <t>カリイレ</t>
    </rPh>
    <rPh sb="4" eb="5">
      <t>キン</t>
    </rPh>
    <rPh sb="5" eb="8">
      <t>イゾンド</t>
    </rPh>
    <phoneticPr fontId="3"/>
  </si>
  <si>
    <t>変動費</t>
    <rPh sb="0" eb="2">
      <t>ヘンドウ</t>
    </rPh>
    <rPh sb="2" eb="3">
      <t>ヒ</t>
    </rPh>
    <phoneticPr fontId="3"/>
  </si>
  <si>
    <t>固定費</t>
    <rPh sb="0" eb="3">
      <t>コテイヒ</t>
    </rPh>
    <phoneticPr fontId="3"/>
  </si>
  <si>
    <t>限界利益</t>
    <rPh sb="0" eb="2">
      <t>ゲンカイ</t>
    </rPh>
    <rPh sb="2" eb="4">
      <t>リエキ</t>
    </rPh>
    <phoneticPr fontId="3"/>
  </si>
  <si>
    <t>加工高</t>
    <rPh sb="0" eb="2">
      <t>カコウ</t>
    </rPh>
    <rPh sb="2" eb="3">
      <t>ダカ</t>
    </rPh>
    <phoneticPr fontId="3"/>
  </si>
  <si>
    <t>付加価値</t>
    <rPh sb="0" eb="2">
      <t>フカ</t>
    </rPh>
    <rPh sb="2" eb="4">
      <t>カチ</t>
    </rPh>
    <phoneticPr fontId="3"/>
  </si>
  <si>
    <t>経営指標の説明</t>
    <rPh sb="0" eb="2">
      <t>ケイエイ</t>
    </rPh>
    <rPh sb="2" eb="4">
      <t>シヒョウ</t>
    </rPh>
    <rPh sb="5" eb="7">
      <t>セツメイ</t>
    </rPh>
    <phoneticPr fontId="3"/>
  </si>
  <si>
    <t>「中小企業の財務指標」、日経ビジネスゼミナール「会社の読み方入門」から引用</t>
    <rPh sb="1" eb="3">
      <t>チュウショウ</t>
    </rPh>
    <rPh sb="3" eb="5">
      <t>キギョウ</t>
    </rPh>
    <rPh sb="6" eb="8">
      <t>ザイム</t>
    </rPh>
    <rPh sb="8" eb="10">
      <t>シヒョウ</t>
    </rPh>
    <rPh sb="12" eb="14">
      <t>ニッケイ</t>
    </rPh>
    <rPh sb="24" eb="26">
      <t>カイシャ</t>
    </rPh>
    <rPh sb="27" eb="28">
      <t>ヨ</t>
    </rPh>
    <rPh sb="29" eb="30">
      <t>カタ</t>
    </rPh>
    <rPh sb="30" eb="32">
      <t>ニュウモン</t>
    </rPh>
    <rPh sb="35" eb="37">
      <t>インヨウ</t>
    </rPh>
    <phoneticPr fontId="3"/>
  </si>
  <si>
    <t>経営指標/計算式</t>
    <rPh sb="0" eb="2">
      <t>ケイエイ</t>
    </rPh>
    <rPh sb="2" eb="4">
      <t>シヒョウ</t>
    </rPh>
    <rPh sb="5" eb="7">
      <t>ケイサン</t>
    </rPh>
    <rPh sb="7" eb="8">
      <t>シキ</t>
    </rPh>
    <phoneticPr fontId="3"/>
  </si>
  <si>
    <t>良否</t>
    <rPh sb="0" eb="2">
      <t>リョウヒ</t>
    </rPh>
    <phoneticPr fontId="3"/>
  </si>
  <si>
    <t>比率の意味</t>
    <rPh sb="0" eb="2">
      <t>ヒリツ</t>
    </rPh>
    <rPh sb="3" eb="5">
      <t>イミ</t>
    </rPh>
    <phoneticPr fontId="3"/>
  </si>
  <si>
    <t>良否の原因</t>
    <rPh sb="0" eb="2">
      <t>リョウヒ</t>
    </rPh>
    <rPh sb="3" eb="5">
      <t>ゲンイン</t>
    </rPh>
    <phoneticPr fontId="3"/>
  </si>
  <si>
    <t>良</t>
    <rPh sb="0" eb="1">
      <t>リョウ</t>
    </rPh>
    <phoneticPr fontId="3"/>
  </si>
  <si>
    <t>否</t>
    <rPh sb="0" eb="1">
      <t>ヒ</t>
    </rPh>
    <phoneticPr fontId="3"/>
  </si>
  <si>
    <t>（１）収益性分析</t>
    <rPh sb="3" eb="6">
      <t>シュウエキセイ</t>
    </rPh>
    <rPh sb="6" eb="8">
      <t>ブンセキ</t>
    </rPh>
    <phoneticPr fontId="3"/>
  </si>
  <si>
    <t>企業に投下された総資本が、利益獲得のためにどれだけ効率的に利用されたかを示す指標</t>
    <rPh sb="0" eb="2">
      <t>キギョウ</t>
    </rPh>
    <rPh sb="3" eb="5">
      <t>トウカ</t>
    </rPh>
    <rPh sb="8" eb="9">
      <t>ソウ</t>
    </rPh>
    <rPh sb="9" eb="11">
      <t>シホン</t>
    </rPh>
    <rPh sb="13" eb="15">
      <t>リエキ</t>
    </rPh>
    <rPh sb="15" eb="17">
      <t>カクトク</t>
    </rPh>
    <rPh sb="25" eb="27">
      <t>コウリツ</t>
    </rPh>
    <rPh sb="27" eb="28">
      <t>テキ</t>
    </rPh>
    <rPh sb="29" eb="31">
      <t>リヨウ</t>
    </rPh>
    <rPh sb="36" eb="37">
      <t>シメ</t>
    </rPh>
    <rPh sb="38" eb="40">
      <t>シヒョウ</t>
    </rPh>
    <phoneticPr fontId="3"/>
  </si>
  <si>
    <t>経費削減による利益の増加、負債の返済または資産の売却などによる総資産の圧縮など</t>
    <rPh sb="0" eb="2">
      <t>ケイヒ</t>
    </rPh>
    <rPh sb="2" eb="4">
      <t>サクゲン</t>
    </rPh>
    <rPh sb="7" eb="9">
      <t>リエキ</t>
    </rPh>
    <rPh sb="10" eb="12">
      <t>ゾウカ</t>
    </rPh>
    <rPh sb="13" eb="15">
      <t>フサイ</t>
    </rPh>
    <rPh sb="16" eb="18">
      <t>ヘンサイ</t>
    </rPh>
    <rPh sb="21" eb="23">
      <t>シサン</t>
    </rPh>
    <rPh sb="24" eb="26">
      <t>バイキャク</t>
    </rPh>
    <rPh sb="31" eb="34">
      <t>ソウシサン</t>
    </rPh>
    <rPh sb="35" eb="37">
      <t>アッシュク</t>
    </rPh>
    <phoneticPr fontId="3"/>
  </si>
  <si>
    <t>支払手数料の増加による利益の縮小や総資産の過大</t>
    <rPh sb="0" eb="2">
      <t>シハライ</t>
    </rPh>
    <rPh sb="2" eb="5">
      <t>テスウリョウ</t>
    </rPh>
    <rPh sb="6" eb="8">
      <t>ゾウカ</t>
    </rPh>
    <rPh sb="11" eb="13">
      <t>リエキ</t>
    </rPh>
    <rPh sb="14" eb="16">
      <t>シュクショウ</t>
    </rPh>
    <rPh sb="17" eb="20">
      <t>ソウシサン</t>
    </rPh>
    <rPh sb="21" eb="23">
      <t>カダイ</t>
    </rPh>
    <phoneticPr fontId="3"/>
  </si>
  <si>
    <t>当期純利益÷総資産×100</t>
    <rPh sb="0" eb="2">
      <t>トウキ</t>
    </rPh>
    <rPh sb="2" eb="5">
      <t>ジュンリエキ</t>
    </rPh>
    <rPh sb="6" eb="9">
      <t>ソウシサン</t>
    </rPh>
    <phoneticPr fontId="3"/>
  </si>
  <si>
    <t>調達資本を自己資本に限定して、当期純利益と比較することによって、自己資本がどれだけ効率的に利益を獲得したかを示す指標</t>
    <rPh sb="0" eb="2">
      <t>チョウタツ</t>
    </rPh>
    <rPh sb="2" eb="4">
      <t>シホン</t>
    </rPh>
    <rPh sb="5" eb="7">
      <t>ジコ</t>
    </rPh>
    <rPh sb="7" eb="9">
      <t>シホン</t>
    </rPh>
    <rPh sb="10" eb="12">
      <t>ゲンテイ</t>
    </rPh>
    <rPh sb="15" eb="17">
      <t>トウキ</t>
    </rPh>
    <rPh sb="17" eb="20">
      <t>ジュンリエキ</t>
    </rPh>
    <rPh sb="21" eb="23">
      <t>ヒカク</t>
    </rPh>
    <rPh sb="32" eb="34">
      <t>ジコ</t>
    </rPh>
    <rPh sb="34" eb="36">
      <t>シホン</t>
    </rPh>
    <rPh sb="41" eb="44">
      <t>コウリツテキ</t>
    </rPh>
    <rPh sb="45" eb="47">
      <t>リエキ</t>
    </rPh>
    <rPh sb="48" eb="50">
      <t>カクトク</t>
    </rPh>
    <rPh sb="54" eb="55">
      <t>シメ</t>
    </rPh>
    <rPh sb="56" eb="58">
      <t>シヒョウ</t>
    </rPh>
    <phoneticPr fontId="3"/>
  </si>
  <si>
    <t>売上債権の早期回収等による総資本回転率の向上、経費削減等による売上高当期純利益率の向上など</t>
    <rPh sb="0" eb="2">
      <t>ウリアゲ</t>
    </rPh>
    <rPh sb="2" eb="4">
      <t>サイケン</t>
    </rPh>
    <rPh sb="5" eb="7">
      <t>ソウキ</t>
    </rPh>
    <rPh sb="7" eb="9">
      <t>カイシュウ</t>
    </rPh>
    <rPh sb="9" eb="10">
      <t>トウ</t>
    </rPh>
    <rPh sb="13" eb="16">
      <t>ソウシホン</t>
    </rPh>
    <rPh sb="16" eb="18">
      <t>カイテン</t>
    </rPh>
    <rPh sb="18" eb="19">
      <t>リツ</t>
    </rPh>
    <rPh sb="20" eb="22">
      <t>コウジョウ</t>
    </rPh>
    <rPh sb="23" eb="25">
      <t>ケイヒ</t>
    </rPh>
    <rPh sb="25" eb="28">
      <t>サクゲントウ</t>
    </rPh>
    <rPh sb="31" eb="33">
      <t>ウリアゲ</t>
    </rPh>
    <rPh sb="33" eb="34">
      <t>ダカ</t>
    </rPh>
    <rPh sb="34" eb="36">
      <t>トウキ</t>
    </rPh>
    <rPh sb="36" eb="39">
      <t>ジュンリエキ</t>
    </rPh>
    <rPh sb="39" eb="40">
      <t>リツ</t>
    </rPh>
    <rPh sb="41" eb="43">
      <t>コウジョウ</t>
    </rPh>
    <phoneticPr fontId="3"/>
  </si>
  <si>
    <t>固定資産投資などによる総資本固定資産回転率の低下、事業縮小などによる財務レバレッジの低下など</t>
    <rPh sb="0" eb="2">
      <t>コテイ</t>
    </rPh>
    <rPh sb="2" eb="4">
      <t>シサン</t>
    </rPh>
    <rPh sb="4" eb="6">
      <t>トウシ</t>
    </rPh>
    <rPh sb="11" eb="14">
      <t>ソウシホン</t>
    </rPh>
    <rPh sb="14" eb="16">
      <t>コテイ</t>
    </rPh>
    <rPh sb="16" eb="18">
      <t>シサン</t>
    </rPh>
    <rPh sb="18" eb="20">
      <t>カイテン</t>
    </rPh>
    <rPh sb="20" eb="21">
      <t>リツ</t>
    </rPh>
    <rPh sb="22" eb="24">
      <t>テイカ</t>
    </rPh>
    <rPh sb="25" eb="27">
      <t>ジギョウ</t>
    </rPh>
    <rPh sb="27" eb="29">
      <t>シュクショウ</t>
    </rPh>
    <rPh sb="34" eb="36">
      <t>ザイム</t>
    </rPh>
    <rPh sb="42" eb="44">
      <t>テイカ</t>
    </rPh>
    <phoneticPr fontId="3"/>
  </si>
  <si>
    <t>当期純利益÷自己資本×100</t>
    <rPh sb="0" eb="2">
      <t>トウキ</t>
    </rPh>
    <rPh sb="2" eb="5">
      <t>ジュンリエキ</t>
    </rPh>
    <rPh sb="6" eb="8">
      <t>ジコ</t>
    </rPh>
    <rPh sb="8" eb="10">
      <t>シホン</t>
    </rPh>
    <phoneticPr fontId="3"/>
  </si>
  <si>
    <t>粗利益とも言う。売上高に対する売上総利益の割合（商品力）を示す指標。</t>
    <rPh sb="0" eb="3">
      <t>アラリエキ</t>
    </rPh>
    <rPh sb="5" eb="6">
      <t>イ</t>
    </rPh>
    <rPh sb="8" eb="10">
      <t>ウリアゲ</t>
    </rPh>
    <rPh sb="10" eb="11">
      <t>ダカ</t>
    </rPh>
    <rPh sb="12" eb="13">
      <t>タイ</t>
    </rPh>
    <rPh sb="15" eb="17">
      <t>ウリアゲ</t>
    </rPh>
    <rPh sb="17" eb="20">
      <t>ソウリエキ</t>
    </rPh>
    <rPh sb="21" eb="23">
      <t>ワリアイ</t>
    </rPh>
    <rPh sb="24" eb="27">
      <t>ショウヒンリョク</t>
    </rPh>
    <rPh sb="29" eb="30">
      <t>シメ</t>
    </rPh>
    <rPh sb="31" eb="33">
      <t>シヒョウ</t>
    </rPh>
    <phoneticPr fontId="3"/>
  </si>
  <si>
    <t>製造業では製造原価、販売業では仕入価格が売上高に対して低いこと</t>
    <rPh sb="0" eb="3">
      <t>セイゾウギョウ</t>
    </rPh>
    <rPh sb="5" eb="7">
      <t>セイゾウ</t>
    </rPh>
    <rPh sb="7" eb="9">
      <t>ゲンカ</t>
    </rPh>
    <rPh sb="10" eb="13">
      <t>ハンバイギョウ</t>
    </rPh>
    <rPh sb="15" eb="17">
      <t>シイ</t>
    </rPh>
    <rPh sb="17" eb="19">
      <t>カカク</t>
    </rPh>
    <rPh sb="20" eb="22">
      <t>ウリアゲ</t>
    </rPh>
    <rPh sb="22" eb="23">
      <t>ダカ</t>
    </rPh>
    <rPh sb="24" eb="25">
      <t>タイ</t>
    </rPh>
    <rPh sb="27" eb="28">
      <t>ヒク</t>
    </rPh>
    <phoneticPr fontId="3"/>
  </si>
  <si>
    <t>低価格販売、仕入価格や製造原価が売上高に対して高いこと</t>
    <rPh sb="0" eb="3">
      <t>テイカカク</t>
    </rPh>
    <rPh sb="3" eb="5">
      <t>ハンバイ</t>
    </rPh>
    <rPh sb="6" eb="8">
      <t>シイ</t>
    </rPh>
    <rPh sb="8" eb="10">
      <t>カカク</t>
    </rPh>
    <rPh sb="11" eb="13">
      <t>セイゾウ</t>
    </rPh>
    <rPh sb="13" eb="15">
      <t>ゲンカ</t>
    </rPh>
    <rPh sb="16" eb="18">
      <t>ウリアゲ</t>
    </rPh>
    <rPh sb="18" eb="19">
      <t>ダカ</t>
    </rPh>
    <rPh sb="20" eb="21">
      <t>タイ</t>
    </rPh>
    <rPh sb="23" eb="24">
      <t>タカ</t>
    </rPh>
    <phoneticPr fontId="3"/>
  </si>
  <si>
    <t>売上総利益÷売上高×100</t>
    <rPh sb="0" eb="2">
      <t>ウリアゲ</t>
    </rPh>
    <rPh sb="2" eb="5">
      <t>ソウリエキ</t>
    </rPh>
    <rPh sb="6" eb="8">
      <t>ウリアゲ</t>
    </rPh>
    <rPh sb="8" eb="9">
      <t>ダカ</t>
    </rPh>
    <phoneticPr fontId="3"/>
  </si>
  <si>
    <t>当期の売上高に対して本業からの利益をどの程度生み出すことができたかを示す指標</t>
    <rPh sb="0" eb="2">
      <t>トウキ</t>
    </rPh>
    <rPh sb="3" eb="5">
      <t>ウリアゲ</t>
    </rPh>
    <rPh sb="5" eb="6">
      <t>ダカ</t>
    </rPh>
    <rPh sb="7" eb="8">
      <t>タイ</t>
    </rPh>
    <rPh sb="10" eb="12">
      <t>ホンギョウ</t>
    </rPh>
    <rPh sb="15" eb="17">
      <t>リエキ</t>
    </rPh>
    <rPh sb="20" eb="22">
      <t>テイド</t>
    </rPh>
    <rPh sb="22" eb="23">
      <t>ウ</t>
    </rPh>
    <rPh sb="24" eb="25">
      <t>ダ</t>
    </rPh>
    <rPh sb="34" eb="35">
      <t>シメ</t>
    </rPh>
    <rPh sb="36" eb="38">
      <t>シヒョウ</t>
    </rPh>
    <phoneticPr fontId="3"/>
  </si>
  <si>
    <t>売上原価が低い、販売管理費が少ないなど</t>
    <rPh sb="0" eb="2">
      <t>ウリアゲ</t>
    </rPh>
    <rPh sb="2" eb="4">
      <t>ゲンカ</t>
    </rPh>
    <rPh sb="5" eb="6">
      <t>ヒク</t>
    </rPh>
    <rPh sb="8" eb="10">
      <t>ハンバイ</t>
    </rPh>
    <rPh sb="10" eb="13">
      <t>カンリヒ</t>
    </rPh>
    <rPh sb="14" eb="15">
      <t>スク</t>
    </rPh>
    <phoneticPr fontId="3"/>
  </si>
  <si>
    <t>売上原価が高い、販売管理費が増大しているなど</t>
    <rPh sb="0" eb="2">
      <t>ウリアゲ</t>
    </rPh>
    <rPh sb="2" eb="4">
      <t>ゲンカ</t>
    </rPh>
    <rPh sb="5" eb="6">
      <t>タカ</t>
    </rPh>
    <rPh sb="8" eb="10">
      <t>ハンバイ</t>
    </rPh>
    <rPh sb="10" eb="13">
      <t>カンリヒ</t>
    </rPh>
    <rPh sb="14" eb="16">
      <t>ゾウダイ</t>
    </rPh>
    <phoneticPr fontId="3"/>
  </si>
  <si>
    <t>営業利益÷売上高×100</t>
    <rPh sb="0" eb="2">
      <t>エイギョウ</t>
    </rPh>
    <rPh sb="2" eb="4">
      <t>リエキ</t>
    </rPh>
    <rPh sb="5" eb="7">
      <t>ウリアゲ</t>
    </rPh>
    <rPh sb="7" eb="8">
      <t>ダカ</t>
    </rPh>
    <phoneticPr fontId="3"/>
  </si>
  <si>
    <t>（％）</t>
    <phoneticPr fontId="3"/>
  </si>
  <si>
    <t>財務活動などを含めた通常の企業活動における売上高に対する経常利益の割合を示し、金融収支なども含めた総合的な収益力を示す指標</t>
    <rPh sb="0" eb="2">
      <t>ザイム</t>
    </rPh>
    <rPh sb="2" eb="4">
      <t>カツドウ</t>
    </rPh>
    <rPh sb="7" eb="8">
      <t>フク</t>
    </rPh>
    <rPh sb="10" eb="12">
      <t>ツウジョウ</t>
    </rPh>
    <rPh sb="13" eb="15">
      <t>キギョウ</t>
    </rPh>
    <rPh sb="15" eb="17">
      <t>カツドウ</t>
    </rPh>
    <rPh sb="21" eb="23">
      <t>ウリアゲ</t>
    </rPh>
    <rPh sb="23" eb="24">
      <t>ダカ</t>
    </rPh>
    <rPh sb="25" eb="26">
      <t>タイ</t>
    </rPh>
    <rPh sb="28" eb="30">
      <t>ケイジョウ</t>
    </rPh>
    <rPh sb="30" eb="32">
      <t>リエキ</t>
    </rPh>
    <rPh sb="33" eb="35">
      <t>ワリアイ</t>
    </rPh>
    <rPh sb="36" eb="37">
      <t>シメ</t>
    </rPh>
    <rPh sb="39" eb="41">
      <t>キンユウ</t>
    </rPh>
    <rPh sb="41" eb="43">
      <t>シュウシ</t>
    </rPh>
    <rPh sb="46" eb="47">
      <t>フク</t>
    </rPh>
    <rPh sb="49" eb="52">
      <t>ソウゴウテキ</t>
    </rPh>
    <rPh sb="53" eb="55">
      <t>シュウエキ</t>
    </rPh>
    <rPh sb="55" eb="56">
      <t>リョク</t>
    </rPh>
    <rPh sb="57" eb="58">
      <t>シメ</t>
    </rPh>
    <rPh sb="59" eb="61">
      <t>シヒョウ</t>
    </rPh>
    <phoneticPr fontId="3"/>
  </si>
  <si>
    <t>営業利益の増加、営業外収益の増加、営業外費用の減少など</t>
    <rPh sb="0" eb="2">
      <t>エイギョウ</t>
    </rPh>
    <rPh sb="2" eb="4">
      <t>リエキ</t>
    </rPh>
    <rPh sb="5" eb="7">
      <t>ゾウカ</t>
    </rPh>
    <rPh sb="8" eb="11">
      <t>エイギョウガイ</t>
    </rPh>
    <rPh sb="11" eb="13">
      <t>シュウエキ</t>
    </rPh>
    <rPh sb="14" eb="16">
      <t>ゾウカ</t>
    </rPh>
    <rPh sb="17" eb="20">
      <t>エイギョウガイ</t>
    </rPh>
    <rPh sb="20" eb="22">
      <t>ヒヨウ</t>
    </rPh>
    <rPh sb="23" eb="25">
      <t>ゲンショウ</t>
    </rPh>
    <phoneticPr fontId="3"/>
  </si>
  <si>
    <t>営業利益の減少、借入金などの支払利息の増加など</t>
    <rPh sb="0" eb="2">
      <t>エイギョウ</t>
    </rPh>
    <rPh sb="2" eb="4">
      <t>リエキ</t>
    </rPh>
    <rPh sb="5" eb="7">
      <t>ゲンショウ</t>
    </rPh>
    <rPh sb="8" eb="10">
      <t>カリイレ</t>
    </rPh>
    <rPh sb="10" eb="11">
      <t>キン</t>
    </rPh>
    <rPh sb="14" eb="16">
      <t>シハライ</t>
    </rPh>
    <rPh sb="16" eb="18">
      <t>リソク</t>
    </rPh>
    <rPh sb="19" eb="21">
      <t>ゾウカ</t>
    </rPh>
    <phoneticPr fontId="3"/>
  </si>
  <si>
    <t>経常利益÷売上高×100</t>
    <rPh sb="0" eb="2">
      <t>ケイジョウ</t>
    </rPh>
    <rPh sb="2" eb="4">
      <t>リエキ</t>
    </rPh>
    <rPh sb="5" eb="7">
      <t>ウリアゲ</t>
    </rPh>
    <rPh sb="7" eb="8">
      <t>ダカ</t>
    </rPh>
    <phoneticPr fontId="3"/>
  </si>
  <si>
    <t>売上高に対する当期純利益の割合を示し、企業活動が株主の配当原資や資本の増加にどの程度結びついたかを示す指標</t>
    <rPh sb="0" eb="2">
      <t>ウリアゲ</t>
    </rPh>
    <rPh sb="2" eb="3">
      <t>ダカ</t>
    </rPh>
    <rPh sb="4" eb="5">
      <t>タイ</t>
    </rPh>
    <rPh sb="7" eb="9">
      <t>トウキ</t>
    </rPh>
    <rPh sb="9" eb="12">
      <t>ジュンリエキ</t>
    </rPh>
    <rPh sb="13" eb="15">
      <t>ワリアイ</t>
    </rPh>
    <rPh sb="16" eb="17">
      <t>シメ</t>
    </rPh>
    <rPh sb="19" eb="21">
      <t>キギョウ</t>
    </rPh>
    <rPh sb="21" eb="23">
      <t>カツドウ</t>
    </rPh>
    <rPh sb="24" eb="26">
      <t>カブヌシ</t>
    </rPh>
    <rPh sb="27" eb="29">
      <t>ハイトウ</t>
    </rPh>
    <rPh sb="29" eb="31">
      <t>ゲンシ</t>
    </rPh>
    <rPh sb="32" eb="34">
      <t>シホン</t>
    </rPh>
    <rPh sb="35" eb="37">
      <t>ゾウカ</t>
    </rPh>
    <rPh sb="40" eb="42">
      <t>テイド</t>
    </rPh>
    <rPh sb="42" eb="43">
      <t>ムス</t>
    </rPh>
    <rPh sb="49" eb="50">
      <t>シメ</t>
    </rPh>
    <rPh sb="51" eb="53">
      <t>シヒョウ</t>
    </rPh>
    <phoneticPr fontId="3"/>
  </si>
  <si>
    <t>売上高総利益や営業利益の増加、営業外収益の増加、営業外費用の減少など</t>
    <rPh sb="0" eb="2">
      <t>ウリアゲ</t>
    </rPh>
    <rPh sb="2" eb="3">
      <t>ダカ</t>
    </rPh>
    <rPh sb="3" eb="6">
      <t>ソウリエキ</t>
    </rPh>
    <rPh sb="7" eb="9">
      <t>エイギョウ</t>
    </rPh>
    <rPh sb="9" eb="11">
      <t>リエキ</t>
    </rPh>
    <rPh sb="12" eb="14">
      <t>ゾウカ</t>
    </rPh>
    <rPh sb="15" eb="18">
      <t>エイギョウガイ</t>
    </rPh>
    <rPh sb="18" eb="20">
      <t>シュウエキ</t>
    </rPh>
    <rPh sb="21" eb="23">
      <t>ゾウカ</t>
    </rPh>
    <rPh sb="24" eb="27">
      <t>エイギョウガイ</t>
    </rPh>
    <rPh sb="27" eb="29">
      <t>ヒヨウ</t>
    </rPh>
    <rPh sb="30" eb="32">
      <t>ゲンショウ</t>
    </rPh>
    <phoneticPr fontId="3"/>
  </si>
  <si>
    <t>売上高総利益や営業利益の減少、資産の評価損などの計上による当期純利益の減少など</t>
    <rPh sb="0" eb="2">
      <t>ウリアゲ</t>
    </rPh>
    <rPh sb="2" eb="3">
      <t>ダカ</t>
    </rPh>
    <rPh sb="3" eb="6">
      <t>ソウリエキ</t>
    </rPh>
    <rPh sb="7" eb="9">
      <t>エイギョウ</t>
    </rPh>
    <rPh sb="9" eb="11">
      <t>リエキ</t>
    </rPh>
    <rPh sb="12" eb="14">
      <t>ゲンショウ</t>
    </rPh>
    <rPh sb="15" eb="17">
      <t>シサン</t>
    </rPh>
    <rPh sb="18" eb="20">
      <t>ヒョウカ</t>
    </rPh>
    <rPh sb="20" eb="21">
      <t>ソン</t>
    </rPh>
    <rPh sb="24" eb="26">
      <t>ケイジョウ</t>
    </rPh>
    <rPh sb="29" eb="31">
      <t>トウキ</t>
    </rPh>
    <rPh sb="31" eb="34">
      <t>ジュンリエキ</t>
    </rPh>
    <rPh sb="35" eb="37">
      <t>ゲンショウ</t>
    </rPh>
    <phoneticPr fontId="3"/>
  </si>
  <si>
    <t>当期純利益÷売上高×100</t>
    <rPh sb="0" eb="2">
      <t>トウキ</t>
    </rPh>
    <rPh sb="2" eb="3">
      <t>ジュン</t>
    </rPh>
    <rPh sb="3" eb="5">
      <t>リエキ</t>
    </rPh>
    <rPh sb="6" eb="8">
      <t>ウリアゲ</t>
    </rPh>
    <rPh sb="8" eb="9">
      <t>ダカ</t>
    </rPh>
    <phoneticPr fontId="3"/>
  </si>
  <si>
    <t>（％）</t>
    <phoneticPr fontId="3"/>
  </si>
  <si>
    <t>売上高に対する販売費及び一般管理費の割合を表し、販売費及び一般管理費の効率性を示す指標</t>
    <rPh sb="0" eb="2">
      <t>ウリアゲ</t>
    </rPh>
    <rPh sb="2" eb="3">
      <t>ダカ</t>
    </rPh>
    <rPh sb="4" eb="5">
      <t>タイ</t>
    </rPh>
    <rPh sb="7" eb="10">
      <t>ハンバイヒ</t>
    </rPh>
    <rPh sb="10" eb="11">
      <t>オヨ</t>
    </rPh>
    <rPh sb="12" eb="14">
      <t>イッパン</t>
    </rPh>
    <rPh sb="14" eb="17">
      <t>カンリヒ</t>
    </rPh>
    <rPh sb="18" eb="20">
      <t>ワリアイ</t>
    </rPh>
    <rPh sb="21" eb="22">
      <t>アラワ</t>
    </rPh>
    <rPh sb="24" eb="27">
      <t>ハンバイヒ</t>
    </rPh>
    <rPh sb="27" eb="28">
      <t>オヨ</t>
    </rPh>
    <rPh sb="29" eb="31">
      <t>イッパン</t>
    </rPh>
    <rPh sb="31" eb="34">
      <t>カンリヒ</t>
    </rPh>
    <rPh sb="35" eb="38">
      <t>コウリツセイ</t>
    </rPh>
    <rPh sb="39" eb="40">
      <t>シメ</t>
    </rPh>
    <rPh sb="41" eb="43">
      <t>シヒョウ</t>
    </rPh>
    <phoneticPr fontId="3"/>
  </si>
  <si>
    <t>人件費、通信費、光熱費、家賃、広告宣伝費などの削減</t>
    <rPh sb="0" eb="3">
      <t>ジンケンヒ</t>
    </rPh>
    <rPh sb="4" eb="7">
      <t>ツウシンヒ</t>
    </rPh>
    <rPh sb="8" eb="11">
      <t>コウネツヒ</t>
    </rPh>
    <rPh sb="12" eb="14">
      <t>ヤチン</t>
    </rPh>
    <rPh sb="15" eb="20">
      <t>コウコクセンデンヒ</t>
    </rPh>
    <rPh sb="23" eb="25">
      <t>サクゲン</t>
    </rPh>
    <phoneticPr fontId="3"/>
  </si>
  <si>
    <t>人件費、通信費、光熱費、家賃、広告宣伝費などの経費の増加</t>
    <rPh sb="0" eb="3">
      <t>ジンケンヒ</t>
    </rPh>
    <rPh sb="4" eb="7">
      <t>ツウシンヒ</t>
    </rPh>
    <rPh sb="8" eb="11">
      <t>コウネツヒ</t>
    </rPh>
    <rPh sb="12" eb="14">
      <t>ヤチン</t>
    </rPh>
    <rPh sb="15" eb="17">
      <t>コウコク</t>
    </rPh>
    <rPh sb="17" eb="20">
      <t>センデンヒ</t>
    </rPh>
    <rPh sb="23" eb="25">
      <t>ケイヒ</t>
    </rPh>
    <rPh sb="26" eb="28">
      <t>ゾウカ</t>
    </rPh>
    <phoneticPr fontId="3"/>
  </si>
  <si>
    <t>販売管理費÷売上高×100</t>
    <rPh sb="0" eb="2">
      <t>ハンバイ</t>
    </rPh>
    <rPh sb="2" eb="5">
      <t>カンリヒ</t>
    </rPh>
    <rPh sb="6" eb="8">
      <t>ウリアゲ</t>
    </rPh>
    <rPh sb="8" eb="9">
      <t>ダカ</t>
    </rPh>
    <phoneticPr fontId="3"/>
  </si>
  <si>
    <t>千円</t>
    <rPh sb="0" eb="2">
      <t>センエン</t>
    </rPh>
    <phoneticPr fontId="3"/>
  </si>
  <si>
    <t>損益分岐点とは、会社の損益がトントンになる売上高、すなわち採算点を意味する</t>
    <rPh sb="0" eb="2">
      <t>ソンエキ</t>
    </rPh>
    <rPh sb="2" eb="4">
      <t>ブンキ</t>
    </rPh>
    <rPh sb="4" eb="5">
      <t>テン</t>
    </rPh>
    <rPh sb="8" eb="10">
      <t>カイシャ</t>
    </rPh>
    <rPh sb="11" eb="13">
      <t>ソンエキ</t>
    </rPh>
    <rPh sb="21" eb="23">
      <t>ウリアゲ</t>
    </rPh>
    <rPh sb="23" eb="24">
      <t>ダカ</t>
    </rPh>
    <rPh sb="29" eb="32">
      <t>サイサンテン</t>
    </rPh>
    <rPh sb="33" eb="35">
      <t>イミ</t>
    </rPh>
    <phoneticPr fontId="3"/>
  </si>
  <si>
    <t>収益構造の改善には、損益分岐点を引き下げ、安全率を高めるためには、①販売数量のアップ、②販売単価のアップ、③変動費のダウン、④固定費のダウンの戦略を組み合わせて活用</t>
    <rPh sb="0" eb="2">
      <t>シュウエキ</t>
    </rPh>
    <rPh sb="2" eb="4">
      <t>コウゾウ</t>
    </rPh>
    <rPh sb="5" eb="7">
      <t>カイゼン</t>
    </rPh>
    <rPh sb="10" eb="12">
      <t>ソンエキ</t>
    </rPh>
    <rPh sb="12" eb="15">
      <t>ブンキテン</t>
    </rPh>
    <rPh sb="16" eb="17">
      <t>ヒ</t>
    </rPh>
    <rPh sb="18" eb="19">
      <t>サ</t>
    </rPh>
    <rPh sb="21" eb="23">
      <t>アンゼン</t>
    </rPh>
    <rPh sb="23" eb="24">
      <t>リツ</t>
    </rPh>
    <rPh sb="25" eb="26">
      <t>タカ</t>
    </rPh>
    <rPh sb="34" eb="38">
      <t>ハンバイスウリョウ</t>
    </rPh>
    <rPh sb="44" eb="46">
      <t>ハンバイ</t>
    </rPh>
    <rPh sb="46" eb="48">
      <t>タンカ</t>
    </rPh>
    <rPh sb="54" eb="56">
      <t>ヘンドウ</t>
    </rPh>
    <rPh sb="56" eb="57">
      <t>ヒ</t>
    </rPh>
    <rPh sb="63" eb="66">
      <t>コテイヒ</t>
    </rPh>
    <rPh sb="71" eb="73">
      <t>センリャク</t>
    </rPh>
    <rPh sb="74" eb="75">
      <t>ク</t>
    </rPh>
    <rPh sb="76" eb="77">
      <t>ア</t>
    </rPh>
    <rPh sb="80" eb="82">
      <t>カツヨウ</t>
    </rPh>
    <phoneticPr fontId="3"/>
  </si>
  <si>
    <t>（％）</t>
    <phoneticPr fontId="3"/>
  </si>
  <si>
    <t>損益分岐点売上高（採算点）と現在の売上高を比較して、比率で示す指標
100以下であれば、余裕がある</t>
    <rPh sb="0" eb="2">
      <t>ソンエキ</t>
    </rPh>
    <rPh sb="2" eb="5">
      <t>ブンキテン</t>
    </rPh>
    <rPh sb="5" eb="7">
      <t>ウリアゲ</t>
    </rPh>
    <rPh sb="7" eb="8">
      <t>ダカ</t>
    </rPh>
    <rPh sb="9" eb="12">
      <t>サイサンテン</t>
    </rPh>
    <rPh sb="14" eb="16">
      <t>ゲンザイ</t>
    </rPh>
    <rPh sb="17" eb="19">
      <t>ウリアゲ</t>
    </rPh>
    <rPh sb="19" eb="20">
      <t>ダカ</t>
    </rPh>
    <rPh sb="21" eb="23">
      <t>ヒカク</t>
    </rPh>
    <rPh sb="26" eb="28">
      <t>ヒリツ</t>
    </rPh>
    <rPh sb="29" eb="30">
      <t>シメ</t>
    </rPh>
    <rPh sb="31" eb="33">
      <t>シヒョウ</t>
    </rPh>
    <rPh sb="37" eb="39">
      <t>イカ</t>
    </rPh>
    <rPh sb="44" eb="46">
      <t>ヨユウ</t>
    </rPh>
    <phoneticPr fontId="3"/>
  </si>
  <si>
    <t>損益分岐点が、現在の売上高より低いほど、売上低下に対する余裕がある。</t>
    <rPh sb="0" eb="2">
      <t>ソンエキ</t>
    </rPh>
    <rPh sb="2" eb="5">
      <t>ブンキテン</t>
    </rPh>
    <rPh sb="7" eb="9">
      <t>ゲンザイ</t>
    </rPh>
    <rPh sb="10" eb="12">
      <t>ウリアゲ</t>
    </rPh>
    <rPh sb="12" eb="13">
      <t>ダカ</t>
    </rPh>
    <rPh sb="15" eb="16">
      <t>ヒク</t>
    </rPh>
    <rPh sb="20" eb="22">
      <t>ウリアゲ</t>
    </rPh>
    <rPh sb="22" eb="24">
      <t>テイカ</t>
    </rPh>
    <rPh sb="25" eb="26">
      <t>タイ</t>
    </rPh>
    <rPh sb="28" eb="30">
      <t>ヨユウ</t>
    </rPh>
    <phoneticPr fontId="3"/>
  </si>
  <si>
    <t>企業が経営活動に投下した総資産の回収速度を示し、総資産の運用効率を示す指標</t>
    <rPh sb="0" eb="2">
      <t>キギョウ</t>
    </rPh>
    <rPh sb="3" eb="5">
      <t>ケイエイ</t>
    </rPh>
    <rPh sb="5" eb="7">
      <t>カツドウ</t>
    </rPh>
    <rPh sb="8" eb="10">
      <t>トウカ</t>
    </rPh>
    <rPh sb="12" eb="15">
      <t>ソウシサン</t>
    </rPh>
    <rPh sb="16" eb="18">
      <t>カイシュウ</t>
    </rPh>
    <rPh sb="18" eb="20">
      <t>ソクド</t>
    </rPh>
    <rPh sb="21" eb="22">
      <t>シメ</t>
    </rPh>
    <rPh sb="24" eb="27">
      <t>ソウシサン</t>
    </rPh>
    <rPh sb="28" eb="30">
      <t>ウンヨウ</t>
    </rPh>
    <rPh sb="30" eb="32">
      <t>コウリツ</t>
    </rPh>
    <rPh sb="33" eb="34">
      <t>シメ</t>
    </rPh>
    <rPh sb="35" eb="37">
      <t>シヒョウ</t>
    </rPh>
    <phoneticPr fontId="3"/>
  </si>
  <si>
    <t>売上高の増加、売掛金の減少や棚卸資産の縮小などによる総資産の減少など</t>
    <rPh sb="0" eb="2">
      <t>ウリアゲ</t>
    </rPh>
    <rPh sb="2" eb="3">
      <t>ダカ</t>
    </rPh>
    <rPh sb="4" eb="6">
      <t>ゾウカ</t>
    </rPh>
    <rPh sb="7" eb="9">
      <t>ウリカケ</t>
    </rPh>
    <rPh sb="9" eb="10">
      <t>キン</t>
    </rPh>
    <rPh sb="11" eb="13">
      <t>ゲンショウ</t>
    </rPh>
    <rPh sb="14" eb="16">
      <t>タナオロシ</t>
    </rPh>
    <rPh sb="16" eb="18">
      <t>シサン</t>
    </rPh>
    <rPh sb="19" eb="21">
      <t>シュクショウ</t>
    </rPh>
    <rPh sb="26" eb="29">
      <t>ソウシサン</t>
    </rPh>
    <rPh sb="30" eb="32">
      <t>ゲンショウ</t>
    </rPh>
    <phoneticPr fontId="3"/>
  </si>
  <si>
    <t>売上高の減少、売掛金や受取手形の増加などによる総資産の増加など</t>
    <rPh sb="0" eb="2">
      <t>ウリアゲ</t>
    </rPh>
    <rPh sb="2" eb="3">
      <t>ダカ</t>
    </rPh>
    <rPh sb="4" eb="6">
      <t>ゲンショウ</t>
    </rPh>
    <rPh sb="7" eb="9">
      <t>ウリカケ</t>
    </rPh>
    <rPh sb="9" eb="10">
      <t>キン</t>
    </rPh>
    <rPh sb="11" eb="13">
      <t>ウケトリ</t>
    </rPh>
    <rPh sb="13" eb="15">
      <t>テガタ</t>
    </rPh>
    <rPh sb="16" eb="18">
      <t>ゾウカ</t>
    </rPh>
    <rPh sb="23" eb="26">
      <t>ソウシサン</t>
    </rPh>
    <rPh sb="27" eb="29">
      <t>ゾウカ</t>
    </rPh>
    <phoneticPr fontId="3"/>
  </si>
  <si>
    <t>売上高÷総資産（総資本）</t>
    <rPh sb="0" eb="2">
      <t>ウリアゲ</t>
    </rPh>
    <rPh sb="2" eb="3">
      <t>ダカ</t>
    </rPh>
    <rPh sb="4" eb="7">
      <t>ソウシサン</t>
    </rPh>
    <rPh sb="8" eb="11">
      <t>ソウシホン</t>
    </rPh>
    <phoneticPr fontId="3"/>
  </si>
  <si>
    <t>固定資産の回収速度を示し、固定資産の運用効率を示す指標</t>
    <rPh sb="0" eb="2">
      <t>コテイ</t>
    </rPh>
    <rPh sb="2" eb="4">
      <t>シサン</t>
    </rPh>
    <rPh sb="5" eb="7">
      <t>カイシュウ</t>
    </rPh>
    <rPh sb="7" eb="9">
      <t>ソクド</t>
    </rPh>
    <rPh sb="10" eb="11">
      <t>シメ</t>
    </rPh>
    <rPh sb="13" eb="15">
      <t>コテイ</t>
    </rPh>
    <rPh sb="15" eb="17">
      <t>シサン</t>
    </rPh>
    <rPh sb="18" eb="20">
      <t>ウンヨウ</t>
    </rPh>
    <rPh sb="20" eb="22">
      <t>コウリツ</t>
    </rPh>
    <rPh sb="23" eb="24">
      <t>シメ</t>
    </rPh>
    <rPh sb="25" eb="27">
      <t>シヒョウ</t>
    </rPh>
    <phoneticPr fontId="3"/>
  </si>
  <si>
    <t>売上高の増加、遊休資産の売却などによる固定資産の圧縮など</t>
    <rPh sb="0" eb="2">
      <t>ウリアゲ</t>
    </rPh>
    <rPh sb="2" eb="3">
      <t>ダカ</t>
    </rPh>
    <rPh sb="4" eb="6">
      <t>ゾウカ</t>
    </rPh>
    <rPh sb="7" eb="9">
      <t>ユウキュウ</t>
    </rPh>
    <rPh sb="9" eb="11">
      <t>シサン</t>
    </rPh>
    <rPh sb="12" eb="14">
      <t>バイキャク</t>
    </rPh>
    <rPh sb="19" eb="21">
      <t>コテイ</t>
    </rPh>
    <rPh sb="21" eb="23">
      <t>シサン</t>
    </rPh>
    <rPh sb="24" eb="26">
      <t>アッシュク</t>
    </rPh>
    <phoneticPr fontId="3"/>
  </si>
  <si>
    <t>売上高の低下、土地・建物への投資による固定資産の増加など</t>
    <rPh sb="0" eb="2">
      <t>ウリアゲ</t>
    </rPh>
    <rPh sb="2" eb="3">
      <t>ダカ</t>
    </rPh>
    <rPh sb="4" eb="6">
      <t>テイカ</t>
    </rPh>
    <rPh sb="7" eb="9">
      <t>トチ</t>
    </rPh>
    <rPh sb="10" eb="12">
      <t>タテモノ</t>
    </rPh>
    <rPh sb="14" eb="16">
      <t>トウシ</t>
    </rPh>
    <rPh sb="19" eb="21">
      <t>コテイ</t>
    </rPh>
    <rPh sb="21" eb="23">
      <t>シサン</t>
    </rPh>
    <rPh sb="24" eb="26">
      <t>ゾウカ</t>
    </rPh>
    <phoneticPr fontId="3"/>
  </si>
  <si>
    <t>売上高÷固定資産</t>
    <rPh sb="0" eb="2">
      <t>ウリアゲ</t>
    </rPh>
    <rPh sb="2" eb="3">
      <t>ダカ</t>
    </rPh>
    <rPh sb="4" eb="6">
      <t>コテイ</t>
    </rPh>
    <rPh sb="6" eb="8">
      <t>シサン</t>
    </rPh>
    <phoneticPr fontId="3"/>
  </si>
  <si>
    <t>未回収の売上債権の回収に何日かかるかを示している指標</t>
    <rPh sb="0" eb="1">
      <t>ミ</t>
    </rPh>
    <rPh sb="1" eb="3">
      <t>カイシュウ</t>
    </rPh>
    <rPh sb="4" eb="6">
      <t>ウリアゲ</t>
    </rPh>
    <rPh sb="6" eb="8">
      <t>サイケン</t>
    </rPh>
    <rPh sb="9" eb="11">
      <t>カイシュウ</t>
    </rPh>
    <rPh sb="12" eb="14">
      <t>ナンニチ</t>
    </rPh>
    <rPh sb="19" eb="20">
      <t>シメ</t>
    </rPh>
    <rPh sb="24" eb="26">
      <t>シヒョウ</t>
    </rPh>
    <phoneticPr fontId="3"/>
  </si>
  <si>
    <t>売上高の増加、現金売上高の増加、売掛金の減少、受取手形の減少、サイトの短縮など</t>
    <rPh sb="0" eb="2">
      <t>ウリアゲ</t>
    </rPh>
    <rPh sb="2" eb="3">
      <t>ダカ</t>
    </rPh>
    <rPh sb="4" eb="6">
      <t>ゾウカ</t>
    </rPh>
    <rPh sb="7" eb="9">
      <t>ゲンキン</t>
    </rPh>
    <rPh sb="9" eb="11">
      <t>ウリアゲ</t>
    </rPh>
    <rPh sb="11" eb="12">
      <t>ダカ</t>
    </rPh>
    <rPh sb="13" eb="15">
      <t>ゾウカ</t>
    </rPh>
    <rPh sb="16" eb="18">
      <t>ウリカケ</t>
    </rPh>
    <rPh sb="18" eb="19">
      <t>キン</t>
    </rPh>
    <rPh sb="20" eb="22">
      <t>ゲンショウ</t>
    </rPh>
    <rPh sb="23" eb="25">
      <t>ウケトリ</t>
    </rPh>
    <rPh sb="25" eb="27">
      <t>テガタ</t>
    </rPh>
    <rPh sb="28" eb="30">
      <t>ゲンショウ</t>
    </rPh>
    <rPh sb="35" eb="37">
      <t>タンシュク</t>
    </rPh>
    <phoneticPr fontId="3"/>
  </si>
  <si>
    <t>売上高の減少、売掛金の増加、受取手形の増加、サイトの長期化など</t>
    <rPh sb="0" eb="2">
      <t>ウリアゲ</t>
    </rPh>
    <rPh sb="2" eb="3">
      <t>ダカ</t>
    </rPh>
    <rPh sb="4" eb="6">
      <t>ゲンショウ</t>
    </rPh>
    <rPh sb="7" eb="9">
      <t>ウリカケ</t>
    </rPh>
    <rPh sb="9" eb="10">
      <t>キン</t>
    </rPh>
    <rPh sb="11" eb="13">
      <t>ゾウカ</t>
    </rPh>
    <rPh sb="14" eb="16">
      <t>ウケトリ</t>
    </rPh>
    <rPh sb="16" eb="18">
      <t>テガタ</t>
    </rPh>
    <rPh sb="19" eb="21">
      <t>ゾウカ</t>
    </rPh>
    <rPh sb="26" eb="29">
      <t>チョウキカ</t>
    </rPh>
    <phoneticPr fontId="3"/>
  </si>
  <si>
    <t>（売掛金＋受取手形）÷売上高×365</t>
    <rPh sb="1" eb="3">
      <t>ウリカケ</t>
    </rPh>
    <rPh sb="3" eb="4">
      <t>キン</t>
    </rPh>
    <rPh sb="5" eb="7">
      <t>ウケトリ</t>
    </rPh>
    <rPh sb="7" eb="9">
      <t>テガタ</t>
    </rPh>
    <rPh sb="11" eb="13">
      <t>ウリアゲ</t>
    </rPh>
    <rPh sb="13" eb="14">
      <t>ダカ</t>
    </rPh>
    <phoneticPr fontId="3"/>
  </si>
  <si>
    <t>製品、仕掛品、原材料などの棚卸資産の平均的な在庫期間を示し、棚卸資産に投下された資本の効率を示す指標</t>
    <rPh sb="0" eb="2">
      <t>セイヒン</t>
    </rPh>
    <rPh sb="3" eb="5">
      <t>シカカリ</t>
    </rPh>
    <rPh sb="5" eb="6">
      <t>ヒン</t>
    </rPh>
    <rPh sb="7" eb="10">
      <t>ゲンザイリョウ</t>
    </rPh>
    <rPh sb="13" eb="15">
      <t>タナオロシ</t>
    </rPh>
    <rPh sb="15" eb="17">
      <t>シサン</t>
    </rPh>
    <rPh sb="18" eb="21">
      <t>ヘイキンテキ</t>
    </rPh>
    <rPh sb="22" eb="24">
      <t>ザイコ</t>
    </rPh>
    <rPh sb="24" eb="26">
      <t>キカン</t>
    </rPh>
    <rPh sb="27" eb="28">
      <t>シメ</t>
    </rPh>
    <rPh sb="30" eb="32">
      <t>タナオロシ</t>
    </rPh>
    <rPh sb="32" eb="34">
      <t>シサン</t>
    </rPh>
    <rPh sb="35" eb="37">
      <t>トウカ</t>
    </rPh>
    <rPh sb="40" eb="42">
      <t>シホン</t>
    </rPh>
    <rPh sb="43" eb="45">
      <t>コウリツ</t>
    </rPh>
    <rPh sb="46" eb="47">
      <t>シメ</t>
    </rPh>
    <rPh sb="48" eb="50">
      <t>シヒョウ</t>
    </rPh>
    <phoneticPr fontId="3"/>
  </si>
  <si>
    <t>売上高の増加や原材料、仕掛品、商品などの棚卸資産の圧縮など</t>
    <rPh sb="0" eb="2">
      <t>ウリアゲ</t>
    </rPh>
    <rPh sb="2" eb="3">
      <t>ダカ</t>
    </rPh>
    <rPh sb="4" eb="6">
      <t>ゾウカ</t>
    </rPh>
    <rPh sb="7" eb="10">
      <t>ゲンザイリョウ</t>
    </rPh>
    <rPh sb="11" eb="13">
      <t>シカカリ</t>
    </rPh>
    <rPh sb="13" eb="14">
      <t>ヒン</t>
    </rPh>
    <rPh sb="15" eb="17">
      <t>ショウヒン</t>
    </rPh>
    <rPh sb="20" eb="22">
      <t>タナオロシ</t>
    </rPh>
    <rPh sb="22" eb="24">
      <t>シサン</t>
    </rPh>
    <rPh sb="25" eb="27">
      <t>アッシュク</t>
    </rPh>
    <phoneticPr fontId="3"/>
  </si>
  <si>
    <t>販売不振によるデッドストックの増加、製造期間の長期化など</t>
    <rPh sb="0" eb="2">
      <t>ハンバイ</t>
    </rPh>
    <rPh sb="2" eb="4">
      <t>フシン</t>
    </rPh>
    <rPh sb="15" eb="17">
      <t>ゾウカ</t>
    </rPh>
    <rPh sb="18" eb="20">
      <t>セイゾウ</t>
    </rPh>
    <rPh sb="20" eb="22">
      <t>キカン</t>
    </rPh>
    <rPh sb="23" eb="26">
      <t>チョウキカ</t>
    </rPh>
    <phoneticPr fontId="3"/>
  </si>
  <si>
    <t>棚卸資産÷売上高×365</t>
    <rPh sb="0" eb="2">
      <t>タナオロシ</t>
    </rPh>
    <rPh sb="2" eb="4">
      <t>シサン</t>
    </rPh>
    <rPh sb="5" eb="7">
      <t>ウリアゲ</t>
    </rPh>
    <rPh sb="7" eb="8">
      <t>ダカ</t>
    </rPh>
    <phoneticPr fontId="3"/>
  </si>
  <si>
    <t>↑</t>
    <phoneticPr fontId="3"/>
  </si>
  <si>
    <t>仕入れに伴う買掛金を支払うには何日分の売上高が必要かを示す指標</t>
    <rPh sb="0" eb="2">
      <t>シイ</t>
    </rPh>
    <rPh sb="4" eb="5">
      <t>トモナ</t>
    </rPh>
    <rPh sb="6" eb="9">
      <t>カイカケキン</t>
    </rPh>
    <rPh sb="10" eb="12">
      <t>シハラ</t>
    </rPh>
    <rPh sb="15" eb="17">
      <t>ナンニチ</t>
    </rPh>
    <rPh sb="17" eb="18">
      <t>ブン</t>
    </rPh>
    <rPh sb="19" eb="21">
      <t>ウリアゲ</t>
    </rPh>
    <rPh sb="21" eb="22">
      <t>ダカ</t>
    </rPh>
    <rPh sb="23" eb="25">
      <t>ヒツヨウ</t>
    </rPh>
    <rPh sb="27" eb="28">
      <t>シメ</t>
    </rPh>
    <rPh sb="29" eb="31">
      <t>シヒョウ</t>
    </rPh>
    <phoneticPr fontId="3"/>
  </si>
  <si>
    <t>買掛金、支払手形のサイトの長期化および増加、売上高の減少など</t>
    <rPh sb="0" eb="3">
      <t>カイカケキン</t>
    </rPh>
    <rPh sb="4" eb="6">
      <t>シハライ</t>
    </rPh>
    <rPh sb="6" eb="8">
      <t>テガタ</t>
    </rPh>
    <rPh sb="13" eb="16">
      <t>チョウキカ</t>
    </rPh>
    <rPh sb="19" eb="21">
      <t>ゾウカ</t>
    </rPh>
    <rPh sb="22" eb="24">
      <t>ウリアゲ</t>
    </rPh>
    <rPh sb="24" eb="25">
      <t>ダカ</t>
    </rPh>
    <rPh sb="26" eb="28">
      <t>ゲンショウ</t>
    </rPh>
    <phoneticPr fontId="3"/>
  </si>
  <si>
    <t>買掛金のサイトの短縮化および減少、売上高の増加など</t>
    <rPh sb="0" eb="3">
      <t>カイカケキン</t>
    </rPh>
    <rPh sb="8" eb="11">
      <t>タンシュクカ</t>
    </rPh>
    <rPh sb="14" eb="16">
      <t>ゲンショウ</t>
    </rPh>
    <rPh sb="17" eb="19">
      <t>ウリアゲ</t>
    </rPh>
    <rPh sb="19" eb="20">
      <t>ダカ</t>
    </rPh>
    <rPh sb="21" eb="23">
      <t>ゾウカ</t>
    </rPh>
    <phoneticPr fontId="3"/>
  </si>
  <si>
    <t>（買掛金＋支払手形）÷売上高×365</t>
    <rPh sb="1" eb="4">
      <t>カイカケキン</t>
    </rPh>
    <rPh sb="5" eb="7">
      <t>シハライ</t>
    </rPh>
    <rPh sb="7" eb="9">
      <t>テガタ</t>
    </rPh>
    <rPh sb="11" eb="13">
      <t>ウリアゲ</t>
    </rPh>
    <rPh sb="13" eb="14">
      <t>ダカ</t>
    </rPh>
    <phoneticPr fontId="3"/>
  </si>
  <si>
    <t>（５）生産性分析</t>
    <rPh sb="3" eb="6">
      <t>セイサンセイ</t>
    </rPh>
    <rPh sb="6" eb="8">
      <t>ブンセキ</t>
    </rPh>
    <phoneticPr fontId="3"/>
  </si>
  <si>
    <t>（千円）</t>
    <rPh sb="1" eb="3">
      <t>センエン</t>
    </rPh>
    <phoneticPr fontId="3"/>
  </si>
  <si>
    <t>従業員一人当たりの売上生産性を示す指標で、金額が多いほど良いと言える。</t>
    <rPh sb="0" eb="3">
      <t>ジュウギョウイン</t>
    </rPh>
    <rPh sb="3" eb="5">
      <t>ヒトリ</t>
    </rPh>
    <rPh sb="5" eb="6">
      <t>ア</t>
    </rPh>
    <rPh sb="9" eb="11">
      <t>ウリアゲ</t>
    </rPh>
    <rPh sb="11" eb="14">
      <t>セイサンセイ</t>
    </rPh>
    <rPh sb="15" eb="16">
      <t>シメ</t>
    </rPh>
    <rPh sb="17" eb="19">
      <t>シヒョウ</t>
    </rPh>
    <rPh sb="21" eb="23">
      <t>キンガク</t>
    </rPh>
    <rPh sb="24" eb="25">
      <t>オオ</t>
    </rPh>
    <rPh sb="28" eb="29">
      <t>ヨ</t>
    </rPh>
    <rPh sb="31" eb="32">
      <t>イ</t>
    </rPh>
    <phoneticPr fontId="3"/>
  </si>
  <si>
    <t>人的経営資源の効率的活用、業務の合理化、省力化など</t>
    <rPh sb="0" eb="2">
      <t>ジンテキ</t>
    </rPh>
    <rPh sb="2" eb="4">
      <t>ケイエイ</t>
    </rPh>
    <rPh sb="4" eb="6">
      <t>シゲン</t>
    </rPh>
    <rPh sb="7" eb="10">
      <t>コウリツテキ</t>
    </rPh>
    <rPh sb="10" eb="12">
      <t>カツヨウ</t>
    </rPh>
    <rPh sb="13" eb="15">
      <t>ギョウム</t>
    </rPh>
    <rPh sb="16" eb="19">
      <t>ゴウリカ</t>
    </rPh>
    <rPh sb="20" eb="23">
      <t>ショウリョクカ</t>
    </rPh>
    <phoneticPr fontId="3"/>
  </si>
  <si>
    <t>人員の増加など</t>
    <rPh sb="0" eb="2">
      <t>ジンイン</t>
    </rPh>
    <rPh sb="3" eb="5">
      <t>ゾウカ</t>
    </rPh>
    <phoneticPr fontId="3"/>
  </si>
  <si>
    <t>売上高÷従業員数</t>
    <rPh sb="0" eb="2">
      <t>ウリアゲ</t>
    </rPh>
    <rPh sb="2" eb="3">
      <t>ダカ</t>
    </rPh>
    <rPh sb="4" eb="8">
      <t>ジュウギョウインスウ</t>
    </rPh>
    <phoneticPr fontId="3"/>
  </si>
  <si>
    <t>当期純利益÷従業員数</t>
    <rPh sb="0" eb="2">
      <t>トウキ</t>
    </rPh>
    <rPh sb="2" eb="5">
      <t>ジュンリエキ</t>
    </rPh>
    <rPh sb="6" eb="9">
      <t>ジュウギョウイン</t>
    </rPh>
    <rPh sb="9" eb="10">
      <t>スウ</t>
    </rPh>
    <phoneticPr fontId="3"/>
  </si>
  <si>
    <t>短期的な負債を支払う資金がどれくらいあるかを示す指標</t>
    <rPh sb="0" eb="3">
      <t>タンキテキ</t>
    </rPh>
    <rPh sb="4" eb="6">
      <t>フサイ</t>
    </rPh>
    <rPh sb="7" eb="9">
      <t>シハラ</t>
    </rPh>
    <rPh sb="10" eb="12">
      <t>シキン</t>
    </rPh>
    <rPh sb="22" eb="23">
      <t>シメ</t>
    </rPh>
    <rPh sb="24" eb="26">
      <t>シヒョウ</t>
    </rPh>
    <phoneticPr fontId="3"/>
  </si>
  <si>
    <t>売掛金の早期回収、利益の増加、買入債務や短期借入金の返済などによる流動負債の減少、預金の増加などによるる流動資産の増加など</t>
    <rPh sb="0" eb="2">
      <t>ウリカケ</t>
    </rPh>
    <rPh sb="2" eb="3">
      <t>キン</t>
    </rPh>
    <rPh sb="4" eb="6">
      <t>ソウキ</t>
    </rPh>
    <rPh sb="6" eb="8">
      <t>カイシュウ</t>
    </rPh>
    <rPh sb="9" eb="11">
      <t>リエキ</t>
    </rPh>
    <rPh sb="12" eb="14">
      <t>ゾウカ</t>
    </rPh>
    <rPh sb="15" eb="17">
      <t>カイイレ</t>
    </rPh>
    <rPh sb="17" eb="19">
      <t>サイム</t>
    </rPh>
    <rPh sb="20" eb="22">
      <t>タンキ</t>
    </rPh>
    <rPh sb="22" eb="24">
      <t>カリイ</t>
    </rPh>
    <rPh sb="24" eb="25">
      <t>キン</t>
    </rPh>
    <rPh sb="26" eb="28">
      <t>ヘンサイ</t>
    </rPh>
    <rPh sb="33" eb="35">
      <t>リュウドウ</t>
    </rPh>
    <rPh sb="35" eb="37">
      <t>フサイ</t>
    </rPh>
    <rPh sb="38" eb="40">
      <t>ゲンショウ</t>
    </rPh>
    <rPh sb="41" eb="43">
      <t>ヨキン</t>
    </rPh>
    <rPh sb="44" eb="46">
      <t>ゾウカ</t>
    </rPh>
    <rPh sb="52" eb="54">
      <t>リュウドウ</t>
    </rPh>
    <rPh sb="54" eb="56">
      <t>シサン</t>
    </rPh>
    <rPh sb="57" eb="59">
      <t>ゾウカ</t>
    </rPh>
    <phoneticPr fontId="3"/>
  </si>
  <si>
    <t>売掛金の回収遅れ、損失の発生などで短期借入金の増加による流動負債の増加など</t>
    <rPh sb="0" eb="2">
      <t>ウリカケ</t>
    </rPh>
    <rPh sb="2" eb="3">
      <t>キン</t>
    </rPh>
    <rPh sb="4" eb="6">
      <t>カイシュウ</t>
    </rPh>
    <rPh sb="6" eb="7">
      <t>オク</t>
    </rPh>
    <rPh sb="9" eb="11">
      <t>ソンシツ</t>
    </rPh>
    <rPh sb="12" eb="14">
      <t>ハッセイ</t>
    </rPh>
    <rPh sb="17" eb="19">
      <t>タンキ</t>
    </rPh>
    <rPh sb="19" eb="21">
      <t>カリイ</t>
    </rPh>
    <rPh sb="21" eb="22">
      <t>キン</t>
    </rPh>
    <rPh sb="23" eb="25">
      <t>ゾウカ</t>
    </rPh>
    <rPh sb="28" eb="30">
      <t>リュウドウ</t>
    </rPh>
    <rPh sb="30" eb="32">
      <t>フサイ</t>
    </rPh>
    <rPh sb="33" eb="35">
      <t>ゾウカ</t>
    </rPh>
    <phoneticPr fontId="3"/>
  </si>
  <si>
    <t>流動資産÷流動負債×100</t>
    <rPh sb="0" eb="2">
      <t>リュウドウ</t>
    </rPh>
    <rPh sb="2" eb="4">
      <t>シサン</t>
    </rPh>
    <rPh sb="5" eb="7">
      <t>リュウドウ</t>
    </rPh>
    <rPh sb="7" eb="9">
      <t>フサイ</t>
    </rPh>
    <phoneticPr fontId="3"/>
  </si>
  <si>
    <t>（％）</t>
    <phoneticPr fontId="3"/>
  </si>
  <si>
    <t>換金性の高い当座資産と１年以内に支払期限が到来する流動負債との比率で短期支払能力表し、流動比率を補完する指標</t>
    <rPh sb="0" eb="2">
      <t>カンキン</t>
    </rPh>
    <rPh sb="2" eb="3">
      <t>セイ</t>
    </rPh>
    <rPh sb="4" eb="5">
      <t>タカ</t>
    </rPh>
    <rPh sb="6" eb="8">
      <t>トウザ</t>
    </rPh>
    <rPh sb="8" eb="10">
      <t>シサン</t>
    </rPh>
    <rPh sb="12" eb="13">
      <t>ネン</t>
    </rPh>
    <rPh sb="13" eb="15">
      <t>イナイ</t>
    </rPh>
    <rPh sb="16" eb="18">
      <t>シハライ</t>
    </rPh>
    <rPh sb="18" eb="20">
      <t>キゲン</t>
    </rPh>
    <rPh sb="21" eb="23">
      <t>トウライ</t>
    </rPh>
    <rPh sb="25" eb="27">
      <t>リュウドウ</t>
    </rPh>
    <rPh sb="27" eb="29">
      <t>フサイ</t>
    </rPh>
    <rPh sb="31" eb="33">
      <t>ヒリツ</t>
    </rPh>
    <rPh sb="34" eb="36">
      <t>タンキ</t>
    </rPh>
    <rPh sb="36" eb="38">
      <t>シハライ</t>
    </rPh>
    <rPh sb="38" eb="40">
      <t>ノウリョク</t>
    </rPh>
    <rPh sb="40" eb="41">
      <t>アラワ</t>
    </rPh>
    <rPh sb="43" eb="45">
      <t>リュウドウ</t>
    </rPh>
    <rPh sb="45" eb="47">
      <t>ヒリツ</t>
    </rPh>
    <rPh sb="48" eb="50">
      <t>ホカン</t>
    </rPh>
    <rPh sb="52" eb="54">
      <t>シヒョウ</t>
    </rPh>
    <phoneticPr fontId="3"/>
  </si>
  <si>
    <t>棚卸資産、売掛金の換金、回収の早期化などにより当座資産の増加、流動負債の減少など</t>
    <rPh sb="0" eb="2">
      <t>タナオロシ</t>
    </rPh>
    <rPh sb="2" eb="4">
      <t>シサン</t>
    </rPh>
    <rPh sb="5" eb="7">
      <t>ウリカケ</t>
    </rPh>
    <rPh sb="7" eb="8">
      <t>キン</t>
    </rPh>
    <rPh sb="9" eb="11">
      <t>カンキン</t>
    </rPh>
    <rPh sb="12" eb="14">
      <t>カイシュウ</t>
    </rPh>
    <rPh sb="15" eb="18">
      <t>ソウキカ</t>
    </rPh>
    <rPh sb="23" eb="25">
      <t>トウザ</t>
    </rPh>
    <rPh sb="25" eb="27">
      <t>シサン</t>
    </rPh>
    <rPh sb="28" eb="30">
      <t>ゾウカ</t>
    </rPh>
    <rPh sb="31" eb="33">
      <t>リュウドウ</t>
    </rPh>
    <rPh sb="33" eb="35">
      <t>フサイ</t>
    </rPh>
    <rPh sb="36" eb="38">
      <t>ゲンショウ</t>
    </rPh>
    <phoneticPr fontId="3"/>
  </si>
  <si>
    <t>棚卸資産、売掛金の換金、回収の遅れなどにより当座資産が少ないか、流動負債の増加など</t>
    <rPh sb="0" eb="2">
      <t>タナオロシ</t>
    </rPh>
    <rPh sb="2" eb="4">
      <t>シサン</t>
    </rPh>
    <rPh sb="5" eb="7">
      <t>ウリカケ</t>
    </rPh>
    <rPh sb="7" eb="8">
      <t>キン</t>
    </rPh>
    <rPh sb="9" eb="11">
      <t>カンキン</t>
    </rPh>
    <rPh sb="12" eb="14">
      <t>カイシュウ</t>
    </rPh>
    <rPh sb="15" eb="16">
      <t>オク</t>
    </rPh>
    <rPh sb="22" eb="24">
      <t>トウザ</t>
    </rPh>
    <rPh sb="24" eb="26">
      <t>シサン</t>
    </rPh>
    <rPh sb="27" eb="28">
      <t>スク</t>
    </rPh>
    <rPh sb="32" eb="34">
      <t>リュウドウ</t>
    </rPh>
    <rPh sb="34" eb="36">
      <t>フサイ</t>
    </rPh>
    <rPh sb="37" eb="39">
      <t>ゾウカ</t>
    </rPh>
    <phoneticPr fontId="3"/>
  </si>
  <si>
    <t>当座資産÷流動負債×100</t>
    <rPh sb="0" eb="2">
      <t>トウザ</t>
    </rPh>
    <rPh sb="2" eb="4">
      <t>シサン</t>
    </rPh>
    <rPh sb="5" eb="7">
      <t>リュウドウ</t>
    </rPh>
    <rPh sb="7" eb="9">
      <t>フサイ</t>
    </rPh>
    <phoneticPr fontId="3"/>
  </si>
  <si>
    <t>（７）資本の安定性分析</t>
    <rPh sb="3" eb="5">
      <t>シホン</t>
    </rPh>
    <rPh sb="6" eb="9">
      <t>アンテイセイ</t>
    </rPh>
    <rPh sb="9" eb="11">
      <t>ブンセキ</t>
    </rPh>
    <phoneticPr fontId="3"/>
  </si>
  <si>
    <t>企業が使用する総資産のうち、自己資本の占める割合がどの程度あるかを示し、資本構成から企業の安全性をみる指標</t>
    <rPh sb="0" eb="2">
      <t>キギョウ</t>
    </rPh>
    <rPh sb="3" eb="5">
      <t>シヨウ</t>
    </rPh>
    <rPh sb="7" eb="10">
      <t>ソウシサン</t>
    </rPh>
    <rPh sb="14" eb="16">
      <t>ジコ</t>
    </rPh>
    <rPh sb="16" eb="18">
      <t>シホン</t>
    </rPh>
    <rPh sb="19" eb="20">
      <t>シ</t>
    </rPh>
    <rPh sb="22" eb="24">
      <t>ワリアイ</t>
    </rPh>
    <rPh sb="27" eb="29">
      <t>テイド</t>
    </rPh>
    <rPh sb="33" eb="34">
      <t>シメ</t>
    </rPh>
    <rPh sb="36" eb="38">
      <t>シホン</t>
    </rPh>
    <rPh sb="38" eb="40">
      <t>コウセイ</t>
    </rPh>
    <rPh sb="42" eb="44">
      <t>キギョウ</t>
    </rPh>
    <rPh sb="45" eb="48">
      <t>アンゼンセイ</t>
    </rPh>
    <rPh sb="51" eb="53">
      <t>シヒョウ</t>
    </rPh>
    <phoneticPr fontId="3"/>
  </si>
  <si>
    <t>利益の増加、増資などによる自己資本の増加、借入金の返済による他人資本を圧縮する。</t>
    <rPh sb="0" eb="2">
      <t>リエキ</t>
    </rPh>
    <rPh sb="3" eb="5">
      <t>ゾウカ</t>
    </rPh>
    <rPh sb="6" eb="8">
      <t>ゾウシ</t>
    </rPh>
    <rPh sb="13" eb="15">
      <t>ジコ</t>
    </rPh>
    <rPh sb="15" eb="17">
      <t>シホン</t>
    </rPh>
    <rPh sb="18" eb="20">
      <t>ゾウカ</t>
    </rPh>
    <rPh sb="21" eb="23">
      <t>カリイ</t>
    </rPh>
    <rPh sb="23" eb="24">
      <t>キン</t>
    </rPh>
    <rPh sb="25" eb="27">
      <t>ヘンサイ</t>
    </rPh>
    <rPh sb="30" eb="32">
      <t>タニン</t>
    </rPh>
    <rPh sb="32" eb="34">
      <t>シホン</t>
    </rPh>
    <rPh sb="35" eb="37">
      <t>アッシュク</t>
    </rPh>
    <phoneticPr fontId="3"/>
  </si>
  <si>
    <t>貸倒や不良在庫の増加による負債の増加、累積赤字による資本の減少、固定資産の増加などによる総資本の増加など</t>
    <rPh sb="0" eb="2">
      <t>カシダオレ</t>
    </rPh>
    <rPh sb="3" eb="5">
      <t>フリョウ</t>
    </rPh>
    <rPh sb="5" eb="7">
      <t>ザイコ</t>
    </rPh>
    <rPh sb="8" eb="10">
      <t>ゾウカ</t>
    </rPh>
    <rPh sb="13" eb="15">
      <t>フサイ</t>
    </rPh>
    <rPh sb="16" eb="18">
      <t>ゾウカ</t>
    </rPh>
    <rPh sb="19" eb="21">
      <t>ルイセキ</t>
    </rPh>
    <rPh sb="21" eb="23">
      <t>アカジ</t>
    </rPh>
    <rPh sb="26" eb="28">
      <t>シホン</t>
    </rPh>
    <rPh sb="29" eb="31">
      <t>ゲンショウ</t>
    </rPh>
    <rPh sb="32" eb="34">
      <t>コテイ</t>
    </rPh>
    <rPh sb="34" eb="36">
      <t>シサン</t>
    </rPh>
    <rPh sb="37" eb="39">
      <t>ゾウカ</t>
    </rPh>
    <rPh sb="44" eb="47">
      <t>ソウシホン</t>
    </rPh>
    <rPh sb="48" eb="50">
      <t>ゾウカ</t>
    </rPh>
    <phoneticPr fontId="3"/>
  </si>
  <si>
    <t>自己資本と社債や長期借入金などの固定負債によって固定資産がどの程度賄われているかを示す指標</t>
    <rPh sb="0" eb="2">
      <t>ジコ</t>
    </rPh>
    <rPh sb="2" eb="4">
      <t>シホン</t>
    </rPh>
    <rPh sb="5" eb="7">
      <t>シャサイ</t>
    </rPh>
    <rPh sb="8" eb="10">
      <t>チョウキ</t>
    </rPh>
    <rPh sb="10" eb="12">
      <t>カリイレ</t>
    </rPh>
    <rPh sb="12" eb="13">
      <t>キン</t>
    </rPh>
    <rPh sb="16" eb="18">
      <t>コテイ</t>
    </rPh>
    <rPh sb="18" eb="20">
      <t>フサイ</t>
    </rPh>
    <rPh sb="24" eb="26">
      <t>コテイ</t>
    </rPh>
    <rPh sb="26" eb="28">
      <t>シサン</t>
    </rPh>
    <rPh sb="31" eb="33">
      <t>テイド</t>
    </rPh>
    <rPh sb="33" eb="34">
      <t>マカナ</t>
    </rPh>
    <rPh sb="41" eb="42">
      <t>シメ</t>
    </rPh>
    <rPh sb="43" eb="45">
      <t>シヒョウ</t>
    </rPh>
    <phoneticPr fontId="3"/>
  </si>
  <si>
    <t>利益の増加、長期借入金の増加など自己資本もしくは固定負債のの増加によるか、固定資産の売却など固定資産の減少など</t>
    <rPh sb="0" eb="2">
      <t>リエキ</t>
    </rPh>
    <rPh sb="3" eb="5">
      <t>ゾウカ</t>
    </rPh>
    <rPh sb="6" eb="8">
      <t>チョウキ</t>
    </rPh>
    <rPh sb="8" eb="10">
      <t>カリイ</t>
    </rPh>
    <rPh sb="10" eb="11">
      <t>キン</t>
    </rPh>
    <rPh sb="12" eb="14">
      <t>ゾウカ</t>
    </rPh>
    <rPh sb="16" eb="18">
      <t>ジコ</t>
    </rPh>
    <rPh sb="18" eb="20">
      <t>シホン</t>
    </rPh>
    <rPh sb="24" eb="26">
      <t>コテイ</t>
    </rPh>
    <rPh sb="26" eb="28">
      <t>フサイ</t>
    </rPh>
    <rPh sb="30" eb="32">
      <t>ゾウカ</t>
    </rPh>
    <rPh sb="37" eb="39">
      <t>コテイ</t>
    </rPh>
    <rPh sb="39" eb="41">
      <t>シサン</t>
    </rPh>
    <rPh sb="42" eb="44">
      <t>バイキャク</t>
    </rPh>
    <rPh sb="46" eb="48">
      <t>コテイ</t>
    </rPh>
    <rPh sb="48" eb="50">
      <t>シサン</t>
    </rPh>
    <rPh sb="51" eb="53">
      <t>ゲンショウ</t>
    </rPh>
    <phoneticPr fontId="3"/>
  </si>
  <si>
    <t>利益の減少、社債の償還、固定資産の過大投資など自己資本、固定負債の減少によるか、固定資産の増加による</t>
    <rPh sb="0" eb="2">
      <t>リエキ</t>
    </rPh>
    <rPh sb="3" eb="5">
      <t>ゲンショウ</t>
    </rPh>
    <rPh sb="6" eb="8">
      <t>シャサイ</t>
    </rPh>
    <rPh sb="9" eb="11">
      <t>ショウカン</t>
    </rPh>
    <rPh sb="12" eb="14">
      <t>コテイ</t>
    </rPh>
    <rPh sb="14" eb="16">
      <t>シサン</t>
    </rPh>
    <rPh sb="17" eb="19">
      <t>カダイ</t>
    </rPh>
    <rPh sb="19" eb="21">
      <t>トウシ</t>
    </rPh>
    <rPh sb="23" eb="25">
      <t>ジコ</t>
    </rPh>
    <rPh sb="25" eb="27">
      <t>シホン</t>
    </rPh>
    <rPh sb="28" eb="30">
      <t>コテイ</t>
    </rPh>
    <rPh sb="30" eb="32">
      <t>フサイ</t>
    </rPh>
    <rPh sb="33" eb="35">
      <t>ゲンショウ</t>
    </rPh>
    <rPh sb="40" eb="42">
      <t>コテイ</t>
    </rPh>
    <rPh sb="42" eb="44">
      <t>シサン</t>
    </rPh>
    <rPh sb="45" eb="47">
      <t>ゾウカ</t>
    </rPh>
    <phoneticPr fontId="3"/>
  </si>
  <si>
    <t>固定資産÷（自己資本＋固定負債）×100</t>
    <rPh sb="0" eb="2">
      <t>コテイ</t>
    </rPh>
    <rPh sb="2" eb="4">
      <t>シサン</t>
    </rPh>
    <rPh sb="6" eb="8">
      <t>ジコ</t>
    </rPh>
    <rPh sb="8" eb="10">
      <t>シホン</t>
    </rPh>
    <rPh sb="11" eb="13">
      <t>コテイ</t>
    </rPh>
    <rPh sb="13" eb="15">
      <t>フサイ</t>
    </rPh>
    <phoneticPr fontId="3"/>
  </si>
  <si>
    <t>Ｅ．固定比率</t>
    <rPh sb="2" eb="4">
      <t>コテイ</t>
    </rPh>
    <rPh sb="4" eb="6">
      <t>ヒリツ</t>
    </rPh>
    <phoneticPr fontId="3"/>
  </si>
  <si>
    <t>（％）</t>
    <phoneticPr fontId="3"/>
  </si>
  <si>
    <t>固定資産に投下された資本が、どの程度自己資本で賄われているかを示す指標</t>
    <rPh sb="0" eb="2">
      <t>コテイ</t>
    </rPh>
    <rPh sb="2" eb="4">
      <t>シサン</t>
    </rPh>
    <rPh sb="5" eb="7">
      <t>トウカ</t>
    </rPh>
    <rPh sb="10" eb="12">
      <t>シホン</t>
    </rPh>
    <rPh sb="16" eb="18">
      <t>テイド</t>
    </rPh>
    <rPh sb="18" eb="20">
      <t>ジコ</t>
    </rPh>
    <rPh sb="20" eb="22">
      <t>シホン</t>
    </rPh>
    <rPh sb="23" eb="24">
      <t>マカナ</t>
    </rPh>
    <rPh sb="31" eb="32">
      <t>シメ</t>
    </rPh>
    <rPh sb="33" eb="35">
      <t>シヒョウ</t>
    </rPh>
    <phoneticPr fontId="3"/>
  </si>
  <si>
    <t>利益の増加などによる自己資本の増加、固定資産の売却などによる固定資産の減少など</t>
    <rPh sb="0" eb="2">
      <t>リエキ</t>
    </rPh>
    <rPh sb="3" eb="5">
      <t>ゾウカ</t>
    </rPh>
    <rPh sb="10" eb="12">
      <t>ジコ</t>
    </rPh>
    <rPh sb="12" eb="14">
      <t>シホン</t>
    </rPh>
    <rPh sb="15" eb="17">
      <t>ゾウカ</t>
    </rPh>
    <rPh sb="18" eb="20">
      <t>コテイ</t>
    </rPh>
    <rPh sb="20" eb="22">
      <t>シサン</t>
    </rPh>
    <rPh sb="23" eb="25">
      <t>バイキャク</t>
    </rPh>
    <rPh sb="30" eb="32">
      <t>コテイ</t>
    </rPh>
    <rPh sb="32" eb="34">
      <t>シサン</t>
    </rPh>
    <rPh sb="35" eb="37">
      <t>ゲンショウ</t>
    </rPh>
    <phoneticPr fontId="3"/>
  </si>
  <si>
    <t>累積赤字などの原因による自己資本の不足、固定資産の過大投資など自己資本の減少、固定資産の増大など</t>
    <rPh sb="0" eb="2">
      <t>ルイセキ</t>
    </rPh>
    <rPh sb="2" eb="4">
      <t>アカジ</t>
    </rPh>
    <rPh sb="7" eb="9">
      <t>ゲンイン</t>
    </rPh>
    <rPh sb="12" eb="14">
      <t>ジコ</t>
    </rPh>
    <rPh sb="14" eb="16">
      <t>シホン</t>
    </rPh>
    <rPh sb="17" eb="19">
      <t>フソク</t>
    </rPh>
    <rPh sb="20" eb="22">
      <t>コテイ</t>
    </rPh>
    <rPh sb="22" eb="24">
      <t>シサン</t>
    </rPh>
    <rPh sb="25" eb="27">
      <t>カダイ</t>
    </rPh>
    <rPh sb="27" eb="29">
      <t>トウシ</t>
    </rPh>
    <rPh sb="31" eb="33">
      <t>ジコ</t>
    </rPh>
    <rPh sb="33" eb="35">
      <t>シホン</t>
    </rPh>
    <rPh sb="36" eb="38">
      <t>ゲンショウ</t>
    </rPh>
    <rPh sb="39" eb="41">
      <t>コテイ</t>
    </rPh>
    <rPh sb="41" eb="43">
      <t>シサン</t>
    </rPh>
    <rPh sb="44" eb="46">
      <t>ゾウダイ</t>
    </rPh>
    <phoneticPr fontId="3"/>
  </si>
  <si>
    <t>固定資産÷自己資本×100</t>
    <rPh sb="0" eb="2">
      <t>コテイ</t>
    </rPh>
    <rPh sb="2" eb="4">
      <t>シサン</t>
    </rPh>
    <rPh sb="5" eb="7">
      <t>ジコ</t>
    </rPh>
    <rPh sb="7" eb="9">
      <t>シホン</t>
    </rPh>
    <phoneticPr fontId="3"/>
  </si>
  <si>
    <t>比率が高いほどよいが、最低限次の２つの水準を越える必要がある。①名目インフレ率以上：これ以下では売上は実質的に減少となる。②市場、業界成長率以上：シェアアップしていることの前提となる。</t>
    <rPh sb="0" eb="2">
      <t>ヒリツ</t>
    </rPh>
    <rPh sb="3" eb="4">
      <t>タカ</t>
    </rPh>
    <rPh sb="11" eb="14">
      <t>サイテイゲン</t>
    </rPh>
    <rPh sb="14" eb="15">
      <t>ツギ</t>
    </rPh>
    <rPh sb="19" eb="21">
      <t>スイジュン</t>
    </rPh>
    <rPh sb="22" eb="23">
      <t>コ</t>
    </rPh>
    <rPh sb="25" eb="27">
      <t>ヒツヨウ</t>
    </rPh>
    <rPh sb="32" eb="34">
      <t>メイモク</t>
    </rPh>
    <rPh sb="38" eb="39">
      <t>リツ</t>
    </rPh>
    <rPh sb="39" eb="41">
      <t>イジョウ</t>
    </rPh>
    <rPh sb="44" eb="46">
      <t>イカ</t>
    </rPh>
    <rPh sb="48" eb="50">
      <t>ウリアゲ</t>
    </rPh>
    <rPh sb="51" eb="53">
      <t>ジッシツ</t>
    </rPh>
    <rPh sb="53" eb="54">
      <t>テキ</t>
    </rPh>
    <rPh sb="55" eb="57">
      <t>ゲンショウ</t>
    </rPh>
    <rPh sb="62" eb="64">
      <t>シジョウ</t>
    </rPh>
    <rPh sb="65" eb="67">
      <t>ギョウカイ</t>
    </rPh>
    <rPh sb="67" eb="70">
      <t>セイチョウリツ</t>
    </rPh>
    <rPh sb="70" eb="72">
      <t>イジョウ</t>
    </rPh>
    <rPh sb="86" eb="88">
      <t>ゼンテイ</t>
    </rPh>
    <phoneticPr fontId="3"/>
  </si>
  <si>
    <t>（％）</t>
    <phoneticPr fontId="3"/>
  </si>
  <si>
    <t>（％）</t>
    <phoneticPr fontId="3"/>
  </si>
  <si>
    <t>製品仕入原価、原材料、外注費などの低減による付加価値の増加など</t>
    <rPh sb="0" eb="2">
      <t>セイヒン</t>
    </rPh>
    <rPh sb="2" eb="4">
      <t>シイレ</t>
    </rPh>
    <rPh sb="4" eb="6">
      <t>ゲンカ</t>
    </rPh>
    <rPh sb="7" eb="10">
      <t>ゲンザイリョウ</t>
    </rPh>
    <rPh sb="11" eb="14">
      <t>ガイチュウヒ</t>
    </rPh>
    <rPh sb="17" eb="19">
      <t>テイゲン</t>
    </rPh>
    <rPh sb="22" eb="24">
      <t>フカ</t>
    </rPh>
    <rPh sb="24" eb="26">
      <t>カチ</t>
    </rPh>
    <rPh sb="27" eb="29">
      <t>ゾウカ</t>
    </rPh>
    <phoneticPr fontId="3"/>
  </si>
  <si>
    <t>製品仕入原価、原材料、外注費などの増大による付加価値の減少など</t>
    <rPh sb="0" eb="2">
      <t>セイヒン</t>
    </rPh>
    <rPh sb="2" eb="4">
      <t>シイレ</t>
    </rPh>
    <rPh sb="4" eb="6">
      <t>ゲンカ</t>
    </rPh>
    <rPh sb="7" eb="10">
      <t>ゲンザイリョウ</t>
    </rPh>
    <rPh sb="11" eb="14">
      <t>ガイチュウヒ</t>
    </rPh>
    <rPh sb="17" eb="19">
      <t>ゾウダイ</t>
    </rPh>
    <rPh sb="22" eb="24">
      <t>フカ</t>
    </rPh>
    <rPh sb="24" eb="26">
      <t>カチ</t>
    </rPh>
    <rPh sb="27" eb="29">
      <t>ゲンショウ</t>
    </rPh>
    <phoneticPr fontId="3"/>
  </si>
  <si>
    <t>Ｃ．資本生産性</t>
    <rPh sb="2" eb="4">
      <t>シホン</t>
    </rPh>
    <rPh sb="4" eb="7">
      <t>セイサンセイ</t>
    </rPh>
    <phoneticPr fontId="3"/>
  </si>
  <si>
    <t>適正な投資規模による設備投資の減少、付加価値額の増加など</t>
    <rPh sb="0" eb="2">
      <t>テキセイ</t>
    </rPh>
    <rPh sb="3" eb="5">
      <t>トウシ</t>
    </rPh>
    <rPh sb="5" eb="7">
      <t>キボ</t>
    </rPh>
    <rPh sb="10" eb="12">
      <t>セツビ</t>
    </rPh>
    <rPh sb="12" eb="14">
      <t>トウシ</t>
    </rPh>
    <rPh sb="15" eb="17">
      <t>ゲンショウ</t>
    </rPh>
    <rPh sb="18" eb="20">
      <t>フカ</t>
    </rPh>
    <rPh sb="20" eb="22">
      <t>カチ</t>
    </rPh>
    <rPh sb="22" eb="23">
      <t>ガク</t>
    </rPh>
    <rPh sb="24" eb="26">
      <t>ゾウカ</t>
    </rPh>
    <phoneticPr fontId="3"/>
  </si>
  <si>
    <t>過剰設備投資、付加価値額の減少など</t>
    <rPh sb="0" eb="2">
      <t>カジョウ</t>
    </rPh>
    <rPh sb="2" eb="4">
      <t>セツビ</t>
    </rPh>
    <rPh sb="4" eb="6">
      <t>トウシ</t>
    </rPh>
    <rPh sb="7" eb="9">
      <t>フカ</t>
    </rPh>
    <rPh sb="9" eb="11">
      <t>カチ</t>
    </rPh>
    <rPh sb="11" eb="12">
      <t>ガク</t>
    </rPh>
    <rPh sb="13" eb="15">
      <t>ゲンショウ</t>
    </rPh>
    <phoneticPr fontId="3"/>
  </si>
  <si>
    <t>Ａ．損益分岐点売上高（採算点）</t>
    <rPh sb="2" eb="4">
      <t>ソンエキ</t>
    </rPh>
    <rPh sb="4" eb="7">
      <t>ブンキテン</t>
    </rPh>
    <rPh sb="7" eb="9">
      <t>ウリアゲ</t>
    </rPh>
    <rPh sb="9" eb="10">
      <t>ダカ</t>
    </rPh>
    <rPh sb="11" eb="13">
      <t>サイサン</t>
    </rPh>
    <rPh sb="13" eb="14">
      <t>テン</t>
    </rPh>
    <phoneticPr fontId="3"/>
  </si>
  <si>
    <t>損益分岐点売上高÷現在の売上高×100</t>
    <rPh sb="0" eb="2">
      <t>ソンエキ</t>
    </rPh>
    <rPh sb="2" eb="5">
      <t>ブンキテン</t>
    </rPh>
    <rPh sb="5" eb="7">
      <t>ウリアゲ</t>
    </rPh>
    <rPh sb="7" eb="8">
      <t>ダカ</t>
    </rPh>
    <rPh sb="9" eb="11">
      <t>ゲンザイ</t>
    </rPh>
    <rPh sb="12" eb="14">
      <t>ウリアゲ</t>
    </rPh>
    <rPh sb="14" eb="15">
      <t>ダカ</t>
    </rPh>
    <phoneticPr fontId="3"/>
  </si>
  <si>
    <t>固定費÷限界利益率（限界利益÷売上高）</t>
    <rPh sb="0" eb="3">
      <t>コテイヒ</t>
    </rPh>
    <rPh sb="4" eb="6">
      <t>ゲンカイ</t>
    </rPh>
    <rPh sb="6" eb="8">
      <t>リエキ</t>
    </rPh>
    <rPh sb="8" eb="9">
      <t>リツ</t>
    </rPh>
    <rPh sb="10" eb="12">
      <t>ゲンカイ</t>
    </rPh>
    <rPh sb="12" eb="14">
      <t>リエキ</t>
    </rPh>
    <rPh sb="15" eb="17">
      <t>ウリアゲ</t>
    </rPh>
    <rPh sb="17" eb="18">
      <t>ダカ</t>
    </rPh>
    <phoneticPr fontId="3"/>
  </si>
  <si>
    <t>自己資本（純資産）÷総資本×100</t>
    <rPh sb="0" eb="2">
      <t>ジコ</t>
    </rPh>
    <rPh sb="2" eb="4">
      <t>シホン</t>
    </rPh>
    <rPh sb="5" eb="8">
      <t>ジュンシサン</t>
    </rPh>
    <rPh sb="10" eb="13">
      <t>ソウシホン</t>
    </rPh>
    <phoneticPr fontId="3"/>
  </si>
  <si>
    <t>負債÷自己資本（純資産）×100</t>
    <rPh sb="0" eb="2">
      <t>フサイ</t>
    </rPh>
    <rPh sb="3" eb="5">
      <t>ジコ</t>
    </rPh>
    <rPh sb="5" eb="7">
      <t>シホン</t>
    </rPh>
    <rPh sb="8" eb="11">
      <t>ジュンシサン</t>
    </rPh>
    <phoneticPr fontId="3"/>
  </si>
  <si>
    <t>自己資本に対する負債の割合の程度を示し、負債の返済能力や負債の担保力を見る指標</t>
    <rPh sb="0" eb="2">
      <t>ジコ</t>
    </rPh>
    <rPh sb="2" eb="4">
      <t>シホン</t>
    </rPh>
    <rPh sb="5" eb="6">
      <t>タイ</t>
    </rPh>
    <rPh sb="8" eb="10">
      <t>フサイ</t>
    </rPh>
    <rPh sb="11" eb="13">
      <t>ワリアイ</t>
    </rPh>
    <rPh sb="14" eb="16">
      <t>テイド</t>
    </rPh>
    <rPh sb="17" eb="18">
      <t>シメ</t>
    </rPh>
    <rPh sb="20" eb="22">
      <t>フサイ</t>
    </rPh>
    <rPh sb="23" eb="25">
      <t>ヘンサイ</t>
    </rPh>
    <rPh sb="25" eb="27">
      <t>ノウリョク</t>
    </rPh>
    <rPh sb="28" eb="30">
      <t>フサイ</t>
    </rPh>
    <rPh sb="31" eb="34">
      <t>タンポリョク</t>
    </rPh>
    <rPh sb="35" eb="36">
      <t>ミ</t>
    </rPh>
    <rPh sb="37" eb="39">
      <t>シヒョウ</t>
    </rPh>
    <phoneticPr fontId="3"/>
  </si>
  <si>
    <t>利益の増加、増資などによる自己資本の増加、借入金の返済による負債を圧縮する。</t>
    <rPh sb="0" eb="2">
      <t>リエキ</t>
    </rPh>
    <rPh sb="3" eb="5">
      <t>ゾウカ</t>
    </rPh>
    <rPh sb="30" eb="32">
      <t>フサイ</t>
    </rPh>
    <phoneticPr fontId="3"/>
  </si>
  <si>
    <t>貸倒などによる負債の増加、借入金での多額の固定資産の購入などによる負債の増加、自己資本の減少など</t>
    <rPh sb="0" eb="2">
      <t>カシダオレ</t>
    </rPh>
    <rPh sb="7" eb="9">
      <t>フサイ</t>
    </rPh>
    <rPh sb="10" eb="12">
      <t>ゾウカ</t>
    </rPh>
    <rPh sb="13" eb="15">
      <t>カリイレ</t>
    </rPh>
    <rPh sb="15" eb="16">
      <t>キン</t>
    </rPh>
    <rPh sb="18" eb="20">
      <t>タガク</t>
    </rPh>
    <rPh sb="21" eb="23">
      <t>コテイ</t>
    </rPh>
    <rPh sb="23" eb="25">
      <t>シサン</t>
    </rPh>
    <rPh sb="26" eb="28">
      <t>コウニュウ</t>
    </rPh>
    <rPh sb="33" eb="35">
      <t>フサイ</t>
    </rPh>
    <rPh sb="36" eb="38">
      <t>ゾウカ</t>
    </rPh>
    <rPh sb="39" eb="41">
      <t>ジコ</t>
    </rPh>
    <rPh sb="41" eb="43">
      <t>シホン</t>
    </rPh>
    <rPh sb="44" eb="46">
      <t>ゲンショウ</t>
    </rPh>
    <phoneticPr fontId="3"/>
  </si>
  <si>
    <t>（当期売上高－前期売上高）÷前期売上高×100</t>
    <rPh sb="1" eb="3">
      <t>トウキ</t>
    </rPh>
    <rPh sb="3" eb="5">
      <t>ウリアゲ</t>
    </rPh>
    <rPh sb="5" eb="6">
      <t>ダカ</t>
    </rPh>
    <rPh sb="7" eb="9">
      <t>ゼンキ</t>
    </rPh>
    <rPh sb="9" eb="11">
      <t>ウリアゲ</t>
    </rPh>
    <rPh sb="11" eb="12">
      <t>ダカ</t>
    </rPh>
    <rPh sb="14" eb="16">
      <t>ゼンキ</t>
    </rPh>
    <rPh sb="16" eb="18">
      <t>ウリアゲ</t>
    </rPh>
    <rPh sb="18" eb="19">
      <t>ダカ</t>
    </rPh>
    <phoneticPr fontId="3"/>
  </si>
  <si>
    <t>（当期経常利益－前期経常利益）÷前期経常利益×100</t>
    <rPh sb="1" eb="3">
      <t>トウキ</t>
    </rPh>
    <rPh sb="3" eb="5">
      <t>ケイジョウ</t>
    </rPh>
    <rPh sb="5" eb="7">
      <t>リエキ</t>
    </rPh>
    <rPh sb="8" eb="10">
      <t>ゼンキ</t>
    </rPh>
    <rPh sb="10" eb="11">
      <t>ケイ</t>
    </rPh>
    <rPh sb="11" eb="12">
      <t>ツネ</t>
    </rPh>
    <rPh sb="12" eb="14">
      <t>リエキ</t>
    </rPh>
    <rPh sb="16" eb="18">
      <t>ゼンキ</t>
    </rPh>
    <rPh sb="18" eb="19">
      <t>ケイ</t>
    </rPh>
    <rPh sb="19" eb="20">
      <t>ツネ</t>
    </rPh>
    <rPh sb="20" eb="22">
      <t>リエキ</t>
    </rPh>
    <phoneticPr fontId="3"/>
  </si>
  <si>
    <t>（当期販管費－前期販管費）÷前期販管費×100</t>
    <rPh sb="1" eb="3">
      <t>トウキ</t>
    </rPh>
    <rPh sb="3" eb="4">
      <t>ハン</t>
    </rPh>
    <rPh sb="4" eb="5">
      <t>カン</t>
    </rPh>
    <rPh sb="5" eb="6">
      <t>ヒ</t>
    </rPh>
    <rPh sb="7" eb="9">
      <t>ゼンキ</t>
    </rPh>
    <rPh sb="9" eb="10">
      <t>ハン</t>
    </rPh>
    <rPh sb="10" eb="11">
      <t>カン</t>
    </rPh>
    <rPh sb="11" eb="12">
      <t>ヒ</t>
    </rPh>
    <rPh sb="14" eb="16">
      <t>ゼンキ</t>
    </rPh>
    <rPh sb="16" eb="17">
      <t>ハン</t>
    </rPh>
    <rPh sb="17" eb="18">
      <t>カン</t>
    </rPh>
    <rPh sb="18" eb="19">
      <t>ヒ</t>
    </rPh>
    <phoneticPr fontId="3"/>
  </si>
  <si>
    <t>（当期従業員数－前期従業員数）÷前期従業員数×100</t>
    <rPh sb="1" eb="3">
      <t>トウキ</t>
    </rPh>
    <rPh sb="3" eb="6">
      <t>ジュウギョウイン</t>
    </rPh>
    <rPh sb="6" eb="7">
      <t>スウ</t>
    </rPh>
    <rPh sb="8" eb="10">
      <t>ゼンキ</t>
    </rPh>
    <rPh sb="10" eb="13">
      <t>ジュウギョウイン</t>
    </rPh>
    <rPh sb="13" eb="14">
      <t>スウ</t>
    </rPh>
    <rPh sb="16" eb="18">
      <t>ゼンキ</t>
    </rPh>
    <rPh sb="18" eb="21">
      <t>ジュウギョウイン</t>
    </rPh>
    <rPh sb="21" eb="22">
      <t>スウ</t>
    </rPh>
    <phoneticPr fontId="3"/>
  </si>
  <si>
    <t>Ｅ．総資産増減率</t>
    <rPh sb="2" eb="3">
      <t>ソウ</t>
    </rPh>
    <rPh sb="3" eb="5">
      <t>シサン</t>
    </rPh>
    <rPh sb="5" eb="7">
      <t>ゾウゲン</t>
    </rPh>
    <rPh sb="7" eb="8">
      <t>リツ</t>
    </rPh>
    <phoneticPr fontId="3"/>
  </si>
  <si>
    <t>（当期末総資産－前期末総資産）÷前期末総資産×100</t>
    <rPh sb="1" eb="3">
      <t>トウキ</t>
    </rPh>
    <rPh sb="3" eb="4">
      <t>マツ</t>
    </rPh>
    <rPh sb="4" eb="7">
      <t>ソウシサン</t>
    </rPh>
    <rPh sb="8" eb="10">
      <t>ゼンキ</t>
    </rPh>
    <rPh sb="10" eb="11">
      <t>マツ</t>
    </rPh>
    <rPh sb="11" eb="14">
      <t>ソウシサン</t>
    </rPh>
    <rPh sb="16" eb="18">
      <t>ゼンキ</t>
    </rPh>
    <rPh sb="18" eb="19">
      <t>マツ</t>
    </rPh>
    <rPh sb="19" eb="22">
      <t>ソウシサン</t>
    </rPh>
    <phoneticPr fontId="3"/>
  </si>
  <si>
    <t>前期売上高を基準に、当期の売上高増減額がどの程度であるかを示す指標</t>
    <rPh sb="0" eb="2">
      <t>ゼンキ</t>
    </rPh>
    <rPh sb="2" eb="4">
      <t>ウリアゲ</t>
    </rPh>
    <rPh sb="4" eb="5">
      <t>ダカ</t>
    </rPh>
    <rPh sb="10" eb="12">
      <t>トウキ</t>
    </rPh>
    <rPh sb="13" eb="15">
      <t>ウリアゲ</t>
    </rPh>
    <rPh sb="15" eb="16">
      <t>ダカ</t>
    </rPh>
    <rPh sb="16" eb="18">
      <t>ゾウゲン</t>
    </rPh>
    <rPh sb="18" eb="19">
      <t>ガク</t>
    </rPh>
    <rPh sb="22" eb="24">
      <t>テイド</t>
    </rPh>
    <rPh sb="29" eb="30">
      <t>シメ</t>
    </rPh>
    <rPh sb="31" eb="33">
      <t>シヒョウ</t>
    </rPh>
    <phoneticPr fontId="3"/>
  </si>
  <si>
    <t>前期経常利益を基準に、当期経営利益の増減額がどの程度であるかを示す指標</t>
    <rPh sb="0" eb="2">
      <t>ゼンキ</t>
    </rPh>
    <rPh sb="2" eb="4">
      <t>ケイジョウ</t>
    </rPh>
    <rPh sb="4" eb="6">
      <t>リエキ</t>
    </rPh>
    <rPh sb="11" eb="13">
      <t>トウキ</t>
    </rPh>
    <rPh sb="13" eb="15">
      <t>ケイエイ</t>
    </rPh>
    <rPh sb="15" eb="17">
      <t>リエキ</t>
    </rPh>
    <rPh sb="18" eb="20">
      <t>ゾウゲン</t>
    </rPh>
    <rPh sb="20" eb="21">
      <t>ガク</t>
    </rPh>
    <rPh sb="24" eb="26">
      <t>テイド</t>
    </rPh>
    <rPh sb="31" eb="32">
      <t>シメ</t>
    </rPh>
    <rPh sb="33" eb="35">
      <t>シヒョウ</t>
    </rPh>
    <phoneticPr fontId="3"/>
  </si>
  <si>
    <t>売上高成長率より高ければ、経営の効率性がよいことが分かる。</t>
    <rPh sb="0" eb="2">
      <t>ウリアゲ</t>
    </rPh>
    <rPh sb="2" eb="3">
      <t>ダカ</t>
    </rPh>
    <rPh sb="3" eb="6">
      <t>セイチョウリツ</t>
    </rPh>
    <rPh sb="8" eb="9">
      <t>タカ</t>
    </rPh>
    <rPh sb="13" eb="15">
      <t>ケイエイ</t>
    </rPh>
    <rPh sb="16" eb="19">
      <t>コウリツセイ</t>
    </rPh>
    <rPh sb="25" eb="26">
      <t>ワ</t>
    </rPh>
    <phoneticPr fontId="3"/>
  </si>
  <si>
    <t>総合評価</t>
    <rPh sb="0" eb="4">
      <t>ソウゴウヒョウカ</t>
    </rPh>
    <phoneticPr fontId="3"/>
  </si>
  <si>
    <t>＜主な経営指標＞</t>
    <rPh sb="1" eb="2">
      <t>オモ</t>
    </rPh>
    <rPh sb="3" eb="5">
      <t>ケイエイ</t>
    </rPh>
    <rPh sb="5" eb="7">
      <t>シヒョウ</t>
    </rPh>
    <phoneticPr fontId="3"/>
  </si>
  <si>
    <t>売上高</t>
    <rPh sb="0" eb="2">
      <t>ウリアゲ</t>
    </rPh>
    <rPh sb="2" eb="3">
      <t>ダカ</t>
    </rPh>
    <phoneticPr fontId="3"/>
  </si>
  <si>
    <t>経常利益</t>
    <rPh sb="0" eb="2">
      <t>ケイジョウ</t>
    </rPh>
    <rPh sb="2" eb="4">
      <t>リエキ</t>
    </rPh>
    <phoneticPr fontId="3"/>
  </si>
  <si>
    <t>当期純利益</t>
    <rPh sb="0" eb="2">
      <t>トウキ</t>
    </rPh>
    <rPh sb="2" eb="5">
      <t>ジュンリエキ</t>
    </rPh>
    <phoneticPr fontId="3"/>
  </si>
  <si>
    <t>総資産額</t>
    <rPh sb="0" eb="3">
      <t>ソウシサン</t>
    </rPh>
    <rPh sb="3" eb="4">
      <t>ガク</t>
    </rPh>
    <phoneticPr fontId="3"/>
  </si>
  <si>
    <t>純資産額</t>
    <rPh sb="0" eb="3">
      <t>ジュンシサン</t>
    </rPh>
    <rPh sb="3" eb="4">
      <t>ガク</t>
    </rPh>
    <phoneticPr fontId="3"/>
  </si>
  <si>
    <t>自己資本比率</t>
    <rPh sb="0" eb="2">
      <t>ジコ</t>
    </rPh>
    <rPh sb="2" eb="4">
      <t>シホン</t>
    </rPh>
    <rPh sb="4" eb="6">
      <t>ヒリツ</t>
    </rPh>
    <phoneticPr fontId="3"/>
  </si>
  <si>
    <t>自己資本利益率</t>
    <rPh sb="0" eb="2">
      <t>ジコ</t>
    </rPh>
    <rPh sb="2" eb="4">
      <t>シホン</t>
    </rPh>
    <rPh sb="4" eb="6">
      <t>リエキ</t>
    </rPh>
    <rPh sb="6" eb="7">
      <t>リツ</t>
    </rPh>
    <phoneticPr fontId="3"/>
  </si>
  <si>
    <t>期末従業員数</t>
    <rPh sb="0" eb="2">
      <t>キマツ</t>
    </rPh>
    <rPh sb="2" eb="5">
      <t>ジュウギョウイン</t>
    </rPh>
    <rPh sb="5" eb="6">
      <t>スウ</t>
    </rPh>
    <phoneticPr fontId="3"/>
  </si>
  <si>
    <t>（人）</t>
    <rPh sb="1" eb="2">
      <t>ニン</t>
    </rPh>
    <phoneticPr fontId="3"/>
  </si>
  <si>
    <t>流動資産額</t>
    <rPh sb="0" eb="2">
      <t>リュウドウ</t>
    </rPh>
    <rPh sb="2" eb="4">
      <t>シサン</t>
    </rPh>
    <rPh sb="4" eb="5">
      <t>ガク</t>
    </rPh>
    <phoneticPr fontId="3"/>
  </si>
  <si>
    <t>固定資産額</t>
    <rPh sb="0" eb="2">
      <t>コテイ</t>
    </rPh>
    <rPh sb="2" eb="4">
      <t>シサン</t>
    </rPh>
    <rPh sb="4" eb="5">
      <t>ガク</t>
    </rPh>
    <phoneticPr fontId="3"/>
  </si>
  <si>
    <t>負債総額</t>
    <rPh sb="0" eb="2">
      <t>フサイ</t>
    </rPh>
    <rPh sb="2" eb="4">
      <t>ソウガク</t>
    </rPh>
    <phoneticPr fontId="3"/>
  </si>
  <si>
    <t>＜損益計算書＞</t>
    <rPh sb="1" eb="3">
      <t>ソンエキ</t>
    </rPh>
    <rPh sb="3" eb="6">
      <t>ケイサンショ</t>
    </rPh>
    <phoneticPr fontId="3"/>
  </si>
  <si>
    <t>＜貸借対照表＞</t>
    <rPh sb="1" eb="3">
      <t>タイシャク</t>
    </rPh>
    <rPh sb="3" eb="6">
      <t>タイショウヒョウ</t>
    </rPh>
    <phoneticPr fontId="3"/>
  </si>
  <si>
    <t>＜簡易キャッシュフロー計算書＞</t>
    <rPh sb="1" eb="3">
      <t>カンイ</t>
    </rPh>
    <rPh sb="11" eb="14">
      <t>ケイサンショ</t>
    </rPh>
    <phoneticPr fontId="3"/>
  </si>
  <si>
    <t>（法人税等利益処分）</t>
    <rPh sb="1" eb="5">
      <t>ホウジンゼイトウ</t>
    </rPh>
    <rPh sb="5" eb="7">
      <t>リエキ</t>
    </rPh>
    <rPh sb="7" eb="9">
      <t>ショブン</t>
    </rPh>
    <phoneticPr fontId="3"/>
  </si>
  <si>
    <t>減価償却費</t>
    <rPh sb="0" eb="2">
      <t>ゲンカ</t>
    </rPh>
    <rPh sb="2" eb="4">
      <t>ショウキャク</t>
    </rPh>
    <rPh sb="4" eb="5">
      <t>ヒ</t>
    </rPh>
    <phoneticPr fontId="3"/>
  </si>
  <si>
    <t>売上債権減少（△増加）</t>
    <rPh sb="0" eb="2">
      <t>ウリアゲ</t>
    </rPh>
    <rPh sb="2" eb="4">
      <t>サイケン</t>
    </rPh>
    <rPh sb="4" eb="6">
      <t>ゲンショウ</t>
    </rPh>
    <rPh sb="8" eb="10">
      <t>ゾウカ</t>
    </rPh>
    <phoneticPr fontId="3"/>
  </si>
  <si>
    <t>棚卸資産減少（△増加）</t>
    <rPh sb="0" eb="2">
      <t>タナオロシ</t>
    </rPh>
    <rPh sb="2" eb="4">
      <t>シサン</t>
    </rPh>
    <rPh sb="4" eb="6">
      <t>ゲンショウ</t>
    </rPh>
    <rPh sb="8" eb="10">
      <t>ゾウカ</t>
    </rPh>
    <phoneticPr fontId="3"/>
  </si>
  <si>
    <t>その他資産減少（△増加）</t>
    <rPh sb="2" eb="3">
      <t>タ</t>
    </rPh>
    <rPh sb="3" eb="5">
      <t>シサン</t>
    </rPh>
    <rPh sb="5" eb="7">
      <t>ゲンショウ</t>
    </rPh>
    <rPh sb="9" eb="11">
      <t>ゾウカ</t>
    </rPh>
    <phoneticPr fontId="3"/>
  </si>
  <si>
    <t>買入債務増加（△減少）</t>
    <rPh sb="0" eb="2">
      <t>カイイレ</t>
    </rPh>
    <rPh sb="2" eb="4">
      <t>サイム</t>
    </rPh>
    <rPh sb="4" eb="6">
      <t>ゾウカ</t>
    </rPh>
    <rPh sb="8" eb="10">
      <t>ゲンショウ</t>
    </rPh>
    <phoneticPr fontId="3"/>
  </si>
  <si>
    <t>その他負債増加（△減少）</t>
    <rPh sb="2" eb="3">
      <t>タ</t>
    </rPh>
    <rPh sb="3" eb="5">
      <t>フサイ</t>
    </rPh>
    <rPh sb="5" eb="7">
      <t>ゾウカ</t>
    </rPh>
    <rPh sb="9" eb="11">
      <t>ゲンショウ</t>
    </rPh>
    <phoneticPr fontId="3"/>
  </si>
  <si>
    <t>営業キャッシュフロー</t>
    <rPh sb="0" eb="2">
      <t>エイギョウ</t>
    </rPh>
    <phoneticPr fontId="3"/>
  </si>
  <si>
    <t>固定資産減少（△増加）</t>
    <rPh sb="0" eb="2">
      <t>コテイ</t>
    </rPh>
    <rPh sb="2" eb="4">
      <t>シサン</t>
    </rPh>
    <rPh sb="4" eb="6">
      <t>ゲンショウ</t>
    </rPh>
    <rPh sb="8" eb="10">
      <t>ゾウカ</t>
    </rPh>
    <phoneticPr fontId="3"/>
  </si>
  <si>
    <t>（減価償却費）</t>
    <rPh sb="1" eb="3">
      <t>ゲンカ</t>
    </rPh>
    <rPh sb="3" eb="5">
      <t>ショウキャク</t>
    </rPh>
    <rPh sb="5" eb="6">
      <t>ヒ</t>
    </rPh>
    <phoneticPr fontId="3"/>
  </si>
  <si>
    <t>投資キャッシュフロー</t>
    <rPh sb="0" eb="2">
      <t>トウシ</t>
    </rPh>
    <phoneticPr fontId="3"/>
  </si>
  <si>
    <t>借入金増加（△減少）</t>
    <rPh sb="0" eb="2">
      <t>カリイレ</t>
    </rPh>
    <rPh sb="2" eb="3">
      <t>キン</t>
    </rPh>
    <rPh sb="3" eb="5">
      <t>ゾウカ</t>
    </rPh>
    <rPh sb="7" eb="9">
      <t>ゲンショウ</t>
    </rPh>
    <phoneticPr fontId="3"/>
  </si>
  <si>
    <t>増資</t>
    <rPh sb="0" eb="2">
      <t>ゾウシ</t>
    </rPh>
    <phoneticPr fontId="3"/>
  </si>
  <si>
    <t>財務キャッシュフロー</t>
    <rPh sb="0" eb="2">
      <t>ザイム</t>
    </rPh>
    <phoneticPr fontId="3"/>
  </si>
  <si>
    <t>キャッシュ期首残高</t>
    <rPh sb="5" eb="7">
      <t>キシュ</t>
    </rPh>
    <rPh sb="7" eb="9">
      <t>ザンダカ</t>
    </rPh>
    <phoneticPr fontId="3"/>
  </si>
  <si>
    <t>端数調整</t>
    <rPh sb="0" eb="2">
      <t>ハスウ</t>
    </rPh>
    <rPh sb="2" eb="4">
      <t>チョウセイ</t>
    </rPh>
    <phoneticPr fontId="3"/>
  </si>
  <si>
    <t>キャッシュ期末残高</t>
    <rPh sb="5" eb="7">
      <t>キマツ</t>
    </rPh>
    <rPh sb="7" eb="9">
      <t>ザンダカ</t>
    </rPh>
    <phoneticPr fontId="3"/>
  </si>
  <si>
    <t>キャッシュ増減額</t>
    <rPh sb="5" eb="8">
      <t>ゾウゲンガク</t>
    </rPh>
    <phoneticPr fontId="3"/>
  </si>
  <si>
    <t>ＲＯＡ（総資産利益率）</t>
    <rPh sb="4" eb="7">
      <t>ソウシサン</t>
    </rPh>
    <rPh sb="7" eb="9">
      <t>リエキ</t>
    </rPh>
    <rPh sb="9" eb="10">
      <t>リツ</t>
    </rPh>
    <phoneticPr fontId="3"/>
  </si>
  <si>
    <t>借入金（社債含む）</t>
    <rPh sb="0" eb="2">
      <t>カリイレ</t>
    </rPh>
    <rPh sb="2" eb="3">
      <t>キン</t>
    </rPh>
    <rPh sb="4" eb="6">
      <t>シャサイ</t>
    </rPh>
    <rPh sb="6" eb="7">
      <t>フク</t>
    </rPh>
    <phoneticPr fontId="3"/>
  </si>
  <si>
    <t>仕入高、材料費、外注費</t>
    <rPh sb="0" eb="2">
      <t>シイレ</t>
    </rPh>
    <rPh sb="2" eb="3">
      <t>ダカ</t>
    </rPh>
    <rPh sb="4" eb="7">
      <t>ザイリョウヒ</t>
    </rPh>
    <rPh sb="8" eb="10">
      <t>ガイチュウ</t>
    </rPh>
    <rPh sb="10" eb="11">
      <t>ヒ</t>
    </rPh>
    <phoneticPr fontId="3"/>
  </si>
  <si>
    <t>人件費、労務費</t>
    <rPh sb="0" eb="3">
      <t>ジンケンヒ</t>
    </rPh>
    <rPh sb="4" eb="6">
      <t>ロウム</t>
    </rPh>
    <rPh sb="6" eb="7">
      <t>ヒ</t>
    </rPh>
    <phoneticPr fontId="3"/>
  </si>
  <si>
    <t>製造経費</t>
    <rPh sb="0" eb="2">
      <t>セイゾウ</t>
    </rPh>
    <rPh sb="2" eb="4">
      <t>ケイヒ</t>
    </rPh>
    <phoneticPr fontId="3"/>
  </si>
  <si>
    <t>販売管理費</t>
    <rPh sb="0" eb="2">
      <t>ハンバイ</t>
    </rPh>
    <rPh sb="2" eb="5">
      <t>カンリヒ</t>
    </rPh>
    <phoneticPr fontId="3"/>
  </si>
  <si>
    <t>借入金依存度</t>
    <rPh sb="0" eb="2">
      <t>カリイレ</t>
    </rPh>
    <rPh sb="2" eb="3">
      <t>キン</t>
    </rPh>
    <rPh sb="3" eb="6">
      <t>イゾンド</t>
    </rPh>
    <phoneticPr fontId="3"/>
  </si>
  <si>
    <t>従業員一人当たり売上高</t>
    <rPh sb="0" eb="3">
      <t>ジュウギョウイン</t>
    </rPh>
    <rPh sb="3" eb="5">
      <t>ヒトリ</t>
    </rPh>
    <rPh sb="5" eb="6">
      <t>ア</t>
    </rPh>
    <rPh sb="8" eb="10">
      <t>ウリアゲ</t>
    </rPh>
    <rPh sb="10" eb="11">
      <t>ダカ</t>
    </rPh>
    <phoneticPr fontId="3"/>
  </si>
  <si>
    <t>労働分配率</t>
    <rPh sb="0" eb="2">
      <t>ロウドウ</t>
    </rPh>
    <rPh sb="2" eb="4">
      <t>ブンパイ</t>
    </rPh>
    <rPh sb="4" eb="5">
      <t>リツ</t>
    </rPh>
    <phoneticPr fontId="3"/>
  </si>
  <si>
    <t>（％）</t>
    <phoneticPr fontId="3"/>
  </si>
  <si>
    <t>（％）</t>
    <phoneticPr fontId="3"/>
  </si>
  <si>
    <t>（％）</t>
    <phoneticPr fontId="3"/>
  </si>
  <si>
    <t>（％）</t>
    <phoneticPr fontId="3"/>
  </si>
  <si>
    <t>＜総合評価＞</t>
    <rPh sb="1" eb="3">
      <t>ソウゴウ</t>
    </rPh>
    <rPh sb="3" eb="5">
      <t>ヒョウカ</t>
    </rPh>
    <phoneticPr fontId="3"/>
  </si>
  <si>
    <t>フリーキャッシュフロー</t>
    <phoneticPr fontId="3"/>
  </si>
  <si>
    <t>Ｈ２１年</t>
    <rPh sb="3" eb="4">
      <t>ネン</t>
    </rPh>
    <phoneticPr fontId="3"/>
  </si>
  <si>
    <t>Ｈ21年</t>
    <rPh sb="3" eb="4">
      <t>ネン</t>
    </rPh>
    <phoneticPr fontId="3"/>
  </si>
  <si>
    <t>　</t>
    <phoneticPr fontId="4"/>
  </si>
  <si>
    <t>株式譲渡制限を定めている株式会社数（社）</t>
    <phoneticPr fontId="4"/>
  </si>
  <si>
    <t>建物・構築物・建物附属設備</t>
    <phoneticPr fontId="4"/>
  </si>
  <si>
    <t>その他の有形固定資産</t>
    <phoneticPr fontId="4"/>
  </si>
  <si>
    <t>減価償却累計額</t>
    <phoneticPr fontId="4"/>
  </si>
  <si>
    <t>純資産</t>
    <phoneticPr fontId="4"/>
  </si>
  <si>
    <t>株主資本</t>
    <rPh sb="0" eb="2">
      <t>カブヌシ</t>
    </rPh>
    <rPh sb="2" eb="4">
      <t>シホン</t>
    </rPh>
    <phoneticPr fontId="3"/>
  </si>
  <si>
    <t>自己株式</t>
  </si>
  <si>
    <t>外注費</t>
    <rPh sb="0" eb="2">
      <t>ガイチュウ</t>
    </rPh>
    <rPh sb="2" eb="3">
      <t>ヒ</t>
    </rPh>
    <phoneticPr fontId="3"/>
  </si>
  <si>
    <t>固定経費（設備関連）</t>
    <rPh sb="0" eb="2">
      <t>コテイ</t>
    </rPh>
    <rPh sb="2" eb="4">
      <t>ケイヒ</t>
    </rPh>
    <rPh sb="5" eb="7">
      <t>セツビ</t>
    </rPh>
    <rPh sb="7" eb="9">
      <t>カンレン</t>
    </rPh>
    <phoneticPr fontId="3"/>
  </si>
  <si>
    <t>調整可能経費（業務活動）</t>
    <rPh sb="0" eb="2">
      <t>チョウセイ</t>
    </rPh>
    <rPh sb="2" eb="4">
      <t>カノウ</t>
    </rPh>
    <rPh sb="4" eb="6">
      <t>ケイヒ</t>
    </rPh>
    <rPh sb="7" eb="9">
      <t>ギョウム</t>
    </rPh>
    <rPh sb="9" eb="11">
      <t>カツドウ</t>
    </rPh>
    <phoneticPr fontId="3"/>
  </si>
  <si>
    <t>商品仕入、材料費</t>
    <rPh sb="0" eb="2">
      <t>ショウヒン</t>
    </rPh>
    <rPh sb="2" eb="4">
      <t>シイレ</t>
    </rPh>
    <rPh sb="5" eb="8">
      <t>ザイリョウヒ</t>
    </rPh>
    <phoneticPr fontId="3"/>
  </si>
  <si>
    <t>現預金</t>
    <rPh sb="0" eb="1">
      <t>ゲン</t>
    </rPh>
    <rPh sb="1" eb="3">
      <t>ヨキン</t>
    </rPh>
    <phoneticPr fontId="3"/>
  </si>
  <si>
    <t>資産運用（債権等）</t>
    <rPh sb="0" eb="2">
      <t>シサン</t>
    </rPh>
    <rPh sb="2" eb="4">
      <t>ウンヨウ</t>
    </rPh>
    <rPh sb="5" eb="7">
      <t>サイケン</t>
    </rPh>
    <rPh sb="7" eb="8">
      <t>トウ</t>
    </rPh>
    <phoneticPr fontId="3"/>
  </si>
  <si>
    <t>資産運用（在庫等）</t>
    <rPh sb="0" eb="2">
      <t>シサン</t>
    </rPh>
    <rPh sb="2" eb="4">
      <t>ウンヨウ</t>
    </rPh>
    <rPh sb="5" eb="7">
      <t>ザイコ</t>
    </rPh>
    <rPh sb="7" eb="8">
      <t>トウ</t>
    </rPh>
    <phoneticPr fontId="3"/>
  </si>
  <si>
    <t>資産運用（設備等）</t>
    <rPh sb="0" eb="2">
      <t>シサン</t>
    </rPh>
    <rPh sb="2" eb="4">
      <t>ウンヨウ</t>
    </rPh>
    <rPh sb="5" eb="7">
      <t>セツビ</t>
    </rPh>
    <rPh sb="7" eb="8">
      <t>トウ</t>
    </rPh>
    <phoneticPr fontId="3"/>
  </si>
  <si>
    <t>資産運用（投資等）</t>
    <rPh sb="0" eb="2">
      <t>シサン</t>
    </rPh>
    <rPh sb="2" eb="4">
      <t>ウンヨウ</t>
    </rPh>
    <rPh sb="5" eb="7">
      <t>トウシ</t>
    </rPh>
    <rPh sb="7" eb="8">
      <t>トウ</t>
    </rPh>
    <phoneticPr fontId="3"/>
  </si>
  <si>
    <t>他人資本（債務/引当）</t>
    <rPh sb="0" eb="2">
      <t>タニン</t>
    </rPh>
    <rPh sb="2" eb="4">
      <t>シホン</t>
    </rPh>
    <rPh sb="5" eb="7">
      <t>サイム</t>
    </rPh>
    <rPh sb="8" eb="10">
      <t>ヒキアテ</t>
    </rPh>
    <phoneticPr fontId="3"/>
  </si>
  <si>
    <t>他人資本（借入等）</t>
    <rPh sb="0" eb="2">
      <t>タニン</t>
    </rPh>
    <rPh sb="2" eb="4">
      <t>シホン</t>
    </rPh>
    <rPh sb="5" eb="7">
      <t>カリイレ</t>
    </rPh>
    <rPh sb="7" eb="8">
      <t>トウ</t>
    </rPh>
    <phoneticPr fontId="3"/>
  </si>
  <si>
    <t>自己資本（資本金）</t>
    <rPh sb="0" eb="2">
      <t>ジコ</t>
    </rPh>
    <rPh sb="2" eb="4">
      <t>シホン</t>
    </rPh>
    <rPh sb="5" eb="8">
      <t>シホンキン</t>
    </rPh>
    <phoneticPr fontId="3"/>
  </si>
  <si>
    <t>自己資本（剰余金）</t>
    <rPh sb="0" eb="2">
      <t>ジコ</t>
    </rPh>
    <rPh sb="2" eb="4">
      <t>シホン</t>
    </rPh>
    <rPh sb="5" eb="8">
      <t>ジョウヨキン</t>
    </rPh>
    <phoneticPr fontId="3"/>
  </si>
  <si>
    <t>売上高対加工高比率</t>
    <rPh sb="0" eb="2">
      <t>ウリアゲ</t>
    </rPh>
    <rPh sb="2" eb="3">
      <t>ダカ</t>
    </rPh>
    <rPh sb="3" eb="4">
      <t>タイ</t>
    </rPh>
    <rPh sb="4" eb="6">
      <t>カコウ</t>
    </rPh>
    <rPh sb="6" eb="7">
      <t>ダカ</t>
    </rPh>
    <rPh sb="7" eb="9">
      <t>ヒリツ</t>
    </rPh>
    <phoneticPr fontId="3"/>
  </si>
  <si>
    <t>付加価値生産性</t>
    <rPh sb="0" eb="2">
      <t>フカ</t>
    </rPh>
    <rPh sb="2" eb="4">
      <t>カチ</t>
    </rPh>
    <rPh sb="4" eb="7">
      <t>セイサンセイ</t>
    </rPh>
    <phoneticPr fontId="3"/>
  </si>
  <si>
    <t>（百分比）</t>
    <rPh sb="1" eb="2">
      <t>ヒャク</t>
    </rPh>
    <rPh sb="2" eb="3">
      <t>ブ</t>
    </rPh>
    <rPh sb="3" eb="4">
      <t>ヒ</t>
    </rPh>
    <phoneticPr fontId="3"/>
  </si>
  <si>
    <t>総合評価＿２</t>
    <rPh sb="0" eb="4">
      <t>ソウゴウヒョウカ</t>
    </rPh>
    <phoneticPr fontId="3"/>
  </si>
  <si>
    <t>比率分析表</t>
    <rPh sb="0" eb="2">
      <t>ヒリツ</t>
    </rPh>
    <rPh sb="2" eb="4">
      <t>ブンセキ</t>
    </rPh>
    <rPh sb="4" eb="5">
      <t>ヒョウ</t>
    </rPh>
    <phoneticPr fontId="3"/>
  </si>
  <si>
    <t>流動資産　計</t>
    <rPh sb="0" eb="2">
      <t>リュウドウ</t>
    </rPh>
    <rPh sb="2" eb="4">
      <t>シサン</t>
    </rPh>
    <rPh sb="5" eb="6">
      <t>ケイ</t>
    </rPh>
    <phoneticPr fontId="3"/>
  </si>
  <si>
    <t>固定資産　計</t>
    <rPh sb="0" eb="2">
      <t>コテイ</t>
    </rPh>
    <rPh sb="2" eb="4">
      <t>シサン</t>
    </rPh>
    <rPh sb="5" eb="6">
      <t>ケイ</t>
    </rPh>
    <phoneticPr fontId="3"/>
  </si>
  <si>
    <t>資産　計</t>
    <rPh sb="0" eb="2">
      <t>シサン</t>
    </rPh>
    <rPh sb="3" eb="4">
      <t>ケイ</t>
    </rPh>
    <phoneticPr fontId="3"/>
  </si>
  <si>
    <t>流動負債　計</t>
    <rPh sb="0" eb="2">
      <t>リュウドウ</t>
    </rPh>
    <rPh sb="2" eb="4">
      <t>フサイ</t>
    </rPh>
    <rPh sb="5" eb="6">
      <t>ケイ</t>
    </rPh>
    <phoneticPr fontId="3"/>
  </si>
  <si>
    <t>固定負債　計</t>
    <rPh sb="0" eb="2">
      <t>コテイ</t>
    </rPh>
    <rPh sb="2" eb="4">
      <t>フサイ</t>
    </rPh>
    <rPh sb="5" eb="6">
      <t>ケイ</t>
    </rPh>
    <phoneticPr fontId="3"/>
  </si>
  <si>
    <t>純資産　計</t>
    <rPh sb="0" eb="3">
      <t>ジュンシサン</t>
    </rPh>
    <rPh sb="4" eb="5">
      <t>ケイ</t>
    </rPh>
    <phoneticPr fontId="3"/>
  </si>
  <si>
    <t>売上総利益</t>
    <rPh sb="0" eb="2">
      <t>ウリアゲ</t>
    </rPh>
    <rPh sb="2" eb="5">
      <t>ソウリエキ</t>
    </rPh>
    <phoneticPr fontId="3"/>
  </si>
  <si>
    <t>税引前当期純利益</t>
    <rPh sb="0" eb="2">
      <t>ゼイビキ</t>
    </rPh>
    <rPh sb="2" eb="3">
      <t>マエ</t>
    </rPh>
    <rPh sb="3" eb="5">
      <t>トウキ</t>
    </rPh>
    <rPh sb="5" eb="8">
      <t>ジュンリエキ</t>
    </rPh>
    <phoneticPr fontId="3"/>
  </si>
  <si>
    <t>税引後当期純利益</t>
    <rPh sb="0" eb="2">
      <t>ゼイビキ</t>
    </rPh>
    <rPh sb="2" eb="3">
      <t>ゴ</t>
    </rPh>
    <rPh sb="3" eb="5">
      <t>トウキ</t>
    </rPh>
    <rPh sb="5" eb="8">
      <t>ジュンリエキ</t>
    </rPh>
    <phoneticPr fontId="3"/>
  </si>
  <si>
    <t>実数分析</t>
    <rPh sb="0" eb="2">
      <t>ジッスウ</t>
    </rPh>
    <rPh sb="2" eb="4">
      <t>ブンセキ</t>
    </rPh>
    <phoneticPr fontId="3"/>
  </si>
  <si>
    <t>①総合収益性分析</t>
    <rPh sb="1" eb="3">
      <t>ソウゴウ</t>
    </rPh>
    <rPh sb="3" eb="6">
      <t>シュウエキセイ</t>
    </rPh>
    <rPh sb="6" eb="8">
      <t>ブンセキ</t>
    </rPh>
    <phoneticPr fontId="3"/>
  </si>
  <si>
    <t>Ｂ／Ｓ</t>
    <phoneticPr fontId="3"/>
  </si>
  <si>
    <t>Ｐ／L</t>
    <phoneticPr fontId="3"/>
  </si>
  <si>
    <t>1. 総資本営業利益率</t>
    <rPh sb="3" eb="6">
      <t>ソウシホン</t>
    </rPh>
    <rPh sb="6" eb="8">
      <t>エイギョウ</t>
    </rPh>
    <rPh sb="8" eb="10">
      <t>リエキ</t>
    </rPh>
    <rPh sb="10" eb="11">
      <t>リツ</t>
    </rPh>
    <phoneticPr fontId="3"/>
  </si>
  <si>
    <t>2. 総資本経常利益率</t>
    <rPh sb="3" eb="6">
      <t>ソウシホン</t>
    </rPh>
    <rPh sb="6" eb="8">
      <t>ケイジョウ</t>
    </rPh>
    <rPh sb="8" eb="10">
      <t>リエキ</t>
    </rPh>
    <rPh sb="10" eb="11">
      <t>リツ</t>
    </rPh>
    <phoneticPr fontId="3"/>
  </si>
  <si>
    <t>3. 総資本当期純利益率（ＲＯＡ）</t>
    <rPh sb="3" eb="6">
      <t>ソウシホン</t>
    </rPh>
    <rPh sb="6" eb="8">
      <t>トウキ</t>
    </rPh>
    <rPh sb="8" eb="11">
      <t>ジュンリエキ</t>
    </rPh>
    <rPh sb="11" eb="12">
      <t>リツ</t>
    </rPh>
    <phoneticPr fontId="3"/>
  </si>
  <si>
    <t>4. 経営資本営業利益率</t>
    <rPh sb="3" eb="5">
      <t>ケイエイ</t>
    </rPh>
    <rPh sb="5" eb="7">
      <t>シホン</t>
    </rPh>
    <rPh sb="7" eb="9">
      <t>エイギョウ</t>
    </rPh>
    <rPh sb="9" eb="11">
      <t>リエキ</t>
    </rPh>
    <rPh sb="11" eb="12">
      <t>リツ</t>
    </rPh>
    <phoneticPr fontId="3"/>
  </si>
  <si>
    <t>5. 自己資本当期純利益率（ＲＯＥ）</t>
    <rPh sb="3" eb="5">
      <t>ジコ</t>
    </rPh>
    <rPh sb="5" eb="7">
      <t>シホン</t>
    </rPh>
    <rPh sb="7" eb="9">
      <t>トウキ</t>
    </rPh>
    <rPh sb="9" eb="12">
      <t>ジュンリエキ</t>
    </rPh>
    <rPh sb="12" eb="13">
      <t>リツ</t>
    </rPh>
    <phoneticPr fontId="3"/>
  </si>
  <si>
    <t>（%）</t>
    <phoneticPr fontId="3"/>
  </si>
  <si>
    <t>②売上高利益分析</t>
    <rPh sb="1" eb="3">
      <t>ウリアゲ</t>
    </rPh>
    <rPh sb="3" eb="4">
      <t>ダカ</t>
    </rPh>
    <rPh sb="4" eb="6">
      <t>リエキ</t>
    </rPh>
    <rPh sb="6" eb="8">
      <t>ブンセキ</t>
    </rPh>
    <phoneticPr fontId="3"/>
  </si>
  <si>
    <t>6. 売上高総利益率</t>
    <rPh sb="3" eb="5">
      <t>ウリアゲ</t>
    </rPh>
    <rPh sb="5" eb="6">
      <t>ダカ</t>
    </rPh>
    <rPh sb="6" eb="7">
      <t>ソウ</t>
    </rPh>
    <rPh sb="7" eb="9">
      <t>リエキ</t>
    </rPh>
    <rPh sb="9" eb="10">
      <t>リツ</t>
    </rPh>
    <phoneticPr fontId="3"/>
  </si>
  <si>
    <t>7. 売上高営業利益率</t>
    <rPh sb="3" eb="5">
      <t>ウリアゲ</t>
    </rPh>
    <rPh sb="5" eb="6">
      <t>ダカ</t>
    </rPh>
    <rPh sb="6" eb="8">
      <t>エイギョウ</t>
    </rPh>
    <rPh sb="8" eb="10">
      <t>リエキ</t>
    </rPh>
    <rPh sb="10" eb="11">
      <t>リツ</t>
    </rPh>
    <phoneticPr fontId="3"/>
  </si>
  <si>
    <t>8. 売上高経常利益率</t>
    <rPh sb="3" eb="5">
      <t>ウリアゲ</t>
    </rPh>
    <rPh sb="5" eb="6">
      <t>ダカ</t>
    </rPh>
    <rPh sb="6" eb="8">
      <t>ケイジョウ</t>
    </rPh>
    <rPh sb="8" eb="10">
      <t>リエキ</t>
    </rPh>
    <rPh sb="10" eb="11">
      <t>リツ</t>
    </rPh>
    <phoneticPr fontId="3"/>
  </si>
  <si>
    <t>9. 売上高当期純利益率</t>
    <rPh sb="3" eb="5">
      <t>ウリアゲ</t>
    </rPh>
    <rPh sb="5" eb="6">
      <t>ダカ</t>
    </rPh>
    <rPh sb="6" eb="8">
      <t>トウキ</t>
    </rPh>
    <rPh sb="8" eb="11">
      <t>ジュンリエキ</t>
    </rPh>
    <rPh sb="11" eb="12">
      <t>リツ</t>
    </rPh>
    <phoneticPr fontId="3"/>
  </si>
  <si>
    <t>10. 売上高対労務費比率</t>
    <rPh sb="4" eb="6">
      <t>ウリアゲ</t>
    </rPh>
    <rPh sb="6" eb="7">
      <t>ダカ</t>
    </rPh>
    <rPh sb="7" eb="8">
      <t>タイ</t>
    </rPh>
    <rPh sb="8" eb="10">
      <t>ロウム</t>
    </rPh>
    <rPh sb="10" eb="11">
      <t>ヒ</t>
    </rPh>
    <rPh sb="11" eb="13">
      <t>ヒリツ</t>
    </rPh>
    <phoneticPr fontId="3"/>
  </si>
  <si>
    <t>11. 売上高対販売費・管理費比率</t>
    <rPh sb="4" eb="6">
      <t>ウリアゲ</t>
    </rPh>
    <rPh sb="6" eb="7">
      <t>ダカ</t>
    </rPh>
    <rPh sb="7" eb="8">
      <t>タイ</t>
    </rPh>
    <rPh sb="8" eb="10">
      <t>ハンバイ</t>
    </rPh>
    <rPh sb="10" eb="11">
      <t>ヒ</t>
    </rPh>
    <rPh sb="12" eb="15">
      <t>カンリヒ</t>
    </rPh>
    <rPh sb="15" eb="17">
      <t>ヒリツ</t>
    </rPh>
    <phoneticPr fontId="3"/>
  </si>
  <si>
    <t>12. 売上高対人件費比率</t>
    <rPh sb="4" eb="6">
      <t>ウリアゲ</t>
    </rPh>
    <rPh sb="6" eb="7">
      <t>ダカ</t>
    </rPh>
    <rPh sb="7" eb="8">
      <t>タイ</t>
    </rPh>
    <rPh sb="8" eb="11">
      <t>ジンケンヒ</t>
    </rPh>
    <rPh sb="11" eb="13">
      <t>ヒリツ</t>
    </rPh>
    <phoneticPr fontId="3"/>
  </si>
  <si>
    <t>③回転率・回転期間分析</t>
    <rPh sb="1" eb="3">
      <t>カイテン</t>
    </rPh>
    <rPh sb="3" eb="4">
      <t>リツ</t>
    </rPh>
    <rPh sb="5" eb="7">
      <t>カイテン</t>
    </rPh>
    <rPh sb="7" eb="9">
      <t>キカン</t>
    </rPh>
    <rPh sb="9" eb="11">
      <t>ブンセキ</t>
    </rPh>
    <phoneticPr fontId="3"/>
  </si>
  <si>
    <t>13. 総資本回転率</t>
    <rPh sb="4" eb="7">
      <t>ソウシホン</t>
    </rPh>
    <rPh sb="7" eb="9">
      <t>カイテン</t>
    </rPh>
    <rPh sb="9" eb="10">
      <t>リツ</t>
    </rPh>
    <phoneticPr fontId="3"/>
  </si>
  <si>
    <t>14. 固定資産回転率</t>
    <rPh sb="4" eb="6">
      <t>コテイ</t>
    </rPh>
    <rPh sb="6" eb="8">
      <t>シサン</t>
    </rPh>
    <rPh sb="8" eb="10">
      <t>カイテン</t>
    </rPh>
    <rPh sb="10" eb="11">
      <t>リツ</t>
    </rPh>
    <phoneticPr fontId="3"/>
  </si>
  <si>
    <t>15. 有形固定資産回転率</t>
    <rPh sb="4" eb="6">
      <t>ユウケイ</t>
    </rPh>
    <rPh sb="6" eb="8">
      <t>コテイ</t>
    </rPh>
    <rPh sb="8" eb="10">
      <t>シサン</t>
    </rPh>
    <rPh sb="10" eb="12">
      <t>カイテン</t>
    </rPh>
    <rPh sb="12" eb="13">
      <t>リツ</t>
    </rPh>
    <phoneticPr fontId="3"/>
  </si>
  <si>
    <t>16. 売上債権回転期間Ａ</t>
    <rPh sb="4" eb="6">
      <t>ウリアゲ</t>
    </rPh>
    <rPh sb="6" eb="8">
      <t>サイケン</t>
    </rPh>
    <rPh sb="8" eb="10">
      <t>カイテン</t>
    </rPh>
    <rPh sb="10" eb="12">
      <t>キカン</t>
    </rPh>
    <phoneticPr fontId="3"/>
  </si>
  <si>
    <t>17. 売上債権回転期間Ｂ</t>
    <rPh sb="4" eb="6">
      <t>ウリアゲ</t>
    </rPh>
    <rPh sb="6" eb="8">
      <t>サイケン</t>
    </rPh>
    <rPh sb="8" eb="10">
      <t>カイテン</t>
    </rPh>
    <rPh sb="10" eb="12">
      <t>キカン</t>
    </rPh>
    <phoneticPr fontId="3"/>
  </si>
  <si>
    <t>18. 受取手形回転期間Ａ</t>
    <rPh sb="4" eb="6">
      <t>ウケトリ</t>
    </rPh>
    <rPh sb="6" eb="8">
      <t>テガタ</t>
    </rPh>
    <rPh sb="8" eb="10">
      <t>カイテン</t>
    </rPh>
    <rPh sb="10" eb="12">
      <t>キカン</t>
    </rPh>
    <phoneticPr fontId="3"/>
  </si>
  <si>
    <t>19. 受取手形回転期間Ｂ</t>
    <rPh sb="4" eb="6">
      <t>ウケトリ</t>
    </rPh>
    <rPh sb="6" eb="8">
      <t>テガタ</t>
    </rPh>
    <rPh sb="8" eb="10">
      <t>カイテン</t>
    </rPh>
    <rPh sb="10" eb="12">
      <t>キカン</t>
    </rPh>
    <phoneticPr fontId="3"/>
  </si>
  <si>
    <t>20. 売掛金回転期間</t>
    <rPh sb="4" eb="6">
      <t>ウリカケ</t>
    </rPh>
    <rPh sb="6" eb="7">
      <t>キン</t>
    </rPh>
    <rPh sb="7" eb="9">
      <t>カイテン</t>
    </rPh>
    <rPh sb="9" eb="11">
      <t>キカン</t>
    </rPh>
    <phoneticPr fontId="3"/>
  </si>
  <si>
    <t>21. 棚卸資産回転期間</t>
    <rPh sb="4" eb="6">
      <t>タナオロシ</t>
    </rPh>
    <rPh sb="6" eb="8">
      <t>シサン</t>
    </rPh>
    <rPh sb="8" eb="10">
      <t>カイテン</t>
    </rPh>
    <rPh sb="10" eb="12">
      <t>キカン</t>
    </rPh>
    <phoneticPr fontId="3"/>
  </si>
  <si>
    <t>22. 製品（商品）回転期間</t>
    <rPh sb="4" eb="6">
      <t>セイヒン</t>
    </rPh>
    <rPh sb="7" eb="9">
      <t>ショウヒン</t>
    </rPh>
    <rPh sb="10" eb="12">
      <t>カイテン</t>
    </rPh>
    <rPh sb="12" eb="14">
      <t>キカン</t>
    </rPh>
    <phoneticPr fontId="3"/>
  </si>
  <si>
    <t>23. 原材料回転期間</t>
    <rPh sb="4" eb="7">
      <t>ゲンザイリョウ</t>
    </rPh>
    <rPh sb="7" eb="9">
      <t>カイテン</t>
    </rPh>
    <rPh sb="9" eb="11">
      <t>キカン</t>
    </rPh>
    <phoneticPr fontId="3"/>
  </si>
  <si>
    <t>24. 仕掛品回転期間</t>
    <rPh sb="4" eb="6">
      <t>シカカリ</t>
    </rPh>
    <rPh sb="6" eb="7">
      <t>ヒン</t>
    </rPh>
    <rPh sb="7" eb="9">
      <t>カイテン</t>
    </rPh>
    <rPh sb="9" eb="11">
      <t>キカン</t>
    </rPh>
    <phoneticPr fontId="3"/>
  </si>
  <si>
    <t>25. 買入債務回転期間</t>
    <rPh sb="4" eb="6">
      <t>カイイレ</t>
    </rPh>
    <rPh sb="6" eb="8">
      <t>サイム</t>
    </rPh>
    <rPh sb="8" eb="10">
      <t>カイテン</t>
    </rPh>
    <rPh sb="10" eb="12">
      <t>キカン</t>
    </rPh>
    <phoneticPr fontId="3"/>
  </si>
  <si>
    <t>26. 買掛金回転期間</t>
    <rPh sb="4" eb="7">
      <t>カイカケキン</t>
    </rPh>
    <rPh sb="7" eb="9">
      <t>カイテン</t>
    </rPh>
    <rPh sb="9" eb="11">
      <t>キカン</t>
    </rPh>
    <phoneticPr fontId="3"/>
  </si>
  <si>
    <t>27. 支払手形回転期間</t>
    <rPh sb="4" eb="6">
      <t>シハライ</t>
    </rPh>
    <rPh sb="6" eb="8">
      <t>テガタ</t>
    </rPh>
    <rPh sb="8" eb="10">
      <t>カイテン</t>
    </rPh>
    <rPh sb="10" eb="12">
      <t>キカン</t>
    </rPh>
    <phoneticPr fontId="3"/>
  </si>
  <si>
    <t>（日）</t>
    <rPh sb="1" eb="2">
      <t>ヒ</t>
    </rPh>
    <phoneticPr fontId="3"/>
  </si>
  <si>
    <t>④財務レバレッジ分析</t>
    <rPh sb="1" eb="3">
      <t>ザイム</t>
    </rPh>
    <rPh sb="8" eb="10">
      <t>ブンセキ</t>
    </rPh>
    <phoneticPr fontId="3"/>
  </si>
  <si>
    <t>28. 財務レバレッジ</t>
    <rPh sb="4" eb="6">
      <t>ザイム</t>
    </rPh>
    <phoneticPr fontId="3"/>
  </si>
  <si>
    <t>⑤短期支払能力分析</t>
    <rPh sb="1" eb="3">
      <t>タンキ</t>
    </rPh>
    <rPh sb="3" eb="5">
      <t>シハライ</t>
    </rPh>
    <rPh sb="5" eb="7">
      <t>ノウリョク</t>
    </rPh>
    <rPh sb="7" eb="9">
      <t>ブンセキ</t>
    </rPh>
    <phoneticPr fontId="3"/>
  </si>
  <si>
    <t>29. 流動比率</t>
    <rPh sb="4" eb="6">
      <t>リュウドウ</t>
    </rPh>
    <rPh sb="6" eb="8">
      <t>ヒリツ</t>
    </rPh>
    <phoneticPr fontId="3"/>
  </si>
  <si>
    <t>30. 当座比率</t>
    <rPh sb="4" eb="6">
      <t>トウザ</t>
    </rPh>
    <rPh sb="6" eb="8">
      <t>ヒリツ</t>
    </rPh>
    <phoneticPr fontId="3"/>
  </si>
  <si>
    <t>⑥資本の安定性分析</t>
    <rPh sb="1" eb="3">
      <t>シホン</t>
    </rPh>
    <rPh sb="4" eb="7">
      <t>アンテイセイ</t>
    </rPh>
    <rPh sb="7" eb="9">
      <t>ブンセキ</t>
    </rPh>
    <phoneticPr fontId="3"/>
  </si>
  <si>
    <t>31. 自己資本比率</t>
    <rPh sb="4" eb="6">
      <t>ジコ</t>
    </rPh>
    <rPh sb="6" eb="8">
      <t>シホン</t>
    </rPh>
    <rPh sb="8" eb="10">
      <t>ヒリツ</t>
    </rPh>
    <phoneticPr fontId="3"/>
  </si>
  <si>
    <t>32. 負債比率</t>
    <rPh sb="4" eb="6">
      <t>フサイ</t>
    </rPh>
    <rPh sb="6" eb="8">
      <t>ヒリツ</t>
    </rPh>
    <phoneticPr fontId="3"/>
  </si>
  <si>
    <t>⑦調達と運用の適合性分析</t>
    <rPh sb="1" eb="3">
      <t>チョウタツ</t>
    </rPh>
    <rPh sb="4" eb="6">
      <t>ウンヨウ</t>
    </rPh>
    <rPh sb="7" eb="10">
      <t>テキゴウセイ</t>
    </rPh>
    <rPh sb="10" eb="12">
      <t>ブンセキ</t>
    </rPh>
    <phoneticPr fontId="3"/>
  </si>
  <si>
    <t>33. 固定長期適合率</t>
    <rPh sb="4" eb="6">
      <t>コテイ</t>
    </rPh>
    <rPh sb="6" eb="8">
      <t>チョウキ</t>
    </rPh>
    <rPh sb="8" eb="10">
      <t>テキゴウ</t>
    </rPh>
    <rPh sb="10" eb="11">
      <t>リツ</t>
    </rPh>
    <phoneticPr fontId="3"/>
  </si>
  <si>
    <t>34. 固定比率</t>
    <rPh sb="4" eb="6">
      <t>コテイ</t>
    </rPh>
    <rPh sb="6" eb="8">
      <t>ヒリツ</t>
    </rPh>
    <phoneticPr fontId="3"/>
  </si>
  <si>
    <t>（倍）</t>
    <rPh sb="1" eb="2">
      <t>バイ</t>
    </rPh>
    <phoneticPr fontId="3"/>
  </si>
  <si>
    <t>⑧キャッシュフロー分析</t>
    <rPh sb="9" eb="11">
      <t>ブンセキ</t>
    </rPh>
    <phoneticPr fontId="3"/>
  </si>
  <si>
    <t>35. ＣＦインタレストガバレッジレシオ</t>
    <phoneticPr fontId="3"/>
  </si>
  <si>
    <t>36. 営業ＣＦ対有利子負債比率</t>
    <rPh sb="4" eb="6">
      <t>エイギョウ</t>
    </rPh>
    <rPh sb="8" eb="9">
      <t>タイ</t>
    </rPh>
    <rPh sb="9" eb="12">
      <t>ユウリシ</t>
    </rPh>
    <rPh sb="12" eb="14">
      <t>フサイ</t>
    </rPh>
    <rPh sb="14" eb="16">
      <t>ヒリツ</t>
    </rPh>
    <phoneticPr fontId="3"/>
  </si>
  <si>
    <t>37. 営業ＣＦ対投資ＣＦ比率</t>
    <rPh sb="4" eb="6">
      <t>エイギョウ</t>
    </rPh>
    <rPh sb="8" eb="9">
      <t>タイ</t>
    </rPh>
    <rPh sb="9" eb="11">
      <t>トウシ</t>
    </rPh>
    <rPh sb="13" eb="15">
      <t>ヒリツ</t>
    </rPh>
    <phoneticPr fontId="3"/>
  </si>
  <si>
    <t>⑨付加価値分析</t>
    <rPh sb="1" eb="3">
      <t>フカ</t>
    </rPh>
    <rPh sb="3" eb="5">
      <t>カチ</t>
    </rPh>
    <rPh sb="5" eb="7">
      <t>ブンセキ</t>
    </rPh>
    <phoneticPr fontId="3"/>
  </si>
  <si>
    <t>38. 付加価値分析（売上高対加工高比率）</t>
    <rPh sb="4" eb="6">
      <t>フカ</t>
    </rPh>
    <rPh sb="6" eb="8">
      <t>カチ</t>
    </rPh>
    <rPh sb="8" eb="10">
      <t>ブンセキ</t>
    </rPh>
    <rPh sb="11" eb="13">
      <t>ウリアゲ</t>
    </rPh>
    <rPh sb="13" eb="14">
      <t>ダカ</t>
    </rPh>
    <rPh sb="14" eb="15">
      <t>タイ</t>
    </rPh>
    <rPh sb="15" eb="17">
      <t>カコウ</t>
    </rPh>
    <rPh sb="17" eb="18">
      <t>ダカ</t>
    </rPh>
    <rPh sb="18" eb="20">
      <t>ヒリツ</t>
    </rPh>
    <phoneticPr fontId="3"/>
  </si>
  <si>
    <t>39. 機械投資効率</t>
    <rPh sb="4" eb="6">
      <t>キカイ</t>
    </rPh>
    <rPh sb="6" eb="8">
      <t>トウシ</t>
    </rPh>
    <rPh sb="8" eb="10">
      <t>コウリツ</t>
    </rPh>
    <phoneticPr fontId="3"/>
  </si>
  <si>
    <t>⑩分配比率</t>
    <rPh sb="1" eb="3">
      <t>ブンパイ</t>
    </rPh>
    <rPh sb="3" eb="5">
      <t>ヒリツ</t>
    </rPh>
    <phoneticPr fontId="3"/>
  </si>
  <si>
    <t>40. 労働分配率(加工高対人件費比率）</t>
    <rPh sb="4" eb="6">
      <t>ロウドウ</t>
    </rPh>
    <rPh sb="6" eb="8">
      <t>ブンパイ</t>
    </rPh>
    <rPh sb="8" eb="9">
      <t>リツ</t>
    </rPh>
    <rPh sb="10" eb="12">
      <t>カコウ</t>
    </rPh>
    <rPh sb="12" eb="13">
      <t>ダカ</t>
    </rPh>
    <rPh sb="13" eb="14">
      <t>タイ</t>
    </rPh>
    <rPh sb="14" eb="17">
      <t>ジンケンヒ</t>
    </rPh>
    <rPh sb="17" eb="19">
      <t>ヒリツ</t>
    </rPh>
    <phoneticPr fontId="3"/>
  </si>
  <si>
    <t>⑪その他</t>
    <rPh sb="3" eb="4">
      <t>タ</t>
    </rPh>
    <phoneticPr fontId="3"/>
  </si>
  <si>
    <t>41. 借入依存度</t>
    <rPh sb="4" eb="6">
      <t>カリイレ</t>
    </rPh>
    <rPh sb="6" eb="9">
      <t>イゾンド</t>
    </rPh>
    <phoneticPr fontId="3"/>
  </si>
  <si>
    <t>42. 売上高対支払利息割引料比率</t>
    <rPh sb="4" eb="6">
      <t>ウリアゲ</t>
    </rPh>
    <rPh sb="6" eb="7">
      <t>ダカ</t>
    </rPh>
    <rPh sb="7" eb="8">
      <t>タイ</t>
    </rPh>
    <rPh sb="8" eb="10">
      <t>シハライ</t>
    </rPh>
    <rPh sb="10" eb="12">
      <t>リソク</t>
    </rPh>
    <rPh sb="12" eb="15">
      <t>ワリビキリョウ</t>
    </rPh>
    <rPh sb="15" eb="17">
      <t>ヒリツ</t>
    </rPh>
    <phoneticPr fontId="3"/>
  </si>
  <si>
    <t>比率分析</t>
    <rPh sb="0" eb="2">
      <t>ヒリツ</t>
    </rPh>
    <rPh sb="2" eb="4">
      <t>ブンセキ</t>
    </rPh>
    <phoneticPr fontId="3"/>
  </si>
  <si>
    <t>－</t>
    <phoneticPr fontId="3"/>
  </si>
  <si>
    <t>項目</t>
    <rPh sb="0" eb="2">
      <t>コウモク</t>
    </rPh>
    <phoneticPr fontId="3"/>
  </si>
  <si>
    <t>Ⅰ　営業活動によるキャッシュフロー概算額</t>
    <rPh sb="2" eb="4">
      <t>エイギョウ</t>
    </rPh>
    <rPh sb="4" eb="6">
      <t>カツドウ</t>
    </rPh>
    <rPh sb="17" eb="19">
      <t>ガイサン</t>
    </rPh>
    <rPh sb="19" eb="20">
      <t>ガク</t>
    </rPh>
    <phoneticPr fontId="3"/>
  </si>
  <si>
    <t>式</t>
    <rPh sb="0" eb="1">
      <t>シキ</t>
    </rPh>
    <phoneticPr fontId="3"/>
  </si>
  <si>
    <t>減価償却実施額</t>
    <rPh sb="0" eb="2">
      <t>ゲンカ</t>
    </rPh>
    <rPh sb="2" eb="4">
      <t>ショウキャク</t>
    </rPh>
    <rPh sb="4" eb="6">
      <t>ジッシ</t>
    </rPh>
    <rPh sb="6" eb="7">
      <t>ガク</t>
    </rPh>
    <phoneticPr fontId="3"/>
  </si>
  <si>
    <t>その他の営業外収益</t>
    <rPh sb="2" eb="3">
      <t>タ</t>
    </rPh>
    <rPh sb="4" eb="7">
      <t>エイギョウガイ</t>
    </rPh>
    <rPh sb="7" eb="9">
      <t>シュウエキ</t>
    </rPh>
    <phoneticPr fontId="3"/>
  </si>
  <si>
    <t>その他の営業外費用</t>
    <rPh sb="2" eb="3">
      <t>タ</t>
    </rPh>
    <rPh sb="4" eb="7">
      <t>エイギョウガイ</t>
    </rPh>
    <rPh sb="7" eb="9">
      <t>ヒヨウ</t>
    </rPh>
    <phoneticPr fontId="3"/>
  </si>
  <si>
    <t>（特別損失－特別利益）</t>
    <rPh sb="1" eb="3">
      <t>トクベツ</t>
    </rPh>
    <rPh sb="3" eb="5">
      <t>ソンシツ</t>
    </rPh>
    <rPh sb="6" eb="8">
      <t>トクベツ</t>
    </rPh>
    <rPh sb="8" eb="10">
      <t>リエキ</t>
    </rPh>
    <phoneticPr fontId="3"/>
  </si>
  <si>
    <t>（受取手形＋売掛金）</t>
    <rPh sb="1" eb="3">
      <t>ウケトリ</t>
    </rPh>
    <rPh sb="3" eb="5">
      <t>テガタ</t>
    </rPh>
    <rPh sb="6" eb="8">
      <t>ウリカケ</t>
    </rPh>
    <rPh sb="8" eb="9">
      <t>キン</t>
    </rPh>
    <phoneticPr fontId="3"/>
  </si>
  <si>
    <t>＋</t>
    <phoneticPr fontId="3"/>
  </si>
  <si>
    <t>（前期受取手形＋前期売掛金）</t>
    <rPh sb="1" eb="3">
      <t>ゼンキ</t>
    </rPh>
    <rPh sb="3" eb="5">
      <t>ウケトリ</t>
    </rPh>
    <rPh sb="5" eb="7">
      <t>テガタ</t>
    </rPh>
    <rPh sb="8" eb="10">
      <t>ゼンキ</t>
    </rPh>
    <rPh sb="10" eb="12">
      <t>ウリカケ</t>
    </rPh>
    <rPh sb="12" eb="13">
      <t>キン</t>
    </rPh>
    <phoneticPr fontId="3"/>
  </si>
  <si>
    <t>（棚卸資産－前期棚卸資産）</t>
    <rPh sb="1" eb="3">
      <t>タナオロシ</t>
    </rPh>
    <rPh sb="3" eb="5">
      <t>シサン</t>
    </rPh>
    <rPh sb="6" eb="8">
      <t>ゼンキ</t>
    </rPh>
    <rPh sb="8" eb="10">
      <t>タナオロシ</t>
    </rPh>
    <rPh sb="10" eb="12">
      <t>シサン</t>
    </rPh>
    <phoneticPr fontId="3"/>
  </si>
  <si>
    <t>その他の流動資産</t>
    <rPh sb="2" eb="3">
      <t>タ</t>
    </rPh>
    <rPh sb="4" eb="6">
      <t>リュウドウ</t>
    </rPh>
    <rPh sb="6" eb="8">
      <t>シサン</t>
    </rPh>
    <phoneticPr fontId="3"/>
  </si>
  <si>
    <t>繰延資産</t>
    <rPh sb="0" eb="2">
      <t>クリノベ</t>
    </rPh>
    <rPh sb="2" eb="4">
      <t>シサン</t>
    </rPh>
    <phoneticPr fontId="3"/>
  </si>
  <si>
    <t>前期その他の流動資産</t>
    <rPh sb="0" eb="2">
      <t>ゼンキ</t>
    </rPh>
    <rPh sb="4" eb="5">
      <t>タ</t>
    </rPh>
    <rPh sb="6" eb="8">
      <t>リュウドウ</t>
    </rPh>
    <rPh sb="8" eb="10">
      <t>シサン</t>
    </rPh>
    <phoneticPr fontId="3"/>
  </si>
  <si>
    <t>前期繰延資産</t>
    <rPh sb="0" eb="2">
      <t>ゼンキ</t>
    </rPh>
    <rPh sb="2" eb="4">
      <t>クリノベ</t>
    </rPh>
    <rPh sb="4" eb="6">
      <t>シサン</t>
    </rPh>
    <phoneticPr fontId="3"/>
  </si>
  <si>
    <t>（支払手形＋買掛金）</t>
    <rPh sb="1" eb="3">
      <t>シハライ</t>
    </rPh>
    <rPh sb="3" eb="5">
      <t>テガタ</t>
    </rPh>
    <rPh sb="6" eb="9">
      <t>カイカケキン</t>
    </rPh>
    <phoneticPr fontId="3"/>
  </si>
  <si>
    <t>（前期支払手形＋前期買掛金）</t>
    <rPh sb="1" eb="3">
      <t>ゼンキ</t>
    </rPh>
    <rPh sb="3" eb="5">
      <t>シハライ</t>
    </rPh>
    <rPh sb="5" eb="7">
      <t>テガタ</t>
    </rPh>
    <rPh sb="8" eb="10">
      <t>ゼンキ</t>
    </rPh>
    <rPh sb="10" eb="13">
      <t>カイカケキン</t>
    </rPh>
    <phoneticPr fontId="3"/>
  </si>
  <si>
    <t>（その他の流動負債＋その他の負債＋引当金）</t>
    <rPh sb="3" eb="4">
      <t>タ</t>
    </rPh>
    <rPh sb="5" eb="7">
      <t>リュウドウ</t>
    </rPh>
    <rPh sb="7" eb="9">
      <t>フサイ</t>
    </rPh>
    <rPh sb="12" eb="13">
      <t>タ</t>
    </rPh>
    <rPh sb="14" eb="16">
      <t>フサイ</t>
    </rPh>
    <rPh sb="17" eb="19">
      <t>ヒキアテ</t>
    </rPh>
    <rPh sb="19" eb="20">
      <t>キン</t>
    </rPh>
    <phoneticPr fontId="3"/>
  </si>
  <si>
    <t>（前期その他の流動負債＋前期その他の負債＋前期引当金）</t>
    <rPh sb="1" eb="3">
      <t>ゼンキ</t>
    </rPh>
    <rPh sb="5" eb="6">
      <t>タ</t>
    </rPh>
    <rPh sb="7" eb="9">
      <t>リュウドウ</t>
    </rPh>
    <rPh sb="9" eb="11">
      <t>フサイ</t>
    </rPh>
    <rPh sb="12" eb="14">
      <t>ゼンキ</t>
    </rPh>
    <rPh sb="16" eb="17">
      <t>タ</t>
    </rPh>
    <rPh sb="18" eb="20">
      <t>フサイ</t>
    </rPh>
    <rPh sb="21" eb="23">
      <t>ゼンキ</t>
    </rPh>
    <rPh sb="23" eb="25">
      <t>ヒキアテ</t>
    </rPh>
    <rPh sb="25" eb="26">
      <t>キン</t>
    </rPh>
    <phoneticPr fontId="3"/>
  </si>
  <si>
    <t>役員賞与</t>
    <rPh sb="0" eb="2">
      <t>ヤクイン</t>
    </rPh>
    <rPh sb="2" eb="4">
      <t>ショウヨ</t>
    </rPh>
    <phoneticPr fontId="3"/>
  </si>
  <si>
    <t>計</t>
    <rPh sb="0" eb="1">
      <t>ケイ</t>
    </rPh>
    <phoneticPr fontId="3"/>
  </si>
  <si>
    <t>Ⅱ　投資活動によるキャッシュフロー概算額</t>
    <rPh sb="2" eb="4">
      <t>トウシ</t>
    </rPh>
    <rPh sb="4" eb="6">
      <t>カツドウ</t>
    </rPh>
    <rPh sb="17" eb="19">
      <t>ガイサン</t>
    </rPh>
    <rPh sb="19" eb="20">
      <t>ガク</t>
    </rPh>
    <phoneticPr fontId="3"/>
  </si>
  <si>
    <t>（営業キャッシュフロー概算額＋財務キャッシュフロー概算額）</t>
    <rPh sb="1" eb="3">
      <t>エイギョウ</t>
    </rPh>
    <rPh sb="11" eb="13">
      <t>ガイサン</t>
    </rPh>
    <rPh sb="13" eb="14">
      <t>ガク</t>
    </rPh>
    <rPh sb="15" eb="17">
      <t>ザイム</t>
    </rPh>
    <rPh sb="25" eb="27">
      <t>ガイサン</t>
    </rPh>
    <rPh sb="27" eb="28">
      <t>ガク</t>
    </rPh>
    <phoneticPr fontId="3"/>
  </si>
  <si>
    <t>Ⅲ　財務活動によるキャッシュフロー概算額</t>
    <rPh sb="2" eb="4">
      <t>ザイム</t>
    </rPh>
    <rPh sb="4" eb="6">
      <t>カツドウ</t>
    </rPh>
    <rPh sb="17" eb="19">
      <t>ガイサン</t>
    </rPh>
    <rPh sb="19" eb="20">
      <t>ガク</t>
    </rPh>
    <phoneticPr fontId="3"/>
  </si>
  <si>
    <t>（短期借入金－前期短期借入金）</t>
    <rPh sb="1" eb="3">
      <t>タンキ</t>
    </rPh>
    <rPh sb="3" eb="5">
      <t>カリイレ</t>
    </rPh>
    <rPh sb="5" eb="6">
      <t>キン</t>
    </rPh>
    <rPh sb="7" eb="9">
      <t>ゼンキ</t>
    </rPh>
    <rPh sb="9" eb="11">
      <t>タンキ</t>
    </rPh>
    <rPh sb="11" eb="13">
      <t>カリイレ</t>
    </rPh>
    <rPh sb="13" eb="14">
      <t>キン</t>
    </rPh>
    <phoneticPr fontId="3"/>
  </si>
  <si>
    <t>(社債・長期借入金－前期社債・長期借入金）</t>
    <rPh sb="1" eb="3">
      <t>シャサイ</t>
    </rPh>
    <rPh sb="4" eb="6">
      <t>チョウキ</t>
    </rPh>
    <rPh sb="6" eb="8">
      <t>カリイレ</t>
    </rPh>
    <rPh sb="8" eb="9">
      <t>キン</t>
    </rPh>
    <rPh sb="10" eb="12">
      <t>ゼンキ</t>
    </rPh>
    <rPh sb="12" eb="14">
      <t>シャサイ</t>
    </rPh>
    <rPh sb="15" eb="17">
      <t>チョウキ</t>
    </rPh>
    <rPh sb="17" eb="19">
      <t>カリイレ</t>
    </rPh>
    <rPh sb="19" eb="20">
      <t>キン</t>
    </rPh>
    <phoneticPr fontId="3"/>
  </si>
  <si>
    <t>（資本金＋資本準備金）</t>
    <rPh sb="1" eb="4">
      <t>シホンキン</t>
    </rPh>
    <rPh sb="5" eb="7">
      <t>シホン</t>
    </rPh>
    <rPh sb="7" eb="10">
      <t>ジュンビキン</t>
    </rPh>
    <phoneticPr fontId="3"/>
  </si>
  <si>
    <t>（前期資本金＋前期資本準備金）</t>
    <rPh sb="1" eb="3">
      <t>ゼンキ</t>
    </rPh>
    <rPh sb="3" eb="6">
      <t>シホンキン</t>
    </rPh>
    <rPh sb="7" eb="9">
      <t>ゼンキ</t>
    </rPh>
    <rPh sb="9" eb="11">
      <t>シホン</t>
    </rPh>
    <rPh sb="11" eb="14">
      <t>ジュンビキン</t>
    </rPh>
    <phoneticPr fontId="3"/>
  </si>
  <si>
    <t>株主配当金</t>
    <rPh sb="0" eb="2">
      <t>カブヌシ</t>
    </rPh>
    <rPh sb="2" eb="4">
      <t>ハイトウ</t>
    </rPh>
    <rPh sb="4" eb="5">
      <t>キン</t>
    </rPh>
    <phoneticPr fontId="3"/>
  </si>
  <si>
    <t>Ⅳ　ネットキャッシュフロー概算額</t>
    <rPh sb="13" eb="15">
      <t>ガイサン</t>
    </rPh>
    <rPh sb="15" eb="16">
      <t>ガク</t>
    </rPh>
    <phoneticPr fontId="3"/>
  </si>
  <si>
    <t>現金・預金</t>
    <rPh sb="0" eb="2">
      <t>ゲンキン</t>
    </rPh>
    <rPh sb="3" eb="5">
      <t>ヨキン</t>
    </rPh>
    <phoneticPr fontId="3"/>
  </si>
  <si>
    <t>前期現金・預金</t>
    <rPh sb="0" eb="2">
      <t>ゼンキ</t>
    </rPh>
    <rPh sb="2" eb="4">
      <t>ゲンキン</t>
    </rPh>
    <rPh sb="5" eb="7">
      <t>ヨキン</t>
    </rPh>
    <phoneticPr fontId="3"/>
  </si>
  <si>
    <t>Ⅴ　フリーキャッシュフロー概算額</t>
    <rPh sb="13" eb="15">
      <t>ガイサン</t>
    </rPh>
    <rPh sb="15" eb="16">
      <t>ガク</t>
    </rPh>
    <phoneticPr fontId="3"/>
  </si>
  <si>
    <t>営業キャッシュフロー概算額</t>
    <rPh sb="0" eb="2">
      <t>エイギョウ</t>
    </rPh>
    <rPh sb="10" eb="12">
      <t>ガイサン</t>
    </rPh>
    <rPh sb="12" eb="13">
      <t>ガク</t>
    </rPh>
    <phoneticPr fontId="3"/>
  </si>
  <si>
    <t>投資キャッシュフロー概算額</t>
    <rPh sb="0" eb="2">
      <t>トウシ</t>
    </rPh>
    <rPh sb="10" eb="12">
      <t>ガイサン</t>
    </rPh>
    <rPh sb="12" eb="13">
      <t>ガク</t>
    </rPh>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</si>
  <si>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</si>
  <si>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</si>
  <si>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</si>
  <si>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</si>
  <si>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</si>
  <si>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</si>
  <si>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</si>
  <si>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</si>
  <si>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</si>
  <si>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</si>
  <si>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ネットキャッシュフロー</t>
    <phoneticPr fontId="3"/>
  </si>
  <si>
    <t>－</t>
    <phoneticPr fontId="3"/>
  </si>
  <si>
    <t>－</t>
    <phoneticPr fontId="3"/>
  </si>
  <si>
    <t>＋</t>
    <phoneticPr fontId="3"/>
  </si>
  <si>
    <t>キャッシュフローワークシート</t>
    <phoneticPr fontId="3"/>
  </si>
  <si>
    <t>Ｈ22年</t>
    <rPh sb="3" eb="4">
      <t>ネン</t>
    </rPh>
    <phoneticPr fontId="3"/>
  </si>
  <si>
    <t>Ｈ２２年</t>
    <rPh sb="3" eb="4">
      <t>ネン</t>
    </rPh>
    <phoneticPr fontId="3"/>
  </si>
  <si>
    <t>リース資産</t>
    <rPh sb="3" eb="5">
      <t>シサン</t>
    </rPh>
    <phoneticPr fontId="3"/>
  </si>
  <si>
    <t>リース債務</t>
    <rPh sb="3" eb="5">
      <t>サイム</t>
    </rPh>
    <phoneticPr fontId="3"/>
  </si>
  <si>
    <t>H22年</t>
    <rPh sb="3" eb="4">
      <t>ネン</t>
    </rPh>
    <phoneticPr fontId="3"/>
  </si>
  <si>
    <t>Ｈ23年</t>
    <rPh sb="3" eb="4">
      <t>ネン</t>
    </rPh>
    <phoneticPr fontId="3"/>
  </si>
  <si>
    <t>Ｈ２３年</t>
    <rPh sb="3" eb="4">
      <t>ネン</t>
    </rPh>
    <phoneticPr fontId="3"/>
  </si>
  <si>
    <t>付加価値＝経常利益＋労務費＋人件費＋支払利息割引料－受取利息配当金＋賃借料＋租税公課＋減価償却実施額</t>
    <rPh sb="0" eb="2">
      <t>フカ</t>
    </rPh>
    <rPh sb="2" eb="4">
      <t>カチ</t>
    </rPh>
    <rPh sb="5" eb="7">
      <t>ケイジョウ</t>
    </rPh>
    <rPh sb="7" eb="9">
      <t>リエキ</t>
    </rPh>
    <rPh sb="10" eb="12">
      <t>ロウム</t>
    </rPh>
    <rPh sb="12" eb="13">
      <t>ヒ</t>
    </rPh>
    <rPh sb="14" eb="17">
      <t>ジンケンヒ</t>
    </rPh>
    <rPh sb="18" eb="20">
      <t>シハライ</t>
    </rPh>
    <rPh sb="20" eb="22">
      <t>リソク</t>
    </rPh>
    <rPh sb="22" eb="25">
      <t>ワリビキリョウ</t>
    </rPh>
    <rPh sb="26" eb="28">
      <t>ウケトリ</t>
    </rPh>
    <rPh sb="28" eb="30">
      <t>リソク</t>
    </rPh>
    <rPh sb="30" eb="33">
      <t>ハイトウキン</t>
    </rPh>
    <rPh sb="34" eb="37">
      <t>チンシャクリョウ</t>
    </rPh>
    <rPh sb="38" eb="40">
      <t>ソゼイ</t>
    </rPh>
    <rPh sb="40" eb="42">
      <t>コウカ</t>
    </rPh>
    <rPh sb="43" eb="45">
      <t>ゲンカ</t>
    </rPh>
    <rPh sb="45" eb="47">
      <t>ショウキャク</t>
    </rPh>
    <rPh sb="47" eb="49">
      <t>ジッシ</t>
    </rPh>
    <rPh sb="49" eb="50">
      <t>ガク</t>
    </rPh>
    <phoneticPr fontId="3"/>
  </si>
  <si>
    <t>売上高</t>
    <phoneticPr fontId="4"/>
  </si>
  <si>
    <t>Ｈ24年</t>
    <rPh sb="3" eb="4">
      <t>ネン</t>
    </rPh>
    <phoneticPr fontId="3"/>
  </si>
  <si>
    <t>Ｈ２４年</t>
    <rPh sb="3" eb="4">
      <t>ネン</t>
    </rPh>
    <phoneticPr fontId="3"/>
  </si>
  <si>
    <t>Ｈ25年</t>
    <rPh sb="3" eb="4">
      <t>ネン</t>
    </rPh>
    <phoneticPr fontId="3"/>
  </si>
  <si>
    <t>Ｈ２５年</t>
    <rPh sb="3" eb="4">
      <t>ネン</t>
    </rPh>
    <phoneticPr fontId="3"/>
  </si>
  <si>
    <t>Ｈ17年</t>
    <rPh sb="3" eb="4">
      <t>ネン</t>
    </rPh>
    <phoneticPr fontId="3"/>
  </si>
  <si>
    <t>Ｈ18年</t>
    <rPh sb="3" eb="4">
      <t>ネン</t>
    </rPh>
    <phoneticPr fontId="3"/>
  </si>
  <si>
    <t>Ｈ19年</t>
    <rPh sb="3" eb="4">
      <t>ネン</t>
    </rPh>
    <phoneticPr fontId="3"/>
  </si>
  <si>
    <t>Ｈ20年</t>
    <rPh sb="3" eb="4">
      <t>ネン</t>
    </rPh>
    <phoneticPr fontId="3"/>
  </si>
  <si>
    <t>Ｈ２０年</t>
    <rPh sb="3" eb="4">
      <t>ネン</t>
    </rPh>
    <phoneticPr fontId="3"/>
  </si>
  <si>
    <t>Ｈ１９年</t>
    <rPh sb="3" eb="4">
      <t>ネン</t>
    </rPh>
    <phoneticPr fontId="3"/>
  </si>
  <si>
    <t>Ｈ１８年</t>
    <rPh sb="3" eb="4">
      <t>ネン</t>
    </rPh>
    <phoneticPr fontId="3"/>
  </si>
  <si>
    <t>Ｈ１７年</t>
    <rPh sb="3" eb="4">
      <t>ネン</t>
    </rPh>
    <phoneticPr fontId="3"/>
  </si>
  <si>
    <t>H17年</t>
    <rPh sb="3" eb="4">
      <t>ネン</t>
    </rPh>
    <phoneticPr fontId="3"/>
  </si>
  <si>
    <t>H18年</t>
    <rPh sb="3" eb="4">
      <t>ネン</t>
    </rPh>
    <phoneticPr fontId="3"/>
  </si>
  <si>
    <t>H19年</t>
    <rPh sb="3" eb="4">
      <t>ネン</t>
    </rPh>
    <phoneticPr fontId="3"/>
  </si>
  <si>
    <t>H20年</t>
    <rPh sb="3" eb="4">
      <t>ネン</t>
    </rPh>
    <phoneticPr fontId="3"/>
  </si>
  <si>
    <t>H21年</t>
    <rPh sb="3" eb="4">
      <t>ネン</t>
    </rPh>
    <phoneticPr fontId="3"/>
  </si>
  <si>
    <t>Ｈ16年</t>
    <rPh sb="3" eb="4">
      <t>ネン</t>
    </rPh>
    <phoneticPr fontId="3"/>
  </si>
  <si>
    <t>Ｈ１６年</t>
    <rPh sb="3" eb="4">
      <t>ネン</t>
    </rPh>
    <phoneticPr fontId="3"/>
  </si>
  <si>
    <t>H16年</t>
    <rPh sb="3" eb="4">
      <t>ネン</t>
    </rPh>
    <phoneticPr fontId="3"/>
  </si>
  <si>
    <t>Ｈ26年</t>
    <rPh sb="3" eb="4">
      <t>ネン</t>
    </rPh>
    <phoneticPr fontId="3"/>
  </si>
  <si>
    <t>Ｈ27年</t>
    <rPh sb="3" eb="4">
      <t>ネン</t>
    </rPh>
    <phoneticPr fontId="3"/>
  </si>
  <si>
    <t>Ｈ２６年</t>
    <rPh sb="3" eb="4">
      <t>ネン</t>
    </rPh>
    <phoneticPr fontId="3"/>
  </si>
  <si>
    <t>Ｈ２７年</t>
    <rPh sb="3" eb="4">
      <t>ネン</t>
    </rPh>
    <phoneticPr fontId="3"/>
  </si>
  <si>
    <t>Ｈ28年</t>
    <rPh sb="3" eb="4">
      <t>ネン</t>
    </rPh>
    <phoneticPr fontId="3"/>
  </si>
  <si>
    <t>ローカルベンチマーク指標</t>
    <rPh sb="10" eb="12">
      <t>シヒョウ</t>
    </rPh>
    <phoneticPr fontId="3"/>
  </si>
  <si>
    <t>（財務情報）</t>
    <rPh sb="1" eb="3">
      <t>ザイム</t>
    </rPh>
    <rPh sb="3" eb="5">
      <t>ジョウホウ</t>
    </rPh>
    <phoneticPr fontId="3"/>
  </si>
  <si>
    <t>負債額</t>
    <rPh sb="0" eb="2">
      <t>フサイ</t>
    </rPh>
    <rPh sb="2" eb="3">
      <t>ガク</t>
    </rPh>
    <phoneticPr fontId="3"/>
  </si>
  <si>
    <t>受取手形・売掛金</t>
    <rPh sb="0" eb="2">
      <t>ウケトリ</t>
    </rPh>
    <rPh sb="2" eb="4">
      <t>テガタ</t>
    </rPh>
    <rPh sb="5" eb="7">
      <t>ウリカケ</t>
    </rPh>
    <rPh sb="7" eb="8">
      <t>キン</t>
    </rPh>
    <phoneticPr fontId="3"/>
  </si>
  <si>
    <t>棚卸資産</t>
    <rPh sb="0" eb="2">
      <t>タナオロシ</t>
    </rPh>
    <rPh sb="2" eb="4">
      <t>シサン</t>
    </rPh>
    <phoneticPr fontId="3"/>
  </si>
  <si>
    <t>支払手形・買掛金</t>
    <rPh sb="0" eb="2">
      <t>シハライ</t>
    </rPh>
    <rPh sb="2" eb="4">
      <t>テガタ</t>
    </rPh>
    <rPh sb="5" eb="8">
      <t>カイカケキン</t>
    </rPh>
    <phoneticPr fontId="3"/>
  </si>
  <si>
    <t>財務分析</t>
    <rPh sb="0" eb="2">
      <t>ザイム</t>
    </rPh>
    <rPh sb="2" eb="4">
      <t>ブンセキ</t>
    </rPh>
    <phoneticPr fontId="3"/>
  </si>
  <si>
    <t>①売上増加率</t>
    <rPh sb="1" eb="3">
      <t>ウリアゲ</t>
    </rPh>
    <rPh sb="3" eb="5">
      <t>ゾウカ</t>
    </rPh>
    <rPh sb="5" eb="6">
      <t>リツ</t>
    </rPh>
    <phoneticPr fontId="1"/>
  </si>
  <si>
    <t>②営業利益率</t>
    <rPh sb="1" eb="3">
      <t>エイギョウ</t>
    </rPh>
    <rPh sb="3" eb="5">
      <t>リエキ</t>
    </rPh>
    <rPh sb="5" eb="6">
      <t>リツ</t>
    </rPh>
    <phoneticPr fontId="1"/>
  </si>
  <si>
    <t>③労働生産性</t>
    <rPh sb="1" eb="3">
      <t>ロウドウ</t>
    </rPh>
    <rPh sb="3" eb="6">
      <t>セイサンセイ</t>
    </rPh>
    <phoneticPr fontId="1"/>
  </si>
  <si>
    <t>④EBITDA有利子負債倍率</t>
    <rPh sb="7" eb="8">
      <t>ユウ</t>
    </rPh>
    <rPh sb="8" eb="10">
      <t>リシ</t>
    </rPh>
    <rPh sb="10" eb="12">
      <t>フサイ</t>
    </rPh>
    <rPh sb="12" eb="14">
      <t>バイリツ</t>
    </rPh>
    <phoneticPr fontId="1"/>
  </si>
  <si>
    <t>⑤営業運転資本回転期間</t>
  </si>
  <si>
    <t>（ヶ月）</t>
    <rPh sb="2" eb="3">
      <t>ゲツ</t>
    </rPh>
    <phoneticPr fontId="3"/>
  </si>
  <si>
    <t>⑥自己資本比率</t>
  </si>
  <si>
    <t>Ｈ29年</t>
    <rPh sb="3" eb="4">
      <t>ネン</t>
    </rPh>
    <phoneticPr fontId="3"/>
  </si>
  <si>
    <t>Ｈ２９年</t>
    <rPh sb="3" eb="4">
      <t>ネン</t>
    </rPh>
    <phoneticPr fontId="3"/>
  </si>
  <si>
    <t>Ｈ２８年</t>
    <rPh sb="3" eb="4">
      <t>ネン</t>
    </rPh>
    <phoneticPr fontId="3"/>
  </si>
  <si>
    <t>Ｈ30年</t>
    <rPh sb="3" eb="4">
      <t>ネン</t>
    </rPh>
    <phoneticPr fontId="3"/>
  </si>
  <si>
    <t>Ｈ３０年</t>
    <rPh sb="3" eb="4">
      <t>ネン</t>
    </rPh>
    <phoneticPr fontId="3"/>
  </si>
  <si>
    <t>R01年</t>
    <rPh sb="3" eb="4">
      <t>ネン</t>
    </rPh>
    <phoneticPr fontId="3"/>
  </si>
  <si>
    <t>ソフトウエア</t>
    <phoneticPr fontId="3"/>
  </si>
  <si>
    <t>Ｒ０１年</t>
    <rPh sb="3" eb="4">
      <t>ネン</t>
    </rPh>
    <phoneticPr fontId="3"/>
  </si>
  <si>
    <t>（７）資本の安定性分析</t>
    <rPh sb="3" eb="5">
      <t>シホン</t>
    </rPh>
    <rPh sb="6" eb="8">
      <t>アンテイ</t>
    </rPh>
    <rPh sb="8" eb="9">
      <t>セイ</t>
    </rPh>
    <rPh sb="9" eb="11">
      <t>ブンセキ</t>
    </rPh>
    <phoneticPr fontId="3"/>
  </si>
  <si>
    <t>R02年</t>
    <rPh sb="3" eb="4">
      <t>ネン</t>
    </rPh>
    <phoneticPr fontId="3"/>
  </si>
  <si>
    <t>R01年</t>
    <rPh sb="3" eb="4">
      <t>ネン</t>
    </rPh>
    <phoneticPr fontId="3"/>
  </si>
  <si>
    <t>Ｒ０２年</t>
    <rPh sb="3" eb="4">
      <t>ネン</t>
    </rPh>
    <phoneticPr fontId="3"/>
  </si>
  <si>
    <t>43. EBITDA</t>
    <phoneticPr fontId="3"/>
  </si>
  <si>
    <t>44. EBITDA有利子負債倍率</t>
    <rPh sb="10" eb="11">
      <t>ユウ</t>
    </rPh>
    <rPh sb="11" eb="13">
      <t>リシ</t>
    </rPh>
    <rPh sb="13" eb="15">
      <t>フサイ</t>
    </rPh>
    <rPh sb="15" eb="17">
      <t>バイリツ</t>
    </rPh>
    <phoneticPr fontId="3"/>
  </si>
  <si>
    <t>Ｂ．EBITDA有利子負債倍率</t>
    <rPh sb="8" eb="11">
      <t>ユウリシ</t>
    </rPh>
    <rPh sb="11" eb="13">
      <t>フサイ</t>
    </rPh>
    <rPh sb="13" eb="15">
      <t>バイリツ</t>
    </rPh>
    <phoneticPr fontId="3"/>
  </si>
  <si>
    <t>ＥＢＩＴＤＡ＝営業利益＋減価償却費</t>
    <rPh sb="7" eb="11">
      <t>エイギョウリエキ</t>
    </rPh>
    <rPh sb="12" eb="17">
      <t>ゲンカショウキャクヒ</t>
    </rPh>
    <phoneticPr fontId="3"/>
  </si>
  <si>
    <t>金融機関などの借入（有利子負債）等とEBITDAとの割合を示す指標</t>
    <rPh sb="0" eb="4">
      <t>キンユウキカン</t>
    </rPh>
    <rPh sb="7" eb="9">
      <t>カリイレ</t>
    </rPh>
    <rPh sb="10" eb="13">
      <t>ユウリシ</t>
    </rPh>
    <rPh sb="13" eb="15">
      <t>フサイ</t>
    </rPh>
    <rPh sb="16" eb="17">
      <t>トウ</t>
    </rPh>
    <rPh sb="26" eb="28">
      <t>ワリアイ</t>
    </rPh>
    <rPh sb="29" eb="30">
      <t>シメ</t>
    </rPh>
    <rPh sb="31" eb="33">
      <t>シヒョウ</t>
    </rPh>
    <phoneticPr fontId="3"/>
  </si>
  <si>
    <t>EBITADの増加により事業から得られる営業CFがプラスであり、借入などの有利子負債の比率が減少</t>
    <rPh sb="7" eb="9">
      <t>ゾウカ</t>
    </rPh>
    <rPh sb="12" eb="14">
      <t>ジギョウ</t>
    </rPh>
    <rPh sb="16" eb="17">
      <t>エ</t>
    </rPh>
    <rPh sb="20" eb="22">
      <t>エイギョウ</t>
    </rPh>
    <rPh sb="32" eb="34">
      <t>カリイレ</t>
    </rPh>
    <rPh sb="37" eb="40">
      <t>ユウリシ</t>
    </rPh>
    <rPh sb="40" eb="42">
      <t>フサイ</t>
    </rPh>
    <rPh sb="43" eb="45">
      <t>ヒリツ</t>
    </rPh>
    <rPh sb="46" eb="48">
      <t>ゲンショウ</t>
    </rPh>
    <phoneticPr fontId="3"/>
  </si>
  <si>
    <t>EBITDAの減少により営業CFの減少またはマイナスとなり、不足する資金を借入に頼り有利子負債が増加</t>
    <rPh sb="7" eb="9">
      <t>ゲンショウ</t>
    </rPh>
    <rPh sb="12" eb="14">
      <t>エイギョウ</t>
    </rPh>
    <rPh sb="17" eb="19">
      <t>ゲンショウ</t>
    </rPh>
    <rPh sb="30" eb="32">
      <t>フソク</t>
    </rPh>
    <rPh sb="34" eb="36">
      <t>シキン</t>
    </rPh>
    <rPh sb="37" eb="39">
      <t>カリイレ</t>
    </rPh>
    <rPh sb="40" eb="41">
      <t>タヨ</t>
    </rPh>
    <rPh sb="42" eb="47">
      <t>ユウリシフサイ</t>
    </rPh>
    <rPh sb="48" eb="50">
      <t>ゾウカ</t>
    </rPh>
    <phoneticPr fontId="3"/>
  </si>
  <si>
    <t>Ｂ．ＥＢＩＴＤＡ有利子負債倍率</t>
    <rPh sb="8" eb="11">
      <t>ユウリシ</t>
    </rPh>
    <rPh sb="11" eb="13">
      <t>フサイ</t>
    </rPh>
    <rPh sb="13" eb="15">
      <t>バイリツ</t>
    </rPh>
    <phoneticPr fontId="3"/>
  </si>
  <si>
    <t>有利子負債÷EBITDA×100</t>
    <rPh sb="0" eb="3">
      <t>ユウリシ</t>
    </rPh>
    <rPh sb="3" eb="5">
      <t>フサイ</t>
    </rPh>
    <phoneticPr fontId="3"/>
  </si>
  <si>
    <t>有利子負債＝短期借入金＋長期借入金＋社債－現預金</t>
    <rPh sb="0" eb="5">
      <t>ユウリシフサイ</t>
    </rPh>
    <rPh sb="6" eb="8">
      <t>タンキ</t>
    </rPh>
    <rPh sb="8" eb="11">
      <t>カリイレキン</t>
    </rPh>
    <rPh sb="12" eb="14">
      <t>チョウキ</t>
    </rPh>
    <rPh sb="14" eb="17">
      <t>カリイレキン</t>
    </rPh>
    <rPh sb="18" eb="20">
      <t>シャサイ</t>
    </rPh>
    <rPh sb="21" eb="24">
      <t>ゲンヨキン</t>
    </rPh>
    <phoneticPr fontId="3"/>
  </si>
  <si>
    <t>R03年</t>
    <rPh sb="3" eb="4">
      <t>ネン</t>
    </rPh>
    <phoneticPr fontId="3"/>
  </si>
  <si>
    <t>※　本資料は、中小企業庁平成16年から令和02年中小企業実態基本調査および令和03年中小企業実態基本調査（いずれも速報）をもとに作成しております。</t>
    <rPh sb="19" eb="21">
      <t>レイワ</t>
    </rPh>
    <rPh sb="37" eb="39">
      <t>レイワ</t>
    </rPh>
    <phoneticPr fontId="3"/>
  </si>
  <si>
    <t>R02年</t>
    <rPh sb="3" eb="4">
      <t>ネン</t>
    </rPh>
    <phoneticPr fontId="3"/>
  </si>
  <si>
    <t>Ｒ０３年</t>
    <rPh sb="3" eb="4">
      <t>ネン</t>
    </rPh>
    <phoneticPr fontId="3"/>
  </si>
  <si>
    <t>R04年</t>
    <rPh sb="3" eb="4">
      <t>ネン</t>
    </rPh>
    <phoneticPr fontId="3"/>
  </si>
  <si>
    <t>※　本資料は、中小企業庁平成16年から令和03年中小企業実態基本調査および令和04年中小企業実態基本調査（いずれも速報）をもとに作成しております。</t>
    <rPh sb="2" eb="3">
      <t>ホン</t>
    </rPh>
    <rPh sb="3" eb="5">
      <t>シリョウ</t>
    </rPh>
    <rPh sb="7" eb="9">
      <t>チュウショウ</t>
    </rPh>
    <rPh sb="9" eb="11">
      <t>キギョウ</t>
    </rPh>
    <rPh sb="11" eb="12">
      <t>チョウ</t>
    </rPh>
    <rPh sb="12" eb="14">
      <t>ヘイセイ</t>
    </rPh>
    <rPh sb="16" eb="17">
      <t>ネン</t>
    </rPh>
    <rPh sb="19" eb="21">
      <t>レイワ</t>
    </rPh>
    <rPh sb="23" eb="24">
      <t>ネン</t>
    </rPh>
    <rPh sb="24" eb="26">
      <t>チュウショウ</t>
    </rPh>
    <rPh sb="26" eb="28">
      <t>キギョウ</t>
    </rPh>
    <rPh sb="28" eb="30">
      <t>ジッタイ</t>
    </rPh>
    <rPh sb="30" eb="32">
      <t>キホン</t>
    </rPh>
    <rPh sb="32" eb="34">
      <t>チョウサ</t>
    </rPh>
    <rPh sb="37" eb="39">
      <t>レイワ</t>
    </rPh>
    <rPh sb="41" eb="42">
      <t>ネン</t>
    </rPh>
    <rPh sb="42" eb="44">
      <t>チュウショウ</t>
    </rPh>
    <rPh sb="44" eb="46">
      <t>キギョウ</t>
    </rPh>
    <rPh sb="46" eb="48">
      <t>ジッタイ</t>
    </rPh>
    <rPh sb="48" eb="50">
      <t>キホン</t>
    </rPh>
    <rPh sb="50" eb="52">
      <t>チョウサ</t>
    </rPh>
    <rPh sb="57" eb="59">
      <t>ソクホウ</t>
    </rPh>
    <rPh sb="64" eb="66">
      <t>サクセイ</t>
    </rPh>
    <phoneticPr fontId="3"/>
  </si>
  <si>
    <t>※　本資料は、中小企業庁平成16年から令和03年中小企業実態基本調査および令和04年中小企業実態基本調査（いずれも速報）をもとに作成しております。</t>
    <rPh sb="19" eb="21">
      <t>レイワ</t>
    </rPh>
    <rPh sb="37" eb="39">
      <t>レイワ</t>
    </rPh>
    <phoneticPr fontId="3"/>
  </si>
  <si>
    <t>Ｒ０４年</t>
    <rPh sb="3" eb="4">
      <t>ネン</t>
    </rPh>
    <phoneticPr fontId="3"/>
  </si>
  <si>
    <t>３１　輸送用機械器具製造業</t>
    <rPh sb="3" eb="6">
      <t>ユソウヨウ</t>
    </rPh>
    <rPh sb="6" eb="8">
      <t>キカイ</t>
    </rPh>
    <rPh sb="8" eb="10">
      <t>キグ</t>
    </rPh>
    <rPh sb="10" eb="13">
      <t>セイゾウギョウ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</si>
</sst>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 ###\ ###\ ##0;[&lt;-999]\-#\ ###\ ##0;#\ ##0"/>
    <numFmt numFmtId="177" formatCode="##\ ###\ ###\ ##0"/>
    <numFmt numFmtId="178" formatCode="#,##0;&quot;▲ &quot;#,##0"/>
    <numFmt numFmtId="179" formatCode="#,##0.00;&quot;▲ &quot;#,##0.00"/>
    <numFmt numFmtId="180" formatCode="0.0%"/>
    <numFmt numFmtId="181" formatCode="#,##0.0;&quot;▲ &quot;#,##0.0"/>
    <numFmt numFmtId="182" formatCode="#,##0.0;[Red]\-#,##0.0"/>
    <numFmt numFmtId="183" formatCode="#,##0;&quot;△ &quot;#,##0"/>
    <numFmt numFmtId="184" formatCode="#,##0.0;&quot;△ &quot;#,##0.0"/>
    <numFmt numFmtId="185" formatCode="#,##0.00;&quot;△ &quot;#,##0.00"/>
    <numFmt numFmtId="186" formatCode="0.00;&quot;△ &quot;0.00"/>
    <numFmt numFmtId="187" formatCode="0.0"/>
    <numFmt numFmtId="188" formatCode="#,##0_ ;[Red]\-#,##0\ "/>
    <numFmt numFmtId="189" formatCode="#,##0.0_ ;[Red]\-#,##0.0\ "/>
  </numFmts>
  <fonts count="21" x14ac:knownFonts="1">
    <font>
      <sz val="11"/>
      <name val="ＭＳ Ｐゴシック"/>
      <family val="3"/>
      <charset val="128"/>
    </font>
    <font>
      <sz val="11"/>
      <name val="ＭＳ Ｐゴシック"/>
      <family val="3"/>
      <charset val="128"/>
    </font>
    <font>
      <sz val="11"/>
      <name val="ＭＳ ゴシック"/>
      <family val="3"/>
      <charset val="128"/>
    </font>
    <font>
      <sz val="6"/>
      <name val="ＭＳ Ｐゴシック"/>
      <family val="3"/>
      <charset val="128"/>
    </font>
    <font>
      <sz val="6"/>
      <name val="ＭＳ 明朝"/>
      <family val="1"/>
      <charset val="128"/>
    </font>
    <font>
      <sz val="14"/>
      <name val="ＭＳ Ｐゴシック"/>
      <family val="3"/>
      <charset val="128"/>
    </font>
    <font>
      <sz val="10"/>
      <name val="ＭＳ 明朝"/>
      <family val="1"/>
      <charset val="128"/>
    </font>
    <font>
      <sz val="8"/>
      <name val="ＭＳ Ｐ明朝"/>
      <family val="1"/>
      <charset val="128"/>
    </font>
    <font>
      <sz val="8"/>
      <name val="ＭＳ Ｐゴシック"/>
      <family val="3"/>
      <charset val="128"/>
    </font>
    <font>
      <sz val="8"/>
      <name val="ＭＳ 明朝"/>
      <family val="1"/>
      <charset val="128"/>
    </font>
    <font>
      <sz val="12"/>
      <name val="ＭＳ Ｐ明朝"/>
      <family val="1"/>
      <charset val="128"/>
    </font>
    <font>
      <sz val="14"/>
      <name val="ＭＳ ゴシック"/>
      <family val="3"/>
      <charset val="128"/>
    </font>
    <font>
      <sz val="20"/>
      <name val="ＭＳ Ｐゴシック"/>
      <family val="3"/>
      <charset val="128"/>
    </font>
    <font>
      <sz val="10"/>
      <name val="ＭＳ Ｐゴシック"/>
      <family val="3"/>
      <charset val="128"/>
    </font>
    <font>
      <sz val="9"/>
      <name val="ＭＳ Ｐゴシック"/>
      <family val="3"/>
      <charset val="128"/>
    </font>
    <font>
      <sz val="10"/>
      <color indexed="9"/>
      <name val="ＭＳ Ｐゴシック"/>
      <family val="3"/>
      <charset val="128"/>
    </font>
    <font>
      <sz val="7"/>
      <name val="ＭＳ Ｐゴシック"/>
      <family val="3"/>
      <charset val="128"/>
    </font>
    <font>
      <sz val="10"/>
      <name val="ＭＳ Ｐ明朝"/>
      <family val="1"/>
      <charset val="128"/>
    </font>
    <font>
      <sz val="12"/>
      <name val="ＭＳ Ｐゴシック"/>
      <family val="3"/>
      <charset val="128"/>
    </font>
    <font>
      <sz val="9"/>
      <name val="ＭＳ Ｐ明朝"/>
      <family val="1"/>
      <charset val="128"/>
    </font>
    <font>
      <sz val="9"/>
      <name val="Meiryo UI"/>
      <family val="3"/>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10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hair">
        <color indexed="64"/>
      </right>
      <top/>
      <bottom style="hair">
        <color indexed="64"/>
      </bottom>
      <diagonal/>
    </border>
    <border>
      <left style="medium">
        <color indexed="64"/>
      </left>
      <right/>
      <top/>
      <bottom style="medium">
        <color indexed="64"/>
      </bottom>
      <diagonal/>
    </border>
    <border>
      <left style="thin">
        <color indexed="64"/>
      </left>
      <right style="hair">
        <color indexed="64"/>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hair">
        <color indexed="64"/>
      </right>
      <top style="hair">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style="thin">
        <color indexed="64"/>
      </right>
      <top/>
      <bottom style="dotted">
        <color indexed="64"/>
      </bottom>
      <diagonal/>
    </border>
    <border>
      <left style="thin">
        <color indexed="64"/>
      </left>
      <right style="medium">
        <color indexed="64"/>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dotted">
        <color indexed="64"/>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style="thin">
        <color indexed="64"/>
      </left>
      <right/>
      <top style="dotted">
        <color indexed="64"/>
      </top>
      <bottom style="dotted">
        <color indexed="64"/>
      </bottom>
      <diagonal/>
    </border>
    <border>
      <left style="thin">
        <color indexed="64"/>
      </left>
      <right/>
      <top style="thin">
        <color indexed="64"/>
      </top>
      <bottom style="medium">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style="hair">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thin">
        <color indexed="64"/>
      </right>
      <top style="medium">
        <color indexed="64"/>
      </top>
      <bottom/>
      <diagonal/>
    </border>
    <border>
      <left style="thin">
        <color indexed="64"/>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medium">
        <color indexed="64"/>
      </bottom>
      <diagonal/>
    </border>
    <border>
      <left style="hair">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s>
  <cellStyleXfs count="5">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6" fillId="0" borderId="0"/>
  </cellStyleXfs>
  <cellXfs count="468">
    <xf numFmtId="0" fontId="0" fillId="0" borderId="0" xfId="0">
      <alignment vertical="center"/>
    </xf>
    <xf numFmtId="0" fontId="1" fillId="0" borderId="0" xfId="3">
      <alignment vertical="center"/>
    </xf>
    <xf numFmtId="0" fontId="9" fillId="0" borderId="0" xfId="0" applyFont="1">
      <alignment vertical="center"/>
    </xf>
    <xf numFmtId="177" fontId="9" fillId="0" borderId="0" xfId="3" applyNumberFormat="1" applyFont="1">
      <alignment vertical="center"/>
    </xf>
    <xf numFmtId="49" fontId="7" fillId="0" borderId="1" xfId="4" applyNumberFormat="1" applyFont="1" applyBorder="1" applyAlignment="1">
      <alignment vertical="center"/>
    </xf>
    <xf numFmtId="0" fontId="5" fillId="0" borderId="0" xfId="3" applyFont="1">
      <alignment vertical="center"/>
    </xf>
    <xf numFmtId="0" fontId="5" fillId="0" borderId="0" xfId="0" applyFont="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lignment vertical="center"/>
    </xf>
    <xf numFmtId="178" fontId="0" fillId="0" borderId="1" xfId="0" applyNumberFormat="1" applyBorder="1" applyAlignment="1">
      <alignment vertical="center" shrinkToFit="1"/>
    </xf>
    <xf numFmtId="0" fontId="0" fillId="2" borderId="5" xfId="0" applyFill="1" applyBorder="1">
      <alignment vertical="center"/>
    </xf>
    <xf numFmtId="178" fontId="0" fillId="0" borderId="2" xfId="0" applyNumberFormat="1" applyBorder="1" applyAlignment="1">
      <alignment vertical="center" shrinkToFit="1"/>
    </xf>
    <xf numFmtId="0" fontId="0" fillId="3" borderId="2" xfId="0" applyFill="1" applyBorder="1" applyAlignment="1">
      <alignment horizontal="center" vertical="center"/>
    </xf>
    <xf numFmtId="0" fontId="0" fillId="3" borderId="2" xfId="0" applyFill="1" applyBorder="1" applyAlignment="1">
      <alignment horizontal="center" vertical="center" shrinkToFit="1"/>
    </xf>
    <xf numFmtId="0" fontId="0" fillId="3" borderId="3" xfId="0" applyFill="1" applyBorder="1" applyAlignment="1">
      <alignment horizontal="center" vertical="center"/>
    </xf>
    <xf numFmtId="0" fontId="0" fillId="3" borderId="5" xfId="0" applyFill="1" applyBorder="1">
      <alignment vertical="center"/>
    </xf>
    <xf numFmtId="0" fontId="0" fillId="3" borderId="5" xfId="0" applyFill="1" applyBorder="1" applyAlignment="1">
      <alignment vertical="center" textRotation="255"/>
    </xf>
    <xf numFmtId="0" fontId="0" fillId="2" borderId="2" xfId="0" applyFill="1" applyBorder="1" applyAlignment="1">
      <alignment horizontal="center" vertical="center" shrinkToFit="1"/>
    </xf>
    <xf numFmtId="180" fontId="0" fillId="0" borderId="2" xfId="0" applyNumberFormat="1" applyBorder="1" applyAlignment="1">
      <alignment vertical="center" shrinkToFit="1"/>
    </xf>
    <xf numFmtId="0" fontId="0" fillId="2" borderId="5" xfId="0" applyFill="1" applyBorder="1" applyAlignment="1">
      <alignment vertical="center" textRotation="255"/>
    </xf>
    <xf numFmtId="0" fontId="0" fillId="3" borderId="6" xfId="0" applyFill="1" applyBorder="1" applyAlignment="1">
      <alignment vertical="center" textRotation="255"/>
    </xf>
    <xf numFmtId="0" fontId="0" fillId="2" borderId="6" xfId="0" applyFill="1" applyBorder="1" applyAlignment="1">
      <alignment vertical="center" textRotation="255"/>
    </xf>
    <xf numFmtId="0" fontId="0" fillId="2" borderId="6" xfId="0" applyFill="1" applyBorder="1">
      <alignment vertical="center"/>
    </xf>
    <xf numFmtId="178" fontId="0" fillId="0" borderId="1" xfId="0" applyNumberFormat="1" applyBorder="1">
      <alignment vertical="center"/>
    </xf>
    <xf numFmtId="178" fontId="0" fillId="0" borderId="2" xfId="0" applyNumberFormat="1" applyBorder="1">
      <alignment vertical="center"/>
    </xf>
    <xf numFmtId="178" fontId="0" fillId="0" borderId="0" xfId="0" applyNumberFormat="1">
      <alignment vertical="center"/>
    </xf>
    <xf numFmtId="179" fontId="0" fillId="0" borderId="0" xfId="0" applyNumberFormat="1">
      <alignment vertical="center"/>
    </xf>
    <xf numFmtId="0" fontId="5" fillId="0" borderId="1" xfId="0" applyFont="1" applyBorder="1">
      <alignment vertical="center"/>
    </xf>
    <xf numFmtId="0" fontId="12" fillId="0" borderId="0" xfId="0" applyFont="1">
      <alignment vertical="center"/>
    </xf>
    <xf numFmtId="0" fontId="13" fillId="0" borderId="0" xfId="0" applyFont="1" applyAlignment="1">
      <alignment horizontal="left" vertical="center"/>
    </xf>
    <xf numFmtId="0" fontId="13" fillId="0" borderId="0" xfId="0" applyFont="1">
      <alignment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2" borderId="9" xfId="0" applyFont="1" applyFill="1" applyBorder="1">
      <alignment vertical="center"/>
    </xf>
    <xf numFmtId="0" fontId="8" fillId="2" borderId="9" xfId="0" applyFont="1" applyFill="1" applyBorder="1">
      <alignment vertical="center"/>
    </xf>
    <xf numFmtId="0" fontId="8" fillId="2" borderId="10" xfId="0" applyFont="1" applyFill="1" applyBorder="1">
      <alignment vertical="center"/>
    </xf>
    <xf numFmtId="0" fontId="13" fillId="2" borderId="11" xfId="0" applyFont="1" applyFill="1" applyBorder="1">
      <alignment vertical="center"/>
    </xf>
    <xf numFmtId="0" fontId="13" fillId="0" borderId="12" xfId="0" applyFont="1" applyBorder="1">
      <alignment vertical="center"/>
    </xf>
    <xf numFmtId="0" fontId="14" fillId="0" borderId="13" xfId="0" applyFont="1" applyBorder="1" applyAlignment="1">
      <alignment horizontal="left" vertical="center" indent="1"/>
    </xf>
    <xf numFmtId="0" fontId="13" fillId="0" borderId="13" xfId="0" applyFont="1" applyBorder="1" applyAlignment="1">
      <alignment horizontal="left" vertical="center" indent="1"/>
    </xf>
    <xf numFmtId="0" fontId="13" fillId="3" borderId="9" xfId="0" applyFont="1" applyFill="1" applyBorder="1">
      <alignment vertical="center"/>
    </xf>
    <xf numFmtId="0" fontId="8" fillId="3" borderId="9" xfId="0" applyFont="1" applyFill="1" applyBorder="1">
      <alignment vertical="center"/>
    </xf>
    <xf numFmtId="0" fontId="8" fillId="3" borderId="10" xfId="0" applyFont="1" applyFill="1" applyBorder="1">
      <alignment vertical="center"/>
    </xf>
    <xf numFmtId="0" fontId="13" fillId="3" borderId="14" xfId="0" applyFont="1" applyFill="1" applyBorder="1">
      <alignment vertical="center"/>
    </xf>
    <xf numFmtId="0" fontId="13" fillId="3" borderId="14" xfId="0" applyFont="1" applyFill="1" applyBorder="1" applyAlignment="1">
      <alignment vertical="center" textRotation="255"/>
    </xf>
    <xf numFmtId="0" fontId="13" fillId="2" borderId="14" xfId="0" applyFont="1" applyFill="1" applyBorder="1">
      <alignment vertical="center"/>
    </xf>
    <xf numFmtId="0" fontId="13" fillId="0" borderId="15" xfId="0" applyFont="1" applyBorder="1">
      <alignment vertical="center"/>
    </xf>
    <xf numFmtId="0" fontId="13" fillId="2" borderId="16" xfId="0" applyFont="1" applyFill="1" applyBorder="1">
      <alignment vertical="center"/>
    </xf>
    <xf numFmtId="0" fontId="13" fillId="0" borderId="17" xfId="0" applyFont="1" applyBorder="1" applyAlignment="1">
      <alignment horizontal="left" vertical="center" indent="1"/>
    </xf>
    <xf numFmtId="0" fontId="13" fillId="0" borderId="13" xfId="0" applyFont="1" applyBorder="1" applyAlignment="1">
      <alignment horizontal="left" vertical="center" indent="1" shrinkToFit="1"/>
    </xf>
    <xf numFmtId="0" fontId="13" fillId="3" borderId="18" xfId="0" applyFont="1" applyFill="1" applyBorder="1" applyAlignment="1">
      <alignment vertical="center" textRotation="255"/>
    </xf>
    <xf numFmtId="0" fontId="13" fillId="0" borderId="17" xfId="0" applyFont="1" applyBorder="1" applyAlignment="1">
      <alignment horizontal="left" vertical="center" indent="1" shrinkToFit="1"/>
    </xf>
    <xf numFmtId="0" fontId="13" fillId="2" borderId="14" xfId="0" applyFont="1" applyFill="1" applyBorder="1" applyAlignment="1">
      <alignment vertical="center" textRotation="255"/>
    </xf>
    <xf numFmtId="0" fontId="13" fillId="0" borderId="12" xfId="0" applyFont="1" applyBorder="1" applyAlignment="1">
      <alignment vertical="center" shrinkToFit="1"/>
    </xf>
    <xf numFmtId="0" fontId="13" fillId="2" borderId="18" xfId="0" applyFont="1" applyFill="1" applyBorder="1" applyAlignment="1">
      <alignment vertical="center" textRotation="255"/>
    </xf>
    <xf numFmtId="0" fontId="13" fillId="3" borderId="6" xfId="0" applyFont="1" applyFill="1" applyBorder="1">
      <alignment vertical="center"/>
    </xf>
    <xf numFmtId="0" fontId="8" fillId="3" borderId="6" xfId="0" applyFont="1" applyFill="1" applyBorder="1">
      <alignment vertical="center"/>
    </xf>
    <xf numFmtId="0" fontId="8" fillId="3" borderId="19" xfId="0" applyFont="1" applyFill="1" applyBorder="1">
      <alignment vertical="center"/>
    </xf>
    <xf numFmtId="0" fontId="13" fillId="0" borderId="20" xfId="0" applyFont="1" applyBorder="1" applyAlignment="1">
      <alignment horizontal="left" vertical="center" indent="1"/>
    </xf>
    <xf numFmtId="0" fontId="13" fillId="2" borderId="21" xfId="0" applyFont="1" applyFill="1" applyBorder="1">
      <alignment vertical="center"/>
    </xf>
    <xf numFmtId="0" fontId="8" fillId="2" borderId="21" xfId="0" applyFont="1" applyFill="1" applyBorder="1">
      <alignment vertical="center"/>
    </xf>
    <xf numFmtId="0" fontId="8" fillId="2" borderId="22" xfId="0" applyFont="1" applyFill="1" applyBorder="1">
      <alignment vertical="center"/>
    </xf>
    <xf numFmtId="0" fontId="13" fillId="3" borderId="21" xfId="0" applyFont="1" applyFill="1" applyBorder="1">
      <alignment vertical="center"/>
    </xf>
    <xf numFmtId="0" fontId="8" fillId="3" borderId="21" xfId="0" applyFont="1" applyFill="1" applyBorder="1">
      <alignment vertical="center"/>
    </xf>
    <xf numFmtId="0" fontId="8" fillId="3" borderId="22" xfId="0" applyFont="1" applyFill="1" applyBorder="1">
      <alignment vertical="center"/>
    </xf>
    <xf numFmtId="0" fontId="13" fillId="0" borderId="0" xfId="0" applyFont="1" applyAlignment="1">
      <alignment vertical="center" shrinkToFit="1"/>
    </xf>
    <xf numFmtId="49" fontId="17" fillId="0" borderId="23" xfId="4" applyNumberFormat="1" applyFont="1" applyBorder="1" applyAlignment="1">
      <alignment horizontal="center" vertical="center"/>
    </xf>
    <xf numFmtId="176" fontId="17" fillId="0" borderId="24" xfId="3" applyNumberFormat="1" applyFont="1" applyBorder="1" applyAlignment="1">
      <alignment horizontal="right" vertical="center"/>
    </xf>
    <xf numFmtId="176" fontId="17" fillId="0" borderId="25" xfId="3" applyNumberFormat="1" applyFont="1" applyBorder="1" applyAlignment="1">
      <alignment horizontal="right" vertical="center"/>
    </xf>
    <xf numFmtId="176" fontId="17" fillId="0" borderId="26" xfId="3" applyNumberFormat="1" applyFont="1" applyBorder="1" applyAlignment="1">
      <alignment horizontal="right" vertical="center"/>
    </xf>
    <xf numFmtId="176" fontId="13" fillId="0" borderId="3" xfId="3" applyNumberFormat="1" applyFont="1" applyBorder="1" applyAlignment="1">
      <alignment horizontal="right" vertical="center"/>
    </xf>
    <xf numFmtId="49" fontId="17" fillId="0" borderId="1" xfId="4" applyNumberFormat="1" applyFont="1" applyBorder="1" applyAlignment="1">
      <alignment horizontal="right" vertical="center"/>
    </xf>
    <xf numFmtId="0" fontId="13" fillId="0" borderId="5" xfId="0" applyFont="1" applyBorder="1">
      <alignment vertical="center"/>
    </xf>
    <xf numFmtId="0" fontId="13" fillId="0" borderId="6" xfId="0" applyFont="1" applyBorder="1">
      <alignment vertical="center"/>
    </xf>
    <xf numFmtId="0" fontId="18" fillId="0" borderId="0" xfId="0" applyFont="1">
      <alignment vertical="center"/>
    </xf>
    <xf numFmtId="0" fontId="14" fillId="0" borderId="0" xfId="0" applyFont="1">
      <alignment vertical="center"/>
    </xf>
    <xf numFmtId="0" fontId="14" fillId="0" borderId="0" xfId="0" applyFont="1" applyAlignment="1">
      <alignment horizontal="center" vertical="center"/>
    </xf>
    <xf numFmtId="0" fontId="14" fillId="0" borderId="3" xfId="0" applyFont="1" applyBorder="1">
      <alignment vertical="center"/>
    </xf>
    <xf numFmtId="0" fontId="14" fillId="0" borderId="3" xfId="0" applyFont="1" applyBorder="1" applyAlignment="1">
      <alignment horizontal="center" vertical="center"/>
    </xf>
    <xf numFmtId="0" fontId="14" fillId="0" borderId="27" xfId="0" applyFont="1" applyBorder="1">
      <alignment vertical="center"/>
    </xf>
    <xf numFmtId="0" fontId="14" fillId="0" borderId="27" xfId="0" applyFont="1" applyBorder="1" applyAlignment="1">
      <alignment horizontal="center" vertical="center"/>
    </xf>
    <xf numFmtId="183" fontId="14" fillId="0" borderId="27" xfId="2" applyNumberFormat="1" applyFont="1" applyBorder="1">
      <alignment vertical="center"/>
    </xf>
    <xf numFmtId="0" fontId="14" fillId="0" borderId="28" xfId="0" applyFont="1" applyBorder="1" applyAlignment="1">
      <alignment horizontal="left" vertical="center" indent="1"/>
    </xf>
    <xf numFmtId="0" fontId="14" fillId="0" borderId="29" xfId="0" applyFont="1" applyBorder="1" applyAlignment="1">
      <alignment horizontal="center" vertical="center"/>
    </xf>
    <xf numFmtId="183" fontId="14" fillId="0" borderId="28" xfId="2" applyNumberFormat="1" applyFont="1" applyBorder="1">
      <alignment vertical="center"/>
    </xf>
    <xf numFmtId="0" fontId="14" fillId="0" borderId="29" xfId="0" applyFont="1" applyBorder="1">
      <alignment vertical="center"/>
    </xf>
    <xf numFmtId="183" fontId="14" fillId="0" borderId="29" xfId="2" applyNumberFormat="1" applyFont="1" applyBorder="1">
      <alignment vertical="center"/>
    </xf>
    <xf numFmtId="0" fontId="14" fillId="0" borderId="30" xfId="0" applyFont="1" applyBorder="1">
      <alignment vertical="center"/>
    </xf>
    <xf numFmtId="0" fontId="14" fillId="0" borderId="30" xfId="0" applyFont="1" applyBorder="1" applyAlignment="1">
      <alignment horizontal="center" vertical="center"/>
    </xf>
    <xf numFmtId="183" fontId="14" fillId="0" borderId="30" xfId="2" applyNumberFormat="1" applyFont="1" applyBorder="1">
      <alignment vertical="center"/>
    </xf>
    <xf numFmtId="38" fontId="14" fillId="0" borderId="3" xfId="2" applyFont="1" applyBorder="1">
      <alignment vertical="center"/>
    </xf>
    <xf numFmtId="183" fontId="14" fillId="0" borderId="3" xfId="2" applyNumberFormat="1" applyFont="1" applyBorder="1">
      <alignment vertical="center"/>
    </xf>
    <xf numFmtId="0" fontId="14" fillId="0" borderId="31" xfId="0" applyFont="1" applyBorder="1" applyAlignment="1">
      <alignment horizontal="left" vertical="center" indent="1"/>
    </xf>
    <xf numFmtId="183" fontId="14" fillId="0" borderId="31" xfId="2" applyNumberFormat="1" applyFont="1" applyBorder="1">
      <alignment vertical="center"/>
    </xf>
    <xf numFmtId="183" fontId="14" fillId="0" borderId="0" xfId="0" applyNumberFormat="1" applyFont="1">
      <alignment vertical="center"/>
    </xf>
    <xf numFmtId="183" fontId="14" fillId="0" borderId="27" xfId="0" applyNumberFormat="1" applyFont="1" applyBorder="1">
      <alignment vertical="center"/>
    </xf>
    <xf numFmtId="183" fontId="14" fillId="0" borderId="29" xfId="0" applyNumberFormat="1" applyFont="1" applyBorder="1">
      <alignment vertical="center"/>
    </xf>
    <xf numFmtId="183" fontId="14" fillId="0" borderId="30" xfId="0" applyNumberFormat="1" applyFont="1" applyBorder="1">
      <alignment vertical="center"/>
    </xf>
    <xf numFmtId="0" fontId="14" fillId="0" borderId="3" xfId="0" applyFont="1" applyBorder="1" applyAlignment="1">
      <alignment horizontal="right" vertical="center"/>
    </xf>
    <xf numFmtId="183" fontId="14" fillId="0" borderId="3" xfId="0" applyNumberFormat="1" applyFont="1" applyBorder="1">
      <alignment vertical="center"/>
    </xf>
    <xf numFmtId="184" fontId="14" fillId="0" borderId="3" xfId="0" applyNumberFormat="1" applyFont="1" applyBorder="1">
      <alignment vertical="center"/>
    </xf>
    <xf numFmtId="182" fontId="14" fillId="0" borderId="3" xfId="2" applyNumberFormat="1" applyFont="1" applyBorder="1">
      <alignment vertical="center"/>
    </xf>
    <xf numFmtId="184" fontId="14" fillId="0" borderId="3" xfId="2" applyNumberFormat="1" applyFont="1" applyBorder="1">
      <alignment vertical="center"/>
    </xf>
    <xf numFmtId="0" fontId="5" fillId="0" borderId="1" xfId="0" applyFont="1" applyBorder="1" applyAlignment="1">
      <alignment vertical="center" shrinkToFit="1"/>
    </xf>
    <xf numFmtId="0" fontId="13" fillId="0" borderId="5" xfId="0" applyFont="1" applyBorder="1" applyAlignment="1">
      <alignment horizontal="left" vertical="center" shrinkToFit="1"/>
    </xf>
    <xf numFmtId="0" fontId="14" fillId="0" borderId="32" xfId="0" applyFont="1" applyBorder="1">
      <alignment vertical="center"/>
    </xf>
    <xf numFmtId="0" fontId="14" fillId="0" borderId="9" xfId="0" applyFont="1" applyBorder="1" applyAlignment="1">
      <alignment horizontal="center" vertical="center"/>
    </xf>
    <xf numFmtId="49" fontId="14" fillId="0" borderId="9" xfId="4" applyNumberFormat="1" applyFont="1" applyBorder="1" applyAlignment="1">
      <alignment horizontal="center" vertical="center"/>
    </xf>
    <xf numFmtId="49" fontId="14" fillId="0" borderId="10" xfId="4" applyNumberFormat="1" applyFont="1" applyBorder="1" applyAlignment="1">
      <alignment horizontal="center" vertical="center"/>
    </xf>
    <xf numFmtId="49" fontId="14" fillId="0" borderId="33" xfId="4" applyNumberFormat="1" applyFont="1" applyBorder="1" applyAlignment="1">
      <alignment horizontal="center" vertical="center"/>
    </xf>
    <xf numFmtId="49" fontId="14" fillId="0" borderId="3" xfId="4" applyNumberFormat="1" applyFont="1" applyBorder="1" applyAlignment="1">
      <alignment horizontal="center" vertical="center"/>
    </xf>
    <xf numFmtId="0" fontId="14" fillId="0" borderId="34" xfId="0" applyFont="1" applyBorder="1">
      <alignment vertical="center"/>
    </xf>
    <xf numFmtId="0" fontId="14" fillId="0" borderId="35" xfId="0" applyFont="1" applyBorder="1">
      <alignment vertical="center"/>
    </xf>
    <xf numFmtId="183" fontId="14" fillId="0" borderId="36" xfId="2" applyNumberFormat="1" applyFont="1" applyBorder="1">
      <alignment vertical="center"/>
    </xf>
    <xf numFmtId="180" fontId="14" fillId="0" borderId="37" xfId="1" applyNumberFormat="1" applyFont="1" applyBorder="1">
      <alignment vertical="center"/>
    </xf>
    <xf numFmtId="180" fontId="14" fillId="0" borderId="27" xfId="1" applyNumberFormat="1" applyFont="1" applyBorder="1">
      <alignment vertical="center"/>
    </xf>
    <xf numFmtId="0" fontId="14" fillId="0" borderId="38" xfId="0" applyFont="1" applyBorder="1" applyAlignment="1">
      <alignment horizontal="left" vertical="center" indent="1"/>
    </xf>
    <xf numFmtId="183" fontId="14" fillId="0" borderId="39" xfId="2" applyNumberFormat="1" applyFont="1" applyBorder="1">
      <alignment vertical="center"/>
    </xf>
    <xf numFmtId="180" fontId="14" fillId="0" borderId="40" xfId="1" applyNumberFormat="1" applyFont="1" applyBorder="1">
      <alignment vertical="center"/>
    </xf>
    <xf numFmtId="180" fontId="14" fillId="0" borderId="28" xfId="1" applyNumberFormat="1" applyFont="1" applyBorder="1">
      <alignment vertical="center"/>
    </xf>
    <xf numFmtId="0" fontId="14" fillId="0" borderId="14" xfId="0" applyFont="1" applyBorder="1" applyAlignment="1">
      <alignment horizontal="left" vertical="center" indent="1"/>
    </xf>
    <xf numFmtId="0" fontId="14" fillId="0" borderId="31" xfId="0" applyFont="1" applyBorder="1" applyAlignment="1">
      <alignment horizontal="center" vertical="center"/>
    </xf>
    <xf numFmtId="183" fontId="14" fillId="0" borderId="5" xfId="2" applyNumberFormat="1" applyFont="1" applyBorder="1">
      <alignment vertical="center"/>
    </xf>
    <xf numFmtId="183" fontId="14" fillId="0" borderId="41" xfId="2" applyNumberFormat="1" applyFont="1" applyBorder="1">
      <alignment vertical="center"/>
    </xf>
    <xf numFmtId="180" fontId="14" fillId="0" borderId="42" xfId="1" applyNumberFormat="1" applyFont="1" applyBorder="1">
      <alignment vertical="center"/>
    </xf>
    <xf numFmtId="180" fontId="14" fillId="0" borderId="5" xfId="1" applyNumberFormat="1" applyFont="1" applyBorder="1">
      <alignment vertical="center"/>
    </xf>
    <xf numFmtId="183" fontId="14" fillId="0" borderId="43" xfId="2" applyNumberFormat="1" applyFont="1" applyBorder="1">
      <alignment vertical="center"/>
    </xf>
    <xf numFmtId="180" fontId="14" fillId="0" borderId="33" xfId="1" applyNumberFormat="1" applyFont="1" applyBorder="1">
      <alignment vertical="center"/>
    </xf>
    <xf numFmtId="180" fontId="14" fillId="0" borderId="3" xfId="1" applyNumberFormat="1" applyFont="1" applyBorder="1">
      <alignment vertical="center"/>
    </xf>
    <xf numFmtId="38" fontId="14" fillId="0" borderId="33" xfId="2" applyFont="1" applyBorder="1">
      <alignment vertical="center"/>
    </xf>
    <xf numFmtId="0" fontId="14" fillId="0" borderId="38" xfId="0" applyFont="1" applyBorder="1">
      <alignment vertical="center"/>
    </xf>
    <xf numFmtId="0" fontId="14" fillId="0" borderId="44" xfId="0" applyFont="1" applyBorder="1">
      <alignment vertical="center"/>
    </xf>
    <xf numFmtId="183" fontId="14" fillId="0" borderId="45" xfId="2" applyNumberFormat="1" applyFont="1" applyBorder="1">
      <alignment vertical="center"/>
    </xf>
    <xf numFmtId="180" fontId="14" fillId="0" borderId="46" xfId="1" applyNumberFormat="1" applyFont="1" applyBorder="1">
      <alignment vertical="center"/>
    </xf>
    <xf numFmtId="180" fontId="14" fillId="0" borderId="29" xfId="1" applyNumberFormat="1" applyFont="1" applyBorder="1">
      <alignment vertical="center"/>
    </xf>
    <xf numFmtId="0" fontId="14" fillId="0" borderId="47" xfId="0" applyFont="1" applyBorder="1">
      <alignment vertical="center"/>
    </xf>
    <xf numFmtId="183" fontId="14" fillId="0" borderId="48" xfId="2" applyNumberFormat="1" applyFont="1" applyBorder="1">
      <alignment vertical="center"/>
    </xf>
    <xf numFmtId="180" fontId="14" fillId="0" borderId="49" xfId="1" applyNumberFormat="1" applyFont="1" applyBorder="1">
      <alignment vertical="center"/>
    </xf>
    <xf numFmtId="180" fontId="14" fillId="0" borderId="30" xfId="1" applyNumberFormat="1" applyFont="1" applyBorder="1">
      <alignment vertical="center"/>
    </xf>
    <xf numFmtId="183" fontId="14" fillId="0" borderId="43" xfId="0" applyNumberFormat="1" applyFont="1" applyBorder="1">
      <alignment vertical="center"/>
    </xf>
    <xf numFmtId="183" fontId="14" fillId="0" borderId="33" xfId="0" applyNumberFormat="1" applyFont="1" applyBorder="1">
      <alignment vertical="center"/>
    </xf>
    <xf numFmtId="184" fontId="14" fillId="0" borderId="43" xfId="0" applyNumberFormat="1" applyFont="1" applyBorder="1">
      <alignment vertical="center"/>
    </xf>
    <xf numFmtId="184" fontId="14" fillId="0" borderId="33" xfId="0" applyNumberFormat="1" applyFont="1" applyBorder="1">
      <alignment vertical="center"/>
    </xf>
    <xf numFmtId="182" fontId="14" fillId="0" borderId="43" xfId="2" applyNumberFormat="1" applyFont="1" applyBorder="1">
      <alignment vertical="center"/>
    </xf>
    <xf numFmtId="182" fontId="14" fillId="0" borderId="33" xfId="2" applyNumberFormat="1" applyFont="1" applyBorder="1">
      <alignment vertical="center"/>
    </xf>
    <xf numFmtId="184" fontId="14" fillId="0" borderId="43" xfId="2" applyNumberFormat="1" applyFont="1" applyBorder="1">
      <alignment vertical="center"/>
    </xf>
    <xf numFmtId="184" fontId="14" fillId="0" borderId="33" xfId="2" applyNumberFormat="1" applyFont="1" applyBorder="1">
      <alignment vertical="center"/>
    </xf>
    <xf numFmtId="0" fontId="14" fillId="0" borderId="50" xfId="0" applyFont="1" applyBorder="1">
      <alignment vertical="center"/>
    </xf>
    <xf numFmtId="0" fontId="14" fillId="0" borderId="7" xfId="0" applyFont="1" applyBorder="1" applyAlignment="1">
      <alignment horizontal="center" vertical="center"/>
    </xf>
    <xf numFmtId="183" fontId="14" fillId="0" borderId="7" xfId="2" applyNumberFormat="1" applyFont="1" applyBorder="1">
      <alignment vertical="center"/>
    </xf>
    <xf numFmtId="183" fontId="14" fillId="0" borderId="8" xfId="2" applyNumberFormat="1" applyFont="1" applyBorder="1">
      <alignment vertical="center"/>
    </xf>
    <xf numFmtId="183" fontId="14" fillId="0" borderId="33" xfId="2" applyNumberFormat="1" applyFont="1" applyBorder="1">
      <alignment vertical="center"/>
    </xf>
    <xf numFmtId="0" fontId="18" fillId="0" borderId="0" xfId="0" applyFont="1" applyProtection="1">
      <alignment vertical="center"/>
      <protection locked="0"/>
    </xf>
    <xf numFmtId="0" fontId="14" fillId="0" borderId="28" xfId="0" applyFont="1" applyBorder="1" applyAlignment="1">
      <alignment horizontal="center" vertical="center"/>
    </xf>
    <xf numFmtId="0" fontId="14" fillId="0" borderId="24" xfId="0" applyFont="1" applyBorder="1">
      <alignment vertical="center"/>
    </xf>
    <xf numFmtId="183" fontId="14" fillId="0" borderId="24" xfId="0" applyNumberFormat="1" applyFont="1" applyBorder="1">
      <alignment vertical="center"/>
    </xf>
    <xf numFmtId="0" fontId="14" fillId="0" borderId="25" xfId="0" applyFont="1" applyBorder="1">
      <alignment vertical="center"/>
    </xf>
    <xf numFmtId="183" fontId="14" fillId="0" borderId="25" xfId="0" applyNumberFormat="1" applyFont="1" applyBorder="1">
      <alignment vertical="center"/>
    </xf>
    <xf numFmtId="0" fontId="14" fillId="0" borderId="51" xfId="0" applyFont="1" applyBorder="1">
      <alignment vertical="center"/>
    </xf>
    <xf numFmtId="183" fontId="14" fillId="0" borderId="51" xfId="0" applyNumberFormat="1" applyFont="1" applyBorder="1">
      <alignment vertical="center"/>
    </xf>
    <xf numFmtId="0" fontId="14" fillId="0" borderId="52" xfId="0" applyFont="1" applyBorder="1">
      <alignment vertical="center"/>
    </xf>
    <xf numFmtId="0" fontId="14" fillId="0" borderId="53" xfId="0" applyFont="1" applyBorder="1">
      <alignment vertical="center"/>
    </xf>
    <xf numFmtId="0" fontId="14" fillId="0" borderId="54" xfId="0" applyFont="1" applyBorder="1">
      <alignment vertical="center"/>
    </xf>
    <xf numFmtId="0" fontId="14" fillId="0" borderId="55" xfId="0" applyFont="1" applyBorder="1">
      <alignment vertical="center"/>
    </xf>
    <xf numFmtId="185" fontId="14" fillId="0" borderId="25" xfId="2" applyNumberFormat="1" applyFont="1" applyBorder="1">
      <alignment vertical="center"/>
    </xf>
    <xf numFmtId="185" fontId="14" fillId="0" borderId="25" xfId="0" applyNumberFormat="1" applyFont="1" applyBorder="1">
      <alignment vertical="center"/>
    </xf>
    <xf numFmtId="0" fontId="14" fillId="0" borderId="56" xfId="0" applyFont="1" applyBorder="1">
      <alignment vertical="center"/>
    </xf>
    <xf numFmtId="0" fontId="14" fillId="0" borderId="57" xfId="0" applyFont="1" applyBorder="1">
      <alignment vertical="center"/>
    </xf>
    <xf numFmtId="185" fontId="14" fillId="0" borderId="51" xfId="0" applyNumberFormat="1" applyFont="1" applyBorder="1">
      <alignment vertical="center"/>
    </xf>
    <xf numFmtId="185" fontId="14" fillId="0" borderId="25" xfId="0" applyNumberFormat="1" applyFont="1" applyBorder="1" applyAlignment="1">
      <alignment horizontal="right" vertical="center"/>
    </xf>
    <xf numFmtId="185" fontId="14" fillId="0" borderId="51" xfId="0" applyNumberFormat="1" applyFont="1" applyBorder="1" applyAlignment="1">
      <alignment horizontal="right" vertical="center"/>
    </xf>
    <xf numFmtId="186" fontId="14" fillId="0" borderId="51" xfId="0" applyNumberFormat="1" applyFont="1" applyBorder="1">
      <alignment vertical="center"/>
    </xf>
    <xf numFmtId="0" fontId="13" fillId="0" borderId="0" xfId="0" applyFont="1" applyAlignment="1">
      <alignment horizontal="center" vertical="center"/>
    </xf>
    <xf numFmtId="183" fontId="13" fillId="0" borderId="0" xfId="0" applyNumberFormat="1" applyFont="1">
      <alignment vertical="center"/>
    </xf>
    <xf numFmtId="0" fontId="13" fillId="0" borderId="3" xfId="0" applyFont="1" applyBorder="1" applyAlignment="1">
      <alignment horizontal="center" vertical="center"/>
    </xf>
    <xf numFmtId="0" fontId="14" fillId="0" borderId="25" xfId="0" applyFont="1" applyBorder="1" applyAlignment="1">
      <alignment horizontal="right" vertical="center"/>
    </xf>
    <xf numFmtId="0" fontId="14" fillId="0" borderId="51" xfId="0" applyFont="1" applyBorder="1" applyAlignment="1">
      <alignment horizontal="right" vertical="center"/>
    </xf>
    <xf numFmtId="0" fontId="13" fillId="0" borderId="24" xfId="0" applyFont="1" applyBorder="1" applyAlignment="1">
      <alignment horizontal="center" vertical="center"/>
    </xf>
    <xf numFmtId="183" fontId="13" fillId="0" borderId="24" xfId="0" applyNumberFormat="1" applyFont="1" applyBorder="1">
      <alignment vertical="center"/>
    </xf>
    <xf numFmtId="0" fontId="13" fillId="0" borderId="25" xfId="0" applyFont="1" applyBorder="1" applyAlignment="1">
      <alignment horizontal="center" vertical="center"/>
    </xf>
    <xf numFmtId="183" fontId="13" fillId="0" borderId="25" xfId="0" applyNumberFormat="1" applyFont="1" applyBorder="1">
      <alignment vertical="center"/>
    </xf>
    <xf numFmtId="0" fontId="13" fillId="0" borderId="51" xfId="0" applyFont="1" applyBorder="1" applyAlignment="1">
      <alignment horizontal="center" vertical="center"/>
    </xf>
    <xf numFmtId="183" fontId="13" fillId="0" borderId="51" xfId="0" applyNumberFormat="1" applyFont="1" applyBorder="1">
      <alignment vertical="center"/>
    </xf>
    <xf numFmtId="0" fontId="13" fillId="0" borderId="58" xfId="0" applyFont="1" applyBorder="1">
      <alignment vertical="center"/>
    </xf>
    <xf numFmtId="0" fontId="13" fillId="0" borderId="33" xfId="0" applyFont="1" applyBorder="1">
      <alignment vertical="center"/>
    </xf>
    <xf numFmtId="0" fontId="13" fillId="0" borderId="54" xfId="0" applyFont="1" applyBorder="1">
      <alignment vertical="center"/>
    </xf>
    <xf numFmtId="0" fontId="13" fillId="0" borderId="56" xfId="0" applyFont="1" applyBorder="1">
      <alignment vertical="center"/>
    </xf>
    <xf numFmtId="176" fontId="13" fillId="0" borderId="5" xfId="3" applyNumberFormat="1" applyFont="1" applyBorder="1" applyAlignment="1">
      <alignment horizontal="right" vertical="center"/>
    </xf>
    <xf numFmtId="0" fontId="14" fillId="0" borderId="2" xfId="0" applyFont="1" applyBorder="1" applyAlignment="1">
      <alignment horizontal="center" vertical="center"/>
    </xf>
    <xf numFmtId="49" fontId="19" fillId="0" borderId="2" xfId="4" applyNumberFormat="1" applyFont="1" applyBorder="1" applyAlignment="1">
      <alignment horizontal="center" vertical="center"/>
    </xf>
    <xf numFmtId="0" fontId="14" fillId="0" borderId="58" xfId="0" applyFont="1" applyBorder="1">
      <alignment vertical="center"/>
    </xf>
    <xf numFmtId="49" fontId="19" fillId="0" borderId="33" xfId="4" applyNumberFormat="1" applyFont="1" applyBorder="1" applyAlignment="1">
      <alignment horizontal="center" vertical="center"/>
    </xf>
    <xf numFmtId="183" fontId="14" fillId="0" borderId="2" xfId="2" applyNumberFormat="1" applyFont="1" applyBorder="1">
      <alignment vertical="center"/>
    </xf>
    <xf numFmtId="183" fontId="14" fillId="0" borderId="2" xfId="0" applyNumberFormat="1" applyFont="1" applyBorder="1">
      <alignment vertical="center"/>
    </xf>
    <xf numFmtId="0" fontId="14" fillId="0" borderId="59" xfId="0" applyFont="1" applyBorder="1">
      <alignment vertical="center"/>
    </xf>
    <xf numFmtId="49" fontId="14" fillId="0" borderId="2" xfId="4" applyNumberFormat="1" applyFont="1" applyBorder="1" applyAlignment="1">
      <alignment horizontal="center" vertical="center"/>
    </xf>
    <xf numFmtId="49" fontId="14" fillId="0" borderId="60" xfId="4" applyNumberFormat="1" applyFont="1" applyBorder="1" applyAlignment="1">
      <alignment horizontal="center" vertical="center"/>
    </xf>
    <xf numFmtId="183" fontId="14" fillId="0" borderId="60" xfId="2" applyNumberFormat="1" applyFont="1" applyBorder="1">
      <alignment vertical="center"/>
    </xf>
    <xf numFmtId="183" fontId="14" fillId="0" borderId="60" xfId="0" applyNumberFormat="1" applyFont="1" applyBorder="1">
      <alignment vertical="center"/>
    </xf>
    <xf numFmtId="49" fontId="14" fillId="0" borderId="59" xfId="4" applyNumberFormat="1" applyFont="1" applyBorder="1" applyAlignment="1">
      <alignment horizontal="center" vertical="center"/>
    </xf>
    <xf numFmtId="0" fontId="14" fillId="0" borderId="0" xfId="0" applyFont="1" applyAlignment="1">
      <alignment horizontal="center" vertical="center" shrinkToFit="1"/>
    </xf>
    <xf numFmtId="0" fontId="14" fillId="0" borderId="3" xfId="0" applyFont="1" applyBorder="1" applyAlignment="1">
      <alignment horizontal="center" vertical="center" shrinkToFit="1"/>
    </xf>
    <xf numFmtId="0" fontId="14" fillId="0" borderId="24" xfId="0" applyFont="1" applyBorder="1" applyAlignment="1">
      <alignment horizontal="center" vertical="center" shrinkToFit="1"/>
    </xf>
    <xf numFmtId="0" fontId="14" fillId="0" borderId="25" xfId="0" applyFont="1" applyBorder="1" applyAlignment="1">
      <alignment horizontal="center" vertical="center" shrinkToFit="1"/>
    </xf>
    <xf numFmtId="0" fontId="14" fillId="0" borderId="51" xfId="0" applyFont="1" applyBorder="1" applyAlignment="1">
      <alignment horizontal="center" vertical="center" shrinkToFit="1"/>
    </xf>
    <xf numFmtId="183" fontId="13" fillId="0" borderId="3" xfId="4" applyNumberFormat="1" applyFont="1" applyBorder="1" applyAlignment="1">
      <alignment horizontal="center" vertical="center"/>
    </xf>
    <xf numFmtId="0" fontId="2" fillId="0" borderId="0" xfId="0" applyFont="1">
      <alignment vertical="center"/>
    </xf>
    <xf numFmtId="0" fontId="13" fillId="0" borderId="3" xfId="0" applyFont="1" applyBorder="1">
      <alignment vertical="center"/>
    </xf>
    <xf numFmtId="0" fontId="13" fillId="0" borderId="61" xfId="0" applyFont="1" applyBorder="1" applyAlignment="1">
      <alignment horizontal="center" vertical="center"/>
    </xf>
    <xf numFmtId="176" fontId="17" fillId="0" borderId="51" xfId="3" applyNumberFormat="1" applyFont="1" applyBorder="1" applyAlignment="1">
      <alignment horizontal="right" vertical="center"/>
    </xf>
    <xf numFmtId="176" fontId="13" fillId="0" borderId="23" xfId="3" applyNumberFormat="1" applyFont="1" applyBorder="1" applyAlignment="1">
      <alignment horizontal="right" vertical="center"/>
    </xf>
    <xf numFmtId="0" fontId="13" fillId="0" borderId="4" xfId="0" applyFont="1" applyBorder="1">
      <alignment vertical="center"/>
    </xf>
    <xf numFmtId="176" fontId="17" fillId="0" borderId="23" xfId="3" applyNumberFormat="1" applyFont="1" applyBorder="1" applyAlignment="1">
      <alignment horizontal="right" vertical="center"/>
    </xf>
    <xf numFmtId="0" fontId="13" fillId="0" borderId="62" xfId="0" applyFont="1" applyBorder="1">
      <alignment vertical="center"/>
    </xf>
    <xf numFmtId="0" fontId="17" fillId="0" borderId="5" xfId="0" applyFont="1" applyBorder="1" applyAlignment="1">
      <alignment vertical="center" wrapText="1"/>
    </xf>
    <xf numFmtId="0" fontId="17" fillId="0" borderId="5" xfId="0" applyFont="1" applyBorder="1" applyAlignment="1">
      <alignment vertical="center" shrinkToFit="1"/>
    </xf>
    <xf numFmtId="0" fontId="17" fillId="0" borderId="6" xfId="0" applyFont="1" applyBorder="1" applyAlignment="1">
      <alignment vertical="center" shrinkToFit="1"/>
    </xf>
    <xf numFmtId="176" fontId="13" fillId="0" borderId="6" xfId="3" applyNumberFormat="1" applyFont="1" applyBorder="1" applyAlignment="1">
      <alignment horizontal="right" vertical="center"/>
    </xf>
    <xf numFmtId="176" fontId="13" fillId="0" borderId="24" xfId="3" applyNumberFormat="1" applyFont="1" applyBorder="1" applyAlignment="1">
      <alignment horizontal="right" vertical="center"/>
    </xf>
    <xf numFmtId="176" fontId="13" fillId="0" borderId="51" xfId="3" applyNumberFormat="1" applyFont="1" applyBorder="1" applyAlignment="1">
      <alignment horizontal="right" vertical="center"/>
    </xf>
    <xf numFmtId="183" fontId="13" fillId="0" borderId="0" xfId="0" applyNumberFormat="1" applyFont="1" applyAlignment="1">
      <alignment horizontal="right" vertical="center"/>
    </xf>
    <xf numFmtId="0" fontId="13" fillId="0" borderId="63" xfId="0" applyFont="1" applyBorder="1">
      <alignment vertical="center"/>
    </xf>
    <xf numFmtId="0" fontId="13" fillId="0" borderId="23" xfId="0" applyFont="1" applyBorder="1" applyAlignment="1">
      <alignment horizontal="center" vertical="center"/>
    </xf>
    <xf numFmtId="183" fontId="13" fillId="0" borderId="23" xfId="0" applyNumberFormat="1" applyFont="1" applyBorder="1">
      <alignment vertical="center"/>
    </xf>
    <xf numFmtId="0" fontId="13" fillId="0" borderId="6" xfId="0" applyFont="1" applyBorder="1" applyAlignment="1">
      <alignment horizontal="center" vertical="center"/>
    </xf>
    <xf numFmtId="183" fontId="13" fillId="0" borderId="6" xfId="0" applyNumberFormat="1" applyFont="1" applyBorder="1">
      <alignment vertical="center"/>
    </xf>
    <xf numFmtId="0" fontId="13" fillId="0" borderId="24" xfId="0" applyFont="1" applyBorder="1">
      <alignment vertical="center"/>
    </xf>
    <xf numFmtId="0" fontId="13" fillId="0" borderId="25" xfId="0" applyFont="1" applyBorder="1">
      <alignment vertical="center"/>
    </xf>
    <xf numFmtId="0" fontId="13" fillId="0" borderId="25" xfId="0" applyFont="1" applyBorder="1" applyAlignment="1">
      <alignment vertical="center" shrinkToFit="1"/>
    </xf>
    <xf numFmtId="0" fontId="13" fillId="0" borderId="51" xfId="0" applyFont="1" applyBorder="1">
      <alignment vertical="center"/>
    </xf>
    <xf numFmtId="0" fontId="13" fillId="0" borderId="51" xfId="0" applyFont="1" applyBorder="1" applyAlignment="1">
      <alignment vertical="center" shrinkToFit="1"/>
    </xf>
    <xf numFmtId="0" fontId="13" fillId="0" borderId="64" xfId="0" applyFont="1" applyBorder="1">
      <alignment vertical="center"/>
    </xf>
    <xf numFmtId="0" fontId="13" fillId="0" borderId="65" xfId="0" applyFont="1" applyBorder="1">
      <alignment vertical="center"/>
    </xf>
    <xf numFmtId="0" fontId="13" fillId="0" borderId="65" xfId="0" applyFont="1" applyBorder="1" applyAlignment="1">
      <alignment horizontal="center" vertical="center"/>
    </xf>
    <xf numFmtId="183" fontId="13" fillId="0" borderId="65" xfId="0" applyNumberFormat="1" applyFont="1" applyBorder="1">
      <alignment vertical="center"/>
    </xf>
    <xf numFmtId="183" fontId="13" fillId="0" borderId="3" xfId="0" applyNumberFormat="1" applyFont="1" applyBorder="1">
      <alignment vertical="center"/>
    </xf>
    <xf numFmtId="181" fontId="0" fillId="0" borderId="1" xfId="0" applyNumberFormat="1" applyBorder="1" applyAlignment="1">
      <alignment vertical="center" shrinkToFit="1"/>
    </xf>
    <xf numFmtId="181" fontId="0" fillId="0" borderId="2" xfId="0" applyNumberFormat="1" applyBorder="1" applyAlignment="1">
      <alignment vertical="center" shrinkToFit="1"/>
    </xf>
    <xf numFmtId="49" fontId="14" fillId="0" borderId="66" xfId="4" applyNumberFormat="1" applyFont="1" applyBorder="1" applyAlignment="1">
      <alignment horizontal="center" vertical="center"/>
    </xf>
    <xf numFmtId="183" fontId="14" fillId="0" borderId="67" xfId="2" applyNumberFormat="1" applyFont="1" applyBorder="1">
      <alignment vertical="center"/>
    </xf>
    <xf numFmtId="183" fontId="14" fillId="0" borderId="68" xfId="2" applyNumberFormat="1" applyFont="1" applyBorder="1">
      <alignment vertical="center"/>
    </xf>
    <xf numFmtId="183" fontId="14" fillId="0" borderId="4" xfId="2" applyNumberFormat="1" applyFont="1" applyBorder="1">
      <alignment vertical="center"/>
    </xf>
    <xf numFmtId="183" fontId="14" fillId="0" borderId="58" xfId="2" applyNumberFormat="1" applyFont="1" applyBorder="1">
      <alignment vertical="center"/>
    </xf>
    <xf numFmtId="183" fontId="14" fillId="0" borderId="69" xfId="2" applyNumberFormat="1" applyFont="1" applyBorder="1">
      <alignment vertical="center"/>
    </xf>
    <xf numFmtId="183" fontId="14" fillId="0" borderId="70" xfId="2" applyNumberFormat="1" applyFont="1" applyBorder="1">
      <alignment vertical="center"/>
    </xf>
    <xf numFmtId="184" fontId="14" fillId="0" borderId="58" xfId="0" applyNumberFormat="1" applyFont="1" applyBorder="1">
      <alignment vertical="center"/>
    </xf>
    <xf numFmtId="182" fontId="14" fillId="0" borderId="58" xfId="2" applyNumberFormat="1" applyFont="1" applyBorder="1">
      <alignment vertical="center"/>
    </xf>
    <xf numFmtId="183" fontId="14" fillId="0" borderId="58" xfId="0" applyNumberFormat="1" applyFont="1" applyBorder="1">
      <alignment vertical="center"/>
    </xf>
    <xf numFmtId="184" fontId="14" fillId="0" borderId="58" xfId="2" applyNumberFormat="1" applyFont="1" applyBorder="1">
      <alignment vertical="center"/>
    </xf>
    <xf numFmtId="183" fontId="14" fillId="0" borderId="71" xfId="2" applyNumberFormat="1" applyFont="1" applyBorder="1">
      <alignment vertical="center"/>
    </xf>
    <xf numFmtId="187" fontId="17" fillId="0" borderId="26" xfId="3" applyNumberFormat="1" applyFont="1" applyBorder="1" applyAlignment="1">
      <alignment horizontal="right" vertical="center"/>
    </xf>
    <xf numFmtId="0" fontId="20" fillId="0" borderId="0" xfId="0" applyFont="1">
      <alignment vertical="center"/>
    </xf>
    <xf numFmtId="0" fontId="20" fillId="0" borderId="0" xfId="0" applyFont="1" applyAlignment="1">
      <alignment horizontal="center" vertical="center"/>
    </xf>
    <xf numFmtId="0" fontId="20" fillId="0" borderId="0" xfId="0" applyFont="1" applyProtection="1">
      <alignment vertical="center"/>
      <protection locked="0"/>
    </xf>
    <xf numFmtId="0" fontId="20" fillId="0" borderId="3" xfId="0" applyFont="1" applyBorder="1">
      <alignment vertical="center"/>
    </xf>
    <xf numFmtId="0" fontId="20" fillId="0" borderId="3" xfId="0" applyFont="1" applyBorder="1" applyAlignment="1">
      <alignment horizontal="center" vertical="center"/>
    </xf>
    <xf numFmtId="49" fontId="20" fillId="0" borderId="3" xfId="4" applyNumberFormat="1" applyFont="1" applyBorder="1" applyAlignment="1">
      <alignment horizontal="center" vertical="center"/>
    </xf>
    <xf numFmtId="183" fontId="20" fillId="0" borderId="3" xfId="2" applyNumberFormat="1" applyFont="1" applyBorder="1">
      <alignment vertical="center"/>
    </xf>
    <xf numFmtId="0" fontId="20" fillId="0" borderId="3" xfId="0" applyFont="1" applyBorder="1" applyAlignment="1">
      <alignment horizontal="left" vertical="center"/>
    </xf>
    <xf numFmtId="38" fontId="20" fillId="0" borderId="3" xfId="2" applyFont="1" applyBorder="1">
      <alignment vertical="center"/>
    </xf>
    <xf numFmtId="180" fontId="20" fillId="0" borderId="3" xfId="0" applyNumberFormat="1" applyFont="1" applyBorder="1">
      <alignment vertical="center"/>
    </xf>
    <xf numFmtId="180" fontId="20" fillId="0" borderId="3" xfId="1" applyNumberFormat="1" applyFont="1" applyBorder="1">
      <alignment vertical="center"/>
    </xf>
    <xf numFmtId="188" fontId="20" fillId="0" borderId="3" xfId="0" applyNumberFormat="1" applyFont="1" applyBorder="1">
      <alignment vertical="center"/>
    </xf>
    <xf numFmtId="189" fontId="20" fillId="0" borderId="3" xfId="0" applyNumberFormat="1" applyFont="1" applyBorder="1">
      <alignment vertical="center"/>
    </xf>
    <xf numFmtId="0" fontId="13" fillId="0" borderId="6" xfId="0" applyFont="1" applyBorder="1" applyAlignment="1">
      <alignment horizontal="left" vertical="center" shrinkToFit="1"/>
    </xf>
    <xf numFmtId="184" fontId="14" fillId="0" borderId="51" xfId="0" applyNumberFormat="1" applyFont="1" applyBorder="1">
      <alignment vertical="center"/>
    </xf>
    <xf numFmtId="0" fontId="14" fillId="0" borderId="72" xfId="0" applyFont="1" applyBorder="1" applyAlignment="1">
      <alignment horizontal="left" vertical="center" wrapText="1"/>
    </xf>
    <xf numFmtId="0" fontId="13" fillId="0" borderId="73" xfId="0" applyFont="1" applyBorder="1" applyAlignment="1">
      <alignment horizontal="center" vertical="center"/>
    </xf>
    <xf numFmtId="0" fontId="13" fillId="0" borderId="74" xfId="0" applyFont="1" applyBorder="1" applyAlignment="1">
      <alignment horizontal="center" vertical="center"/>
    </xf>
    <xf numFmtId="0" fontId="13" fillId="0" borderId="63" xfId="0" applyFont="1" applyBorder="1" applyAlignment="1">
      <alignment horizontal="center" vertical="center"/>
    </xf>
    <xf numFmtId="0" fontId="13" fillId="0" borderId="4" xfId="0" applyFont="1" applyBorder="1" applyAlignment="1">
      <alignment horizontal="center" vertical="center"/>
    </xf>
    <xf numFmtId="0" fontId="13" fillId="0" borderId="0" xfId="0" applyFont="1" applyAlignment="1">
      <alignment horizontal="center" vertical="center"/>
    </xf>
    <xf numFmtId="0" fontId="13" fillId="0" borderId="42" xfId="0" applyFont="1" applyBorder="1" applyAlignment="1">
      <alignment horizontal="center" vertical="center"/>
    </xf>
    <xf numFmtId="0" fontId="13" fillId="0" borderId="62" xfId="0" applyFont="1" applyBorder="1" applyAlignment="1">
      <alignment horizontal="center" vertical="center"/>
    </xf>
    <xf numFmtId="0" fontId="13" fillId="0" borderId="1" xfId="0" applyFont="1" applyBorder="1" applyAlignment="1">
      <alignment horizontal="center" vertical="center"/>
    </xf>
    <xf numFmtId="0" fontId="13" fillId="0" borderId="61" xfId="0" applyFont="1" applyBorder="1" applyAlignment="1">
      <alignment horizontal="center" vertical="center"/>
    </xf>
    <xf numFmtId="0" fontId="14" fillId="0" borderId="75" xfId="0" applyFont="1" applyBorder="1" applyAlignment="1">
      <alignment horizontal="left" vertical="top" wrapText="1"/>
    </xf>
    <xf numFmtId="0" fontId="14" fillId="0" borderId="72" xfId="0" applyFont="1" applyBorder="1" applyAlignment="1">
      <alignment horizontal="left" vertical="top" wrapText="1"/>
    </xf>
    <xf numFmtId="0" fontId="14" fillId="0" borderId="76" xfId="0" applyFont="1" applyBorder="1" applyAlignment="1">
      <alignment horizontal="left" vertical="top" wrapText="1"/>
    </xf>
    <xf numFmtId="0" fontId="14" fillId="0" borderId="11" xfId="0" applyFont="1" applyBorder="1" applyAlignment="1">
      <alignment horizontal="left" vertical="top" wrapText="1"/>
    </xf>
    <xf numFmtId="0" fontId="14" fillId="0" borderId="0" xfId="0" applyFont="1" applyAlignment="1">
      <alignment horizontal="left" vertical="top" wrapText="1"/>
    </xf>
    <xf numFmtId="0" fontId="14" fillId="0" borderId="77" xfId="0" applyFont="1" applyBorder="1" applyAlignment="1">
      <alignment horizontal="left" vertical="top" wrapText="1"/>
    </xf>
    <xf numFmtId="0" fontId="14" fillId="0" borderId="16" xfId="0" applyFont="1" applyBorder="1" applyAlignment="1">
      <alignment horizontal="left" vertical="top" wrapText="1"/>
    </xf>
    <xf numFmtId="0" fontId="14" fillId="0" borderId="78" xfId="0" applyFont="1" applyBorder="1" applyAlignment="1">
      <alignment horizontal="left" vertical="top" wrapText="1"/>
    </xf>
    <xf numFmtId="0" fontId="14" fillId="0" borderId="79" xfId="0" applyFont="1" applyBorder="1" applyAlignment="1">
      <alignment horizontal="left" vertical="top" wrapText="1"/>
    </xf>
    <xf numFmtId="0" fontId="14" fillId="0" borderId="73" xfId="0" applyFont="1" applyBorder="1" applyAlignment="1">
      <alignment horizontal="center" vertical="center"/>
    </xf>
    <xf numFmtId="0" fontId="14" fillId="0" borderId="74" xfId="0" applyFont="1" applyBorder="1" applyAlignment="1">
      <alignment horizontal="center" vertical="center"/>
    </xf>
    <xf numFmtId="0" fontId="14" fillId="0" borderId="63" xfId="0" applyFont="1" applyBorder="1" applyAlignment="1">
      <alignment horizontal="center" vertical="center"/>
    </xf>
    <xf numFmtId="0" fontId="14" fillId="0" borderId="4" xfId="0" applyFont="1" applyBorder="1" applyAlignment="1">
      <alignment horizontal="center" vertical="center"/>
    </xf>
    <xf numFmtId="0" fontId="14" fillId="0" borderId="0" xfId="0" applyFont="1" applyAlignment="1">
      <alignment horizontal="center" vertical="center"/>
    </xf>
    <xf numFmtId="0" fontId="14" fillId="0" borderId="42" xfId="0" applyFont="1" applyBorder="1" applyAlignment="1">
      <alignment horizontal="center" vertical="center"/>
    </xf>
    <xf numFmtId="0" fontId="14" fillId="0" borderId="62" xfId="0" applyFont="1" applyBorder="1" applyAlignment="1">
      <alignment horizontal="center" vertical="center"/>
    </xf>
    <xf numFmtId="0" fontId="14" fillId="0" borderId="1" xfId="0" applyFont="1" applyBorder="1" applyAlignment="1">
      <alignment horizontal="center" vertical="center"/>
    </xf>
    <xf numFmtId="0" fontId="14" fillId="0" borderId="61" xfId="0" applyFont="1" applyBorder="1" applyAlignment="1">
      <alignment horizontal="center" vertical="center"/>
    </xf>
    <xf numFmtId="183" fontId="14" fillId="0" borderId="73" xfId="0" applyNumberFormat="1" applyFont="1" applyBorder="1" applyAlignment="1">
      <alignment horizontal="center" vertical="center"/>
    </xf>
    <xf numFmtId="183" fontId="14" fillId="0" borderId="74" xfId="0" applyNumberFormat="1" applyFont="1" applyBorder="1" applyAlignment="1">
      <alignment horizontal="center" vertical="center"/>
    </xf>
    <xf numFmtId="183" fontId="14" fillId="0" borderId="63" xfId="0" applyNumberFormat="1" applyFont="1" applyBorder="1" applyAlignment="1">
      <alignment horizontal="center" vertical="center"/>
    </xf>
    <xf numFmtId="183" fontId="14" fillId="0" borderId="4" xfId="0" applyNumberFormat="1" applyFont="1" applyBorder="1" applyAlignment="1">
      <alignment horizontal="center" vertical="center"/>
    </xf>
    <xf numFmtId="183" fontId="14" fillId="0" borderId="0" xfId="0" applyNumberFormat="1" applyFont="1" applyAlignment="1">
      <alignment horizontal="center" vertical="center"/>
    </xf>
    <xf numFmtId="183" fontId="14" fillId="0" borderId="42" xfId="0" applyNumberFormat="1" applyFont="1" applyBorder="1" applyAlignment="1">
      <alignment horizontal="center" vertical="center"/>
    </xf>
    <xf numFmtId="183" fontId="14" fillId="0" borderId="62" xfId="0" applyNumberFormat="1" applyFont="1" applyBorder="1" applyAlignment="1">
      <alignment horizontal="center" vertical="center"/>
    </xf>
    <xf numFmtId="183" fontId="14" fillId="0" borderId="1" xfId="0" applyNumberFormat="1" applyFont="1" applyBorder="1" applyAlignment="1">
      <alignment horizontal="center" vertical="center"/>
    </xf>
    <xf numFmtId="183" fontId="14" fillId="0" borderId="61" xfId="0" applyNumberFormat="1" applyFont="1" applyBorder="1" applyAlignment="1">
      <alignment horizontal="center" vertical="center"/>
    </xf>
    <xf numFmtId="0" fontId="0" fillId="0" borderId="4" xfId="0" applyBorder="1" applyAlignment="1">
      <alignment horizontal="center" vertical="center"/>
    </xf>
    <xf numFmtId="0" fontId="0" fillId="0" borderId="62"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42" xfId="0" applyBorder="1" applyAlignment="1">
      <alignment horizontal="center" vertical="center"/>
    </xf>
    <xf numFmtId="0" fontId="0" fillId="0" borderId="61" xfId="0" applyBorder="1" applyAlignment="1">
      <alignment horizontal="center" vertical="center"/>
    </xf>
    <xf numFmtId="179" fontId="0" fillId="0" borderId="23" xfId="0" applyNumberFormat="1" applyBorder="1" applyAlignment="1">
      <alignment horizontal="right" vertical="center"/>
    </xf>
    <xf numFmtId="179" fontId="0" fillId="0" borderId="6" xfId="0" applyNumberFormat="1" applyBorder="1" applyAlignment="1">
      <alignment horizontal="right" vertical="center"/>
    </xf>
    <xf numFmtId="178" fontId="0" fillId="0" borderId="23" xfId="0" applyNumberFormat="1" applyBorder="1" applyAlignment="1">
      <alignment horizontal="right" vertical="center"/>
    </xf>
    <xf numFmtId="178" fontId="0" fillId="0" borderId="6" xfId="0" applyNumberFormat="1" applyBorder="1" applyAlignment="1">
      <alignment horizontal="right" vertical="center"/>
    </xf>
    <xf numFmtId="178" fontId="0" fillId="0" borderId="23" xfId="0" applyNumberFormat="1" applyBorder="1" applyAlignment="1">
      <alignment horizontal="right" vertical="center" shrinkToFit="1"/>
    </xf>
    <xf numFmtId="178" fontId="0" fillId="0" borderId="6" xfId="0" applyNumberFormat="1" applyBorder="1" applyAlignment="1">
      <alignment horizontal="right" vertical="center" shrinkToFit="1"/>
    </xf>
    <xf numFmtId="0" fontId="0" fillId="0" borderId="58" xfId="0" applyBorder="1" applyAlignment="1">
      <alignment horizontal="center" vertical="center"/>
    </xf>
    <xf numFmtId="0" fontId="0" fillId="0" borderId="2" xfId="0" applyBorder="1" applyAlignment="1">
      <alignment horizontal="center" vertical="center"/>
    </xf>
    <xf numFmtId="0" fontId="0" fillId="0" borderId="33" xfId="0" applyBorder="1" applyAlignment="1">
      <alignment horizontal="center" vertical="center"/>
    </xf>
    <xf numFmtId="0" fontId="0" fillId="0" borderId="3" xfId="0" applyBorder="1" applyAlignment="1">
      <alignment horizontal="center" vertical="center"/>
    </xf>
    <xf numFmtId="0" fontId="0" fillId="0" borderId="73" xfId="0" applyBorder="1" applyAlignment="1">
      <alignment horizontal="left" vertical="center"/>
    </xf>
    <xf numFmtId="0" fontId="0" fillId="0" borderId="62" xfId="0" applyBorder="1" applyAlignment="1">
      <alignment horizontal="left" vertical="center"/>
    </xf>
    <xf numFmtId="0" fontId="0" fillId="0" borderId="80" xfId="0" applyBorder="1" applyAlignment="1">
      <alignment horizontal="center" vertical="center"/>
    </xf>
    <xf numFmtId="0" fontId="0" fillId="0" borderId="81" xfId="0" applyBorder="1" applyAlignment="1">
      <alignment horizontal="center" vertical="center"/>
    </xf>
    <xf numFmtId="0" fontId="0" fillId="2" borderId="73" xfId="0" applyFill="1" applyBorder="1">
      <alignment vertical="center"/>
    </xf>
    <xf numFmtId="0" fontId="0" fillId="2" borderId="74" xfId="0" applyFill="1" applyBorder="1">
      <alignment vertical="center"/>
    </xf>
    <xf numFmtId="0" fontId="0" fillId="2" borderId="63" xfId="0" applyFill="1" applyBorder="1">
      <alignment vertical="center"/>
    </xf>
    <xf numFmtId="0" fontId="0" fillId="3" borderId="73" xfId="0" applyFill="1" applyBorder="1">
      <alignment vertical="center"/>
    </xf>
    <xf numFmtId="0" fontId="0" fillId="3" borderId="74" xfId="0" applyFill="1" applyBorder="1">
      <alignment vertical="center"/>
    </xf>
    <xf numFmtId="0" fontId="0" fillId="3" borderId="63" xfId="0" applyFill="1" applyBorder="1">
      <alignment vertical="center"/>
    </xf>
    <xf numFmtId="0" fontId="0" fillId="0" borderId="82" xfId="0" applyBorder="1" applyAlignment="1">
      <alignment horizontal="center" vertical="center"/>
    </xf>
    <xf numFmtId="0" fontId="0" fillId="0" borderId="83" xfId="0" applyBorder="1" applyAlignment="1">
      <alignment horizontal="center" vertical="center"/>
    </xf>
    <xf numFmtId="0" fontId="0" fillId="0" borderId="84" xfId="0" applyBorder="1" applyAlignment="1">
      <alignment horizontal="center" vertical="center"/>
    </xf>
    <xf numFmtId="0" fontId="0" fillId="0" borderId="85" xfId="0" applyBorder="1" applyAlignment="1">
      <alignment horizontal="center" vertical="center"/>
    </xf>
    <xf numFmtId="0" fontId="0" fillId="0" borderId="86" xfId="0" applyBorder="1" applyAlignment="1">
      <alignment horizontal="center" vertical="center"/>
    </xf>
    <xf numFmtId="0" fontId="0" fillId="0" borderId="87" xfId="0" applyBorder="1" applyAlignment="1">
      <alignment horizontal="center" vertical="center"/>
    </xf>
    <xf numFmtId="0" fontId="0" fillId="0" borderId="73" xfId="0" applyBorder="1" applyAlignment="1">
      <alignment horizontal="left" vertical="center" shrinkToFit="1"/>
    </xf>
    <xf numFmtId="0" fontId="0" fillId="0" borderId="62" xfId="0" applyBorder="1" applyAlignment="1">
      <alignment horizontal="left" vertical="center" shrinkToFit="1"/>
    </xf>
    <xf numFmtId="0" fontId="0" fillId="0" borderId="74" xfId="0" applyBorder="1" applyAlignment="1">
      <alignment horizontal="center" vertical="center"/>
    </xf>
    <xf numFmtId="0" fontId="14" fillId="0" borderId="3" xfId="0" applyFont="1" applyBorder="1" applyAlignment="1">
      <alignment horizontal="center" vertical="center" textRotation="255"/>
    </xf>
    <xf numFmtId="0" fontId="14" fillId="0" borderId="23" xfId="0" applyFont="1" applyBorder="1" applyAlignment="1">
      <alignment horizontal="center" vertical="center" textRotation="255"/>
    </xf>
    <xf numFmtId="0" fontId="14" fillId="0" borderId="5" xfId="0" applyFont="1" applyBorder="1" applyAlignment="1">
      <alignment horizontal="center" vertical="center" textRotation="255"/>
    </xf>
    <xf numFmtId="0" fontId="14" fillId="0" borderId="6" xfId="0" applyFont="1" applyBorder="1" applyAlignment="1">
      <alignment horizontal="center" vertical="center" textRotation="255"/>
    </xf>
    <xf numFmtId="0" fontId="13" fillId="0" borderId="3" xfId="0" applyFont="1" applyBorder="1" applyAlignment="1">
      <alignment horizontal="left" vertical="center" shrinkToFit="1"/>
    </xf>
    <xf numFmtId="0" fontId="11" fillId="0" borderId="0" xfId="0" applyFont="1">
      <alignment vertical="center"/>
    </xf>
    <xf numFmtId="0" fontId="10" fillId="0" borderId="1" xfId="4" applyFont="1" applyBorder="1" applyAlignment="1">
      <alignment vertical="center"/>
    </xf>
    <xf numFmtId="0" fontId="17" fillId="0" borderId="52" xfId="0" applyFont="1" applyBorder="1" applyAlignment="1">
      <alignment horizontal="left" vertical="center" shrinkToFit="1"/>
    </xf>
    <xf numFmtId="0" fontId="17" fillId="0" borderId="89" xfId="0" applyFont="1" applyBorder="1" applyAlignment="1">
      <alignment horizontal="left" vertical="center" shrinkToFit="1"/>
    </xf>
    <xf numFmtId="0" fontId="17" fillId="0" borderId="56" xfId="0" applyFont="1" applyBorder="1" applyAlignment="1">
      <alignment horizontal="left" vertical="center" shrinkToFit="1"/>
    </xf>
    <xf numFmtId="0" fontId="17" fillId="0" borderId="92" xfId="0" applyFont="1" applyBorder="1" applyAlignment="1">
      <alignment horizontal="left" vertical="center" shrinkToFit="1"/>
    </xf>
    <xf numFmtId="49" fontId="17" fillId="0" borderId="58" xfId="4" applyNumberFormat="1" applyFont="1" applyBorder="1" applyAlignment="1">
      <alignment horizontal="center" vertical="center"/>
    </xf>
    <xf numFmtId="49" fontId="17" fillId="0" borderId="2" xfId="4" applyNumberFormat="1" applyFont="1" applyBorder="1" applyAlignment="1">
      <alignment horizontal="center" vertical="center"/>
    </xf>
    <xf numFmtId="49" fontId="17" fillId="0" borderId="33" xfId="4" applyNumberFormat="1" applyFont="1" applyBorder="1" applyAlignment="1">
      <alignment horizontal="center" vertical="center"/>
    </xf>
    <xf numFmtId="0" fontId="13" fillId="0" borderId="52" xfId="0" applyFont="1" applyBorder="1" applyAlignment="1">
      <alignment horizontal="left" vertical="center" shrinkToFit="1"/>
    </xf>
    <xf numFmtId="0" fontId="13" fillId="0" borderId="89" xfId="0" applyFont="1" applyBorder="1" applyAlignment="1">
      <alignment horizontal="left" vertical="center" shrinkToFit="1"/>
    </xf>
    <xf numFmtId="0" fontId="17" fillId="0" borderId="54" xfId="0" applyFont="1" applyBorder="1" applyAlignment="1">
      <alignment horizontal="left" vertical="center" shrinkToFit="1"/>
    </xf>
    <xf numFmtId="0" fontId="17" fillId="0" borderId="88" xfId="0" applyFont="1" applyBorder="1" applyAlignment="1">
      <alignment horizontal="left" vertical="center" shrinkToFit="1"/>
    </xf>
    <xf numFmtId="0" fontId="13" fillId="0" borderId="4" xfId="0" applyFont="1" applyBorder="1" applyAlignment="1">
      <alignment horizontal="left" vertical="center" shrinkToFit="1"/>
    </xf>
    <xf numFmtId="0" fontId="13" fillId="0" borderId="0" xfId="0" applyFont="1" applyAlignment="1">
      <alignment horizontal="left" vertical="center" shrinkToFit="1"/>
    </xf>
    <xf numFmtId="0" fontId="13" fillId="0" borderId="58" xfId="0" applyFont="1" applyBorder="1" applyAlignment="1">
      <alignment horizontal="left" vertical="center" shrinkToFit="1"/>
    </xf>
    <xf numFmtId="0" fontId="13" fillId="0" borderId="2" xfId="0" applyFont="1" applyBorder="1" applyAlignment="1">
      <alignment horizontal="left" vertical="center" shrinkToFit="1"/>
    </xf>
    <xf numFmtId="0" fontId="13" fillId="0" borderId="62" xfId="0" applyFont="1" applyBorder="1" applyAlignment="1">
      <alignment horizontal="left" vertical="center" shrinkToFit="1"/>
    </xf>
    <xf numFmtId="0" fontId="13" fillId="0" borderId="1" xfId="0" applyFont="1" applyBorder="1" applyAlignment="1">
      <alignment horizontal="left" vertical="center" shrinkToFit="1"/>
    </xf>
    <xf numFmtId="0" fontId="17" fillId="0" borderId="90" xfId="0" applyFont="1" applyBorder="1" applyAlignment="1">
      <alignment horizontal="left" vertical="center" shrinkToFit="1"/>
    </xf>
    <xf numFmtId="0" fontId="17" fillId="0" borderId="91" xfId="0" applyFont="1" applyBorder="1" applyAlignment="1">
      <alignment horizontal="left" vertical="center" shrinkToFit="1"/>
    </xf>
    <xf numFmtId="0" fontId="13" fillId="0" borderId="33" xfId="0" applyFont="1" applyBorder="1" applyAlignment="1">
      <alignment horizontal="left" vertical="center" shrinkToFit="1"/>
    </xf>
    <xf numFmtId="0" fontId="13" fillId="0" borderId="73" xfId="0" applyFont="1" applyBorder="1" applyAlignment="1">
      <alignment horizontal="left" vertical="center" shrinkToFit="1"/>
    </xf>
    <xf numFmtId="0" fontId="13" fillId="0" borderId="74" xfId="0" applyFont="1" applyBorder="1" applyAlignment="1">
      <alignment horizontal="left" vertical="center" shrinkToFit="1"/>
    </xf>
    <xf numFmtId="0" fontId="0" fillId="0" borderId="74" xfId="0" applyBorder="1" applyAlignment="1">
      <alignment vertical="center" wrapText="1"/>
    </xf>
    <xf numFmtId="0" fontId="0" fillId="0" borderId="0" xfId="0" applyAlignment="1">
      <alignment vertical="center" wrapText="1"/>
    </xf>
    <xf numFmtId="0" fontId="13" fillId="0" borderId="56" xfId="0" applyFont="1" applyBorder="1" applyAlignment="1">
      <alignment horizontal="left" vertical="center" shrinkToFit="1"/>
    </xf>
    <xf numFmtId="0" fontId="13" fillId="0" borderId="92" xfId="0" applyFont="1" applyBorder="1" applyAlignment="1">
      <alignment horizontal="left" vertical="center" shrinkToFit="1"/>
    </xf>
    <xf numFmtId="0" fontId="13" fillId="0" borderId="63" xfId="0" applyFont="1" applyBorder="1" applyAlignment="1">
      <alignment horizontal="left" vertical="center" shrinkToFit="1"/>
    </xf>
    <xf numFmtId="0" fontId="17" fillId="0" borderId="52" xfId="0" applyFont="1" applyBorder="1" applyAlignment="1">
      <alignment vertical="center" shrinkToFit="1"/>
    </xf>
    <xf numFmtId="0" fontId="17" fillId="0" borderId="89" xfId="0" applyFont="1" applyBorder="1" applyAlignment="1">
      <alignment vertical="center" shrinkToFit="1"/>
    </xf>
    <xf numFmtId="0" fontId="17" fillId="0" borderId="53" xfId="0" applyFont="1" applyBorder="1" applyAlignment="1">
      <alignment vertical="center" shrinkToFit="1"/>
    </xf>
    <xf numFmtId="0" fontId="17" fillId="0" borderId="54" xfId="0" applyFont="1" applyBorder="1" applyAlignment="1">
      <alignment vertical="center" shrinkToFit="1"/>
    </xf>
    <xf numFmtId="0" fontId="17" fillId="0" borderId="88" xfId="0" applyFont="1" applyBorder="1" applyAlignment="1">
      <alignment vertical="center" shrinkToFit="1"/>
    </xf>
    <xf numFmtId="0" fontId="17" fillId="0" borderId="55" xfId="0" applyFont="1" applyBorder="1" applyAlignment="1">
      <alignment vertical="center" shrinkToFit="1"/>
    </xf>
    <xf numFmtId="49" fontId="17" fillId="0" borderId="3" xfId="4" applyNumberFormat="1" applyFont="1" applyBorder="1" applyAlignment="1">
      <alignment horizontal="center" vertical="center"/>
    </xf>
    <xf numFmtId="0" fontId="17" fillId="0" borderId="26" xfId="0" applyFont="1" applyBorder="1" applyAlignment="1">
      <alignment horizontal="left" vertical="center" shrinkToFit="1"/>
    </xf>
    <xf numFmtId="0" fontId="13" fillId="0" borderId="23" xfId="0" applyFont="1" applyBorder="1" applyAlignment="1">
      <alignment horizontal="left" vertical="center" shrinkToFit="1"/>
    </xf>
    <xf numFmtId="0" fontId="17" fillId="0" borderId="25" xfId="0" applyFont="1" applyBorder="1" applyAlignment="1">
      <alignment horizontal="left" vertical="center" shrinkToFit="1"/>
    </xf>
    <xf numFmtId="0" fontId="13" fillId="0" borderId="5" xfId="0" applyFont="1" applyBorder="1" applyAlignment="1">
      <alignment horizontal="left" vertical="center" shrinkToFit="1"/>
    </xf>
    <xf numFmtId="0" fontId="13" fillId="0" borderId="73" xfId="0" applyFont="1" applyBorder="1" applyAlignment="1">
      <alignment vertical="center" shrinkToFit="1"/>
    </xf>
    <xf numFmtId="0" fontId="13" fillId="0" borderId="74" xfId="0" applyFont="1" applyBorder="1" applyAlignment="1">
      <alignment vertical="center" shrinkToFit="1"/>
    </xf>
    <xf numFmtId="0" fontId="13" fillId="0" borderId="63" xfId="0" applyFont="1" applyBorder="1" applyAlignment="1">
      <alignment vertical="center" shrinkToFit="1"/>
    </xf>
    <xf numFmtId="0" fontId="17" fillId="0" borderId="56" xfId="0" applyFont="1" applyBorder="1" applyAlignment="1">
      <alignment vertical="center" shrinkToFit="1"/>
    </xf>
    <xf numFmtId="0" fontId="17" fillId="0" borderId="92" xfId="0" applyFont="1" applyBorder="1" applyAlignment="1">
      <alignment vertical="center" shrinkToFit="1"/>
    </xf>
    <xf numFmtId="0" fontId="17" fillId="0" borderId="57" xfId="0" applyFont="1" applyBorder="1" applyAlignment="1">
      <alignment vertical="center" shrinkToFit="1"/>
    </xf>
    <xf numFmtId="0" fontId="17" fillId="0" borderId="24" xfId="0" applyFont="1" applyBorder="1" applyAlignment="1">
      <alignment horizontal="left" vertical="center" shrinkToFit="1"/>
    </xf>
    <xf numFmtId="0" fontId="13" fillId="0" borderId="58" xfId="0" applyFont="1" applyBorder="1" applyAlignment="1">
      <alignment vertical="center" shrinkToFit="1"/>
    </xf>
    <xf numFmtId="0" fontId="13" fillId="0" borderId="2" xfId="0" applyFont="1" applyBorder="1" applyAlignment="1">
      <alignment vertical="center" shrinkToFit="1"/>
    </xf>
    <xf numFmtId="0" fontId="13" fillId="0" borderId="33" xfId="0" applyFont="1" applyBorder="1" applyAlignment="1">
      <alignment vertical="center" shrinkToFit="1"/>
    </xf>
    <xf numFmtId="0" fontId="17" fillId="0" borderId="23" xfId="0" applyFont="1" applyBorder="1" applyAlignment="1">
      <alignment horizontal="left" vertical="center" shrinkToFit="1"/>
    </xf>
    <xf numFmtId="0" fontId="13" fillId="2" borderId="75" xfId="0" applyFont="1" applyFill="1" applyBorder="1">
      <alignment vertical="center"/>
    </xf>
    <xf numFmtId="0" fontId="13" fillId="2" borderId="72" xfId="0" applyFont="1" applyFill="1" applyBorder="1">
      <alignment vertical="center"/>
    </xf>
    <xf numFmtId="0" fontId="13" fillId="2" borderId="99" xfId="0" applyFont="1" applyFill="1" applyBorder="1">
      <alignment vertical="center"/>
    </xf>
    <xf numFmtId="0" fontId="13" fillId="0" borderId="80" xfId="0" applyFont="1" applyBorder="1" applyAlignment="1">
      <alignment horizontal="center" vertical="center" shrinkToFit="1"/>
    </xf>
    <xf numFmtId="0" fontId="13" fillId="0" borderId="81" xfId="0" applyFont="1" applyBorder="1" applyAlignment="1">
      <alignment horizontal="center" vertical="center" shrinkToFit="1"/>
    </xf>
    <xf numFmtId="0" fontId="13" fillId="0" borderId="23" xfId="0" applyFont="1" applyBorder="1" applyAlignment="1">
      <alignment horizontal="center" vertical="center"/>
    </xf>
    <xf numFmtId="0" fontId="13" fillId="0" borderId="6" xfId="0" applyFont="1" applyBorder="1" applyAlignment="1">
      <alignment horizontal="center" vertical="center"/>
    </xf>
    <xf numFmtId="0" fontId="8" fillId="0" borderId="23" xfId="0" applyFont="1" applyBorder="1" applyAlignment="1">
      <alignment vertical="top" wrapText="1"/>
    </xf>
    <xf numFmtId="0" fontId="8" fillId="0" borderId="6" xfId="0" applyFont="1" applyBorder="1" applyAlignment="1">
      <alignment vertical="top" wrapText="1"/>
    </xf>
    <xf numFmtId="0" fontId="8" fillId="0" borderId="94" xfId="0" applyFont="1" applyBorder="1" applyAlignment="1">
      <alignment vertical="top" wrapText="1"/>
    </xf>
    <xf numFmtId="0" fontId="8" fillId="0" borderId="19" xfId="0" applyFont="1" applyBorder="1" applyAlignment="1">
      <alignment vertical="top" wrapText="1"/>
    </xf>
    <xf numFmtId="0" fontId="5" fillId="0" borderId="0" xfId="0" applyFont="1" applyAlignment="1">
      <alignment horizontal="left" vertical="center"/>
    </xf>
    <xf numFmtId="0" fontId="1" fillId="0" borderId="78" xfId="0" applyFont="1" applyBorder="1" applyAlignment="1">
      <alignment horizontal="left" vertical="center" shrinkToFit="1"/>
    </xf>
    <xf numFmtId="0" fontId="13" fillId="0" borderId="106" xfId="0" applyFont="1" applyBorder="1" applyAlignment="1">
      <alignment horizontal="center" vertical="center"/>
    </xf>
    <xf numFmtId="0" fontId="13" fillId="0" borderId="107" xfId="0" applyFont="1" applyBorder="1" applyAlignment="1">
      <alignment horizontal="center" vertical="center"/>
    </xf>
    <xf numFmtId="0" fontId="13" fillId="0" borderId="72" xfId="0" applyFont="1" applyBorder="1" applyAlignment="1">
      <alignment horizontal="center" vertical="center" wrapText="1"/>
    </xf>
    <xf numFmtId="0" fontId="13" fillId="0" borderId="78" xfId="0" applyFont="1" applyBorder="1" applyAlignment="1">
      <alignment horizontal="center" vertical="center"/>
    </xf>
    <xf numFmtId="0" fontId="13" fillId="0" borderId="99" xfId="0" applyFont="1" applyBorder="1" applyAlignment="1">
      <alignment horizontal="center" vertical="center" shrinkToFit="1"/>
    </xf>
    <xf numFmtId="0" fontId="13" fillId="0" borderId="95" xfId="0" applyFont="1" applyBorder="1" applyAlignment="1">
      <alignment horizontal="center" vertical="center" shrinkToFit="1"/>
    </xf>
    <xf numFmtId="0" fontId="13" fillId="0" borderId="21" xfId="0" applyFont="1" applyBorder="1" applyAlignment="1">
      <alignment horizontal="center" vertical="center" shrinkToFit="1"/>
    </xf>
    <xf numFmtId="0" fontId="13" fillId="0" borderId="93" xfId="0" applyFont="1" applyBorder="1" applyAlignment="1">
      <alignment horizontal="center" vertical="center" shrinkToFit="1"/>
    </xf>
    <xf numFmtId="0" fontId="13" fillId="0" borderId="21" xfId="0" applyFont="1" applyBorder="1" applyAlignment="1">
      <alignment horizontal="center" vertical="center"/>
    </xf>
    <xf numFmtId="0" fontId="13" fillId="0" borderId="93"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8" fillId="0" borderId="23" xfId="0" applyFont="1" applyBorder="1" applyAlignment="1">
      <alignment horizontal="left" vertical="top" wrapText="1"/>
    </xf>
    <xf numFmtId="0" fontId="8" fillId="0" borderId="6" xfId="0" applyFont="1" applyBorder="1" applyAlignment="1">
      <alignment horizontal="left" vertical="top" wrapText="1"/>
    </xf>
    <xf numFmtId="0" fontId="8" fillId="0" borderId="94" xfId="0" applyFont="1" applyBorder="1" applyAlignment="1">
      <alignment horizontal="left" vertical="top" wrapText="1"/>
    </xf>
    <xf numFmtId="0" fontId="8" fillId="0" borderId="19" xfId="0" applyFont="1" applyBorder="1" applyAlignment="1">
      <alignment horizontal="left" vertical="top" wrapText="1"/>
    </xf>
    <xf numFmtId="0" fontId="13" fillId="0" borderId="63" xfId="0" applyFont="1" applyBorder="1" applyAlignment="1">
      <alignment horizontal="center" vertical="center" shrinkToFit="1"/>
    </xf>
    <xf numFmtId="0" fontId="13" fillId="0" borderId="61" xfId="0" applyFont="1" applyBorder="1" applyAlignment="1">
      <alignment horizontal="center" vertical="center" shrinkToFit="1"/>
    </xf>
    <xf numFmtId="0" fontId="13" fillId="3" borderId="75" xfId="0" applyFont="1" applyFill="1" applyBorder="1">
      <alignment vertical="center"/>
    </xf>
    <xf numFmtId="0" fontId="13" fillId="3" borderId="72" xfId="0" applyFont="1" applyFill="1" applyBorder="1">
      <alignment vertical="center"/>
    </xf>
    <xf numFmtId="0" fontId="13" fillId="3" borderId="99" xfId="0" applyFont="1" applyFill="1" applyBorder="1">
      <alignment vertical="center"/>
    </xf>
    <xf numFmtId="0" fontId="13" fillId="0" borderId="103" xfId="0" applyFont="1" applyBorder="1" applyAlignment="1">
      <alignment horizontal="center" vertical="center" shrinkToFit="1"/>
    </xf>
    <xf numFmtId="0" fontId="13" fillId="0" borderId="104" xfId="0" applyFont="1" applyBorder="1" applyAlignment="1">
      <alignment horizontal="center" vertical="center" shrinkToFit="1"/>
    </xf>
    <xf numFmtId="0" fontId="13" fillId="0" borderId="5" xfId="0" applyFont="1" applyBorder="1" applyAlignment="1">
      <alignment horizontal="center" vertical="center"/>
    </xf>
    <xf numFmtId="0" fontId="8" fillId="0" borderId="5" xfId="0" applyFont="1" applyBorder="1" applyAlignment="1">
      <alignment horizontal="left" vertical="top" wrapText="1"/>
    </xf>
    <xf numFmtId="0" fontId="8" fillId="0" borderId="93" xfId="0" applyFont="1" applyBorder="1" applyAlignment="1">
      <alignment horizontal="left" vertical="top" wrapText="1"/>
    </xf>
    <xf numFmtId="0" fontId="13" fillId="0" borderId="105" xfId="0" applyFont="1" applyBorder="1" applyAlignment="1">
      <alignment horizontal="center" vertical="center" shrinkToFit="1"/>
    </xf>
    <xf numFmtId="0" fontId="13" fillId="0" borderId="3" xfId="0" applyFont="1" applyBorder="1" applyAlignment="1">
      <alignment horizontal="center" vertical="center"/>
    </xf>
    <xf numFmtId="0" fontId="8" fillId="0" borderId="3" xfId="0" applyFont="1" applyBorder="1" applyAlignment="1">
      <alignment horizontal="left" vertical="top" wrapText="1"/>
    </xf>
    <xf numFmtId="0" fontId="8" fillId="0" borderId="58" xfId="0" applyFont="1" applyBorder="1" applyAlignment="1">
      <alignment horizontal="left" vertical="top" wrapText="1"/>
    </xf>
    <xf numFmtId="0" fontId="8" fillId="0" borderId="60" xfId="0" applyFont="1" applyBorder="1" applyAlignment="1">
      <alignment horizontal="left" vertical="top" wrapText="1"/>
    </xf>
    <xf numFmtId="0" fontId="8" fillId="0" borderId="4" xfId="0" applyFont="1" applyBorder="1" applyAlignment="1">
      <alignment horizontal="left" vertical="top" wrapText="1"/>
    </xf>
    <xf numFmtId="0" fontId="8" fillId="0" borderId="77" xfId="0" applyFont="1" applyBorder="1" applyAlignment="1">
      <alignment horizontal="left" vertical="top" wrapText="1"/>
    </xf>
    <xf numFmtId="0" fontId="8" fillId="0" borderId="100" xfId="0" applyFont="1" applyBorder="1" applyAlignment="1">
      <alignment horizontal="left" vertical="top" wrapText="1"/>
    </xf>
    <xf numFmtId="0" fontId="8" fillId="0" borderId="79" xfId="0" applyFont="1" applyBorder="1" applyAlignment="1">
      <alignment horizontal="left" vertical="top" wrapText="1"/>
    </xf>
    <xf numFmtId="0" fontId="13" fillId="3" borderId="0" xfId="0" applyFont="1" applyFill="1">
      <alignment vertical="center"/>
    </xf>
    <xf numFmtId="0" fontId="8" fillId="0" borderId="96" xfId="0" applyFont="1" applyBorder="1" applyAlignment="1">
      <alignment horizontal="left" vertical="top" wrapText="1"/>
    </xf>
    <xf numFmtId="0" fontId="13" fillId="2" borderId="101" xfId="0" applyFont="1" applyFill="1" applyBorder="1">
      <alignment vertical="center"/>
    </xf>
    <xf numFmtId="0" fontId="13" fillId="2" borderId="102" xfId="0" applyFont="1" applyFill="1" applyBorder="1">
      <alignment vertical="center"/>
    </xf>
    <xf numFmtId="0" fontId="13" fillId="0" borderId="42" xfId="0" applyFont="1" applyBorder="1" applyAlignment="1">
      <alignment horizontal="center" vertical="center" shrinkToFit="1"/>
    </xf>
    <xf numFmtId="0" fontId="8" fillId="0" borderId="41" xfId="0" applyFont="1" applyBorder="1" applyAlignment="1">
      <alignment horizontal="left" vertical="top" wrapText="1"/>
    </xf>
    <xf numFmtId="0" fontId="15" fillId="0" borderId="23" xfId="0" applyFont="1" applyBorder="1" applyAlignment="1">
      <alignment horizontal="center" vertical="center"/>
    </xf>
    <xf numFmtId="0" fontId="15" fillId="0" borderId="93" xfId="0" applyFont="1" applyBorder="1" applyAlignment="1">
      <alignment horizontal="center" vertical="center"/>
    </xf>
    <xf numFmtId="0" fontId="16" fillId="0" borderId="23" xfId="0" applyFont="1" applyBorder="1" applyAlignment="1">
      <alignment horizontal="left" vertical="top" wrapText="1"/>
    </xf>
    <xf numFmtId="0" fontId="16" fillId="0" borderId="6" xfId="0" applyFont="1" applyBorder="1" applyAlignment="1">
      <alignment horizontal="left" vertical="top" wrapText="1"/>
    </xf>
    <xf numFmtId="0" fontId="13" fillId="3" borderId="11" xfId="0" applyFont="1" applyFill="1" applyBorder="1">
      <alignment vertical="center"/>
    </xf>
    <xf numFmtId="0" fontId="13" fillId="3" borderId="1" xfId="0" applyFont="1" applyFill="1" applyBorder="1">
      <alignment vertical="center"/>
    </xf>
    <xf numFmtId="0" fontId="13" fillId="3" borderId="61" xfId="0" applyFont="1" applyFill="1" applyBorder="1">
      <alignment vertical="center"/>
    </xf>
    <xf numFmtId="0" fontId="13" fillId="3" borderId="101" xfId="0" applyFont="1" applyFill="1" applyBorder="1">
      <alignment vertical="center"/>
    </xf>
    <xf numFmtId="0" fontId="13" fillId="3" borderId="102" xfId="0" applyFont="1" applyFill="1" applyBorder="1">
      <alignment vertical="center"/>
    </xf>
    <xf numFmtId="0" fontId="8" fillId="0" borderId="73" xfId="0" applyFont="1" applyBorder="1" applyAlignment="1">
      <alignment horizontal="left" vertical="top" wrapText="1"/>
    </xf>
    <xf numFmtId="0" fontId="8" fillId="0" borderId="97" xfId="0" applyFont="1" applyBorder="1" applyAlignment="1">
      <alignment horizontal="left" vertical="top" wrapText="1"/>
    </xf>
    <xf numFmtId="0" fontId="8" fillId="0" borderId="62" xfId="0" applyFont="1" applyBorder="1" applyAlignment="1">
      <alignment horizontal="left" vertical="top" wrapText="1"/>
    </xf>
    <xf numFmtId="0" fontId="8" fillId="0" borderId="98" xfId="0" applyFont="1" applyBorder="1" applyAlignment="1">
      <alignment horizontal="left" vertical="top" wrapText="1"/>
    </xf>
    <xf numFmtId="0" fontId="8" fillId="0" borderId="73" xfId="0" applyFont="1" applyBorder="1" applyAlignment="1">
      <alignment vertical="top" wrapText="1"/>
    </xf>
    <xf numFmtId="0" fontId="8" fillId="0" borderId="97" xfId="0" applyFont="1" applyBorder="1" applyAlignment="1">
      <alignment vertical="top" wrapText="1"/>
    </xf>
    <xf numFmtId="0" fontId="8" fillId="0" borderId="100" xfId="0" applyFont="1" applyBorder="1" applyAlignment="1">
      <alignment vertical="top" wrapText="1"/>
    </xf>
    <xf numFmtId="0" fontId="8" fillId="0" borderId="79" xfId="0" applyFont="1" applyBorder="1" applyAlignment="1">
      <alignment vertical="top" wrapText="1"/>
    </xf>
    <xf numFmtId="0" fontId="8" fillId="0" borderId="62" xfId="0" applyFont="1" applyBorder="1" applyAlignment="1">
      <alignment vertical="top" wrapText="1"/>
    </xf>
    <xf numFmtId="0" fontId="8" fillId="0" borderId="98" xfId="0" applyFont="1" applyBorder="1" applyAlignment="1">
      <alignment vertical="top" wrapText="1"/>
    </xf>
  </cellXfs>
  <cellStyles count="5">
    <cellStyle name="パーセント" xfId="1" builtinId="5"/>
    <cellStyle name="桁区切り" xfId="2" builtinId="6"/>
    <cellStyle name="標準" xfId="0" builtinId="0"/>
    <cellStyle name="標準_03_委員会資料_3rd_No.41_集計様式" xfId="3" xr:uid="{00000000-0005-0000-0000-000003000000}"/>
    <cellStyle name="標準_NEW集計リスト表頭ﾃﾝﾌﾟﾚｰﾄ"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貸借対照表　構成比較</a:t>
            </a:r>
          </a:p>
        </c:rich>
      </c:tx>
      <c:layout>
        <c:manualLayout>
          <c:xMode val="edge"/>
          <c:yMode val="edge"/>
          <c:x val="0.33146060950302009"/>
          <c:y val="3.5335668027332276E-2"/>
        </c:manualLayout>
      </c:layout>
      <c:overlay val="0"/>
      <c:spPr>
        <a:noFill/>
        <a:ln w="25400">
          <a:noFill/>
        </a:ln>
      </c:spPr>
    </c:title>
    <c:autoTitleDeleted val="0"/>
    <c:plotArea>
      <c:layout>
        <c:manualLayout>
          <c:layoutTarget val="inner"/>
          <c:xMode val="edge"/>
          <c:yMode val="edge"/>
          <c:x val="0.17696629213483145"/>
          <c:y val="0.27561885010429915"/>
          <c:w val="0.7837078651685393"/>
          <c:h val="0.57950630021929561"/>
        </c:manualLayout>
      </c:layout>
      <c:barChart>
        <c:barDir val="col"/>
        <c:grouping val="percentStacked"/>
        <c:varyColors val="0"/>
        <c:ser>
          <c:idx val="3"/>
          <c:order val="0"/>
          <c:tx>
            <c:strRef>
              <c:f>総合評価!$A$19</c:f>
              <c:strCache>
                <c:ptCount val="1"/>
                <c:pt idx="0">
                  <c:v>純資産額</c:v>
                </c:pt>
              </c:strCache>
            </c:strRef>
          </c:tx>
          <c:spPr>
            <a:solidFill>
              <a:srgbClr val="CCFF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総合評価!$C$19:$U$19</c:f>
              <c:numCache>
                <c:formatCode>#,##0;"△ "#,##0</c:formatCode>
                <c:ptCount val="19"/>
                <c:pt idx="0">
                  <c:v>214410.24671519001</c:v>
                </c:pt>
                <c:pt idx="1">
                  <c:v>151693.77747717281</c:v>
                </c:pt>
                <c:pt idx="2">
                  <c:v>234876.05653604114</c:v>
                </c:pt>
                <c:pt idx="3">
                  <c:v>196880.23819661731</c:v>
                </c:pt>
                <c:pt idx="4">
                  <c:v>194715.75434787461</c:v>
                </c:pt>
                <c:pt idx="5">
                  <c:v>213066.16336647802</c:v>
                </c:pt>
                <c:pt idx="6">
                  <c:v>230511.5034242344</c:v>
                </c:pt>
                <c:pt idx="7">
                  <c:v>163658.89093449863</c:v>
                </c:pt>
                <c:pt idx="8">
                  <c:v>169502.7581893882</c:v>
                </c:pt>
                <c:pt idx="9">
                  <c:v>124469.13049434198</c:v>
                </c:pt>
                <c:pt idx="10">
                  <c:v>213990.93283555479</c:v>
                </c:pt>
                <c:pt idx="11">
                  <c:v>229503.14756122368</c:v>
                </c:pt>
                <c:pt idx="12">
                  <c:v>220457.3063183683</c:v>
                </c:pt>
                <c:pt idx="13">
                  <c:v>247024.11725563827</c:v>
                </c:pt>
                <c:pt idx="14">
                  <c:v>284583.30241205147</c:v>
                </c:pt>
                <c:pt idx="15">
                  <c:v>319656.20687728823</c:v>
                </c:pt>
                <c:pt idx="16">
                  <c:v>465821.04275412089</c:v>
                </c:pt>
                <c:pt idx="17">
                  <c:v>370889.41554199264</c:v>
                </c:pt>
                <c:pt idx="18">
                  <c:v>328240.62742086849</c:v>
                </c:pt>
              </c:numCache>
            </c:numRef>
          </c:val>
          <c:extLst>
            <c:ext xmlns:c16="http://schemas.microsoft.com/office/drawing/2014/chart" uri="{C3380CC4-5D6E-409C-BE32-E72D297353CC}">
              <c16:uniqueId val="{00000000-7FDD-4D06-A934-FF969A2A4E0B}"/>
            </c:ext>
          </c:extLst>
        </c:ser>
        <c:ser>
          <c:idx val="2"/>
          <c:order val="1"/>
          <c:tx>
            <c:strRef>
              <c:f>総合評価!$A$17</c:f>
              <c:strCache>
                <c:ptCount val="1"/>
                <c:pt idx="0">
                  <c:v>負債総額</c:v>
                </c:pt>
              </c:strCache>
            </c:strRef>
          </c:tx>
          <c:spPr>
            <a:solidFill>
              <a:srgbClr val="FFFFCC"/>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総合評価!$C$17:$U$17</c:f>
              <c:numCache>
                <c:formatCode>#,##0;"△ "#,##0</c:formatCode>
                <c:ptCount val="19"/>
                <c:pt idx="0">
                  <c:v>520728.51876358798</c:v>
                </c:pt>
                <c:pt idx="1">
                  <c:v>446311.88704768347</c:v>
                </c:pt>
                <c:pt idx="2">
                  <c:v>458771.15654686326</c:v>
                </c:pt>
                <c:pt idx="3">
                  <c:v>374702.80721825256</c:v>
                </c:pt>
                <c:pt idx="4">
                  <c:v>442059.43592262862</c:v>
                </c:pt>
                <c:pt idx="5">
                  <c:v>429457.43187975901</c:v>
                </c:pt>
                <c:pt idx="6">
                  <c:v>380578.66135242622</c:v>
                </c:pt>
                <c:pt idx="7">
                  <c:v>287220.64009497169</c:v>
                </c:pt>
                <c:pt idx="8">
                  <c:v>296725.01619133825</c:v>
                </c:pt>
                <c:pt idx="9">
                  <c:v>237957.02805191869</c:v>
                </c:pt>
                <c:pt idx="10">
                  <c:v>363454.12242493301</c:v>
                </c:pt>
                <c:pt idx="11">
                  <c:v>376325.98483355221</c:v>
                </c:pt>
                <c:pt idx="12">
                  <c:v>376063.90148686041</c:v>
                </c:pt>
                <c:pt idx="13">
                  <c:v>344464.14810541505</c:v>
                </c:pt>
                <c:pt idx="14">
                  <c:v>399056.14283469913</c:v>
                </c:pt>
                <c:pt idx="15">
                  <c:v>411314.77763462864</c:v>
                </c:pt>
                <c:pt idx="16">
                  <c:v>517350.40873969777</c:v>
                </c:pt>
                <c:pt idx="17">
                  <c:v>498369.84079773061</c:v>
                </c:pt>
                <c:pt idx="18">
                  <c:v>460032.87031823228</c:v>
                </c:pt>
              </c:numCache>
            </c:numRef>
          </c:val>
          <c:extLst>
            <c:ext xmlns:c16="http://schemas.microsoft.com/office/drawing/2014/chart" uri="{C3380CC4-5D6E-409C-BE32-E72D297353CC}">
              <c16:uniqueId val="{00000001-7FDD-4D06-A934-FF969A2A4E0B}"/>
            </c:ext>
          </c:extLst>
        </c:ser>
        <c:ser>
          <c:idx val="1"/>
          <c:order val="2"/>
          <c:tx>
            <c:strRef>
              <c:f>総合評価!$A$16</c:f>
              <c:strCache>
                <c:ptCount val="1"/>
                <c:pt idx="0">
                  <c:v>固定資産額</c:v>
                </c:pt>
              </c:strCache>
            </c:strRef>
          </c:tx>
          <c:spPr>
            <a:solidFill>
              <a:srgbClr val="9933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総合評価!$C$16:$U$16</c:f>
              <c:numCache>
                <c:formatCode>#,##0;"△ "#,##0</c:formatCode>
                <c:ptCount val="19"/>
                <c:pt idx="0">
                  <c:v>340922.58247471403</c:v>
                </c:pt>
                <c:pt idx="1">
                  <c:v>290894.91038214409</c:v>
                </c:pt>
                <c:pt idx="2">
                  <c:v>314912.03655108716</c:v>
                </c:pt>
                <c:pt idx="3">
                  <c:v>227991.84271681667</c:v>
                </c:pt>
                <c:pt idx="4">
                  <c:v>283619.64463044232</c:v>
                </c:pt>
                <c:pt idx="5">
                  <c:v>344632.65972943947</c:v>
                </c:pt>
                <c:pt idx="6">
                  <c:v>299696.02276924497</c:v>
                </c:pt>
                <c:pt idx="7">
                  <c:v>190051.90290246147</c:v>
                </c:pt>
                <c:pt idx="8">
                  <c:v>194638.81078006912</c:v>
                </c:pt>
                <c:pt idx="9">
                  <c:v>175738.48785882795</c:v>
                </c:pt>
                <c:pt idx="10">
                  <c:v>282533.72091865877</c:v>
                </c:pt>
                <c:pt idx="11">
                  <c:v>279050.50936653023</c:v>
                </c:pt>
                <c:pt idx="12">
                  <c:v>289570.37651678827</c:v>
                </c:pt>
                <c:pt idx="13">
                  <c:v>261550.16193262357</c:v>
                </c:pt>
                <c:pt idx="14">
                  <c:v>328032.95488321257</c:v>
                </c:pt>
                <c:pt idx="15">
                  <c:v>344403.41255524522</c:v>
                </c:pt>
                <c:pt idx="16">
                  <c:v>508259.97982486262</c:v>
                </c:pt>
                <c:pt idx="17">
                  <c:v>423793.72242757672</c:v>
                </c:pt>
                <c:pt idx="18">
                  <c:v>358953.73500554566</c:v>
                </c:pt>
              </c:numCache>
            </c:numRef>
          </c:val>
          <c:extLst>
            <c:ext xmlns:c16="http://schemas.microsoft.com/office/drawing/2014/chart" uri="{C3380CC4-5D6E-409C-BE32-E72D297353CC}">
              <c16:uniqueId val="{00000002-7FDD-4D06-A934-FF969A2A4E0B}"/>
            </c:ext>
          </c:extLst>
        </c:ser>
        <c:ser>
          <c:idx val="0"/>
          <c:order val="3"/>
          <c:tx>
            <c:strRef>
              <c:f>総合評価!$A$15</c:f>
              <c:strCache>
                <c:ptCount val="1"/>
                <c:pt idx="0">
                  <c:v>流動資産額</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総合評価!$C$15:$U$15</c:f>
              <c:numCache>
                <c:formatCode>#,##0;"△ "#,##0</c:formatCode>
                <c:ptCount val="19"/>
                <c:pt idx="0">
                  <c:v>390947.06493997504</c:v>
                </c:pt>
                <c:pt idx="1">
                  <c:v>301965.4210348326</c:v>
                </c:pt>
                <c:pt idx="2">
                  <c:v>370021.89614982513</c:v>
                </c:pt>
                <c:pt idx="3">
                  <c:v>341836.69423232094</c:v>
                </c:pt>
                <c:pt idx="4">
                  <c:v>352637.97440373432</c:v>
                </c:pt>
                <c:pt idx="5">
                  <c:v>296573.21714922198</c:v>
                </c:pt>
                <c:pt idx="6">
                  <c:v>309756.55278427625</c:v>
                </c:pt>
                <c:pt idx="7">
                  <c:v>258716.35833419982</c:v>
                </c:pt>
                <c:pt idx="8">
                  <c:v>267997.19119345682</c:v>
                </c:pt>
                <c:pt idx="9">
                  <c:v>185642.07613785306</c:v>
                </c:pt>
                <c:pt idx="10">
                  <c:v>293638.26315598952</c:v>
                </c:pt>
                <c:pt idx="11">
                  <c:v>325955.03250365512</c:v>
                </c:pt>
                <c:pt idx="12">
                  <c:v>303150.5169793407</c:v>
                </c:pt>
                <c:pt idx="13">
                  <c:v>329079.77436831244</c:v>
                </c:pt>
                <c:pt idx="14">
                  <c:v>354005.64275153837</c:v>
                </c:pt>
                <c:pt idx="15">
                  <c:v>384914.80772028764</c:v>
                </c:pt>
                <c:pt idx="16">
                  <c:v>473910.76373626379</c:v>
                </c:pt>
                <c:pt idx="17">
                  <c:v>443628.72620992007</c:v>
                </c:pt>
                <c:pt idx="18">
                  <c:v>428019.4423683986</c:v>
                </c:pt>
              </c:numCache>
            </c:numRef>
          </c:val>
          <c:extLst>
            <c:ext xmlns:c16="http://schemas.microsoft.com/office/drawing/2014/chart" uri="{C3380CC4-5D6E-409C-BE32-E72D297353CC}">
              <c16:uniqueId val="{00000003-7FDD-4D06-A934-FF969A2A4E0B}"/>
            </c:ext>
          </c:extLst>
        </c:ser>
        <c:dLbls>
          <c:showLegendKey val="0"/>
          <c:showVal val="0"/>
          <c:showCatName val="0"/>
          <c:showSerName val="0"/>
          <c:showPercent val="0"/>
          <c:showBubbleSize val="0"/>
        </c:dLbls>
        <c:gapWidth val="150"/>
        <c:overlap val="100"/>
        <c:axId val="350791224"/>
        <c:axId val="1"/>
      </c:barChart>
      <c:catAx>
        <c:axId val="35079122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0791224"/>
        <c:crosses val="autoZero"/>
        <c:crossBetween val="between"/>
      </c:valAx>
      <c:spPr>
        <a:solidFill>
          <a:srgbClr val="C0C0C0"/>
        </a:solidFill>
        <a:ln w="12700">
          <a:solidFill>
            <a:srgbClr val="808080"/>
          </a:solidFill>
          <a:prstDash val="solid"/>
        </a:ln>
      </c:spPr>
    </c:plotArea>
    <c:legend>
      <c:legendPos val="b"/>
      <c:layout>
        <c:manualLayout>
          <c:xMode val="edge"/>
          <c:yMode val="edge"/>
          <c:x val="5.7208381130576504E-2"/>
          <c:y val="0.14164305949008499"/>
          <c:w val="0.89931487524455478"/>
          <c:h val="6.7988668555240772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売上高と経常利益</a:t>
            </a:r>
          </a:p>
        </c:rich>
      </c:tx>
      <c:layout>
        <c:manualLayout>
          <c:xMode val="edge"/>
          <c:yMode val="edge"/>
          <c:x val="0.38596579763062133"/>
          <c:y val="4.2372881355932202E-2"/>
        </c:manualLayout>
      </c:layout>
      <c:overlay val="0"/>
      <c:spPr>
        <a:noFill/>
        <a:ln w="25400">
          <a:noFill/>
        </a:ln>
      </c:spPr>
    </c:title>
    <c:autoTitleDeleted val="0"/>
    <c:plotArea>
      <c:layout>
        <c:manualLayout>
          <c:layoutTarget val="inner"/>
          <c:xMode val="edge"/>
          <c:yMode val="edge"/>
          <c:x val="0.13139680858919819"/>
          <c:y val="0.3347457627118644"/>
          <c:w val="0.71524787942279755"/>
          <c:h val="0.48728813559322032"/>
        </c:manualLayout>
      </c:layout>
      <c:barChart>
        <c:barDir val="col"/>
        <c:grouping val="stacked"/>
        <c:varyColors val="0"/>
        <c:ser>
          <c:idx val="0"/>
          <c:order val="0"/>
          <c:tx>
            <c:strRef>
              <c:f>総合評価２!$A$5</c:f>
              <c:strCache>
                <c:ptCount val="1"/>
                <c:pt idx="0">
                  <c:v>売上高</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総合評価２!$C$5:$U$5</c:f>
              <c:numCache>
                <c:formatCode>#,##0;"△ "#,##0</c:formatCode>
                <c:ptCount val="19"/>
                <c:pt idx="0">
                  <c:v>1029049.49522639</c:v>
                </c:pt>
                <c:pt idx="1">
                  <c:v>792640.34494420025</c:v>
                </c:pt>
                <c:pt idx="2">
                  <c:v>833050.73016966193</c:v>
                </c:pt>
                <c:pt idx="3">
                  <c:v>828064.26946642785</c:v>
                </c:pt>
                <c:pt idx="4">
                  <c:v>801705.25557250518</c:v>
                </c:pt>
                <c:pt idx="5">
                  <c:v>921991.9329220308</c:v>
                </c:pt>
                <c:pt idx="6">
                  <c:v>659762.64689240814</c:v>
                </c:pt>
                <c:pt idx="7">
                  <c:v>597586.81870825472</c:v>
                </c:pt>
                <c:pt idx="8">
                  <c:v>562143.89223713661</c:v>
                </c:pt>
                <c:pt idx="9">
                  <c:v>402169.91237123299</c:v>
                </c:pt>
                <c:pt idx="10">
                  <c:v>719477.8379323727</c:v>
                </c:pt>
                <c:pt idx="11">
                  <c:v>757170.67634382402</c:v>
                </c:pt>
                <c:pt idx="12">
                  <c:v>795826.45982916676</c:v>
                </c:pt>
                <c:pt idx="13">
                  <c:v>760401.3575568971</c:v>
                </c:pt>
                <c:pt idx="14">
                  <c:v>761109.14219733421</c:v>
                </c:pt>
                <c:pt idx="15">
                  <c:v>866085.58623589599</c:v>
                </c:pt>
                <c:pt idx="16">
                  <c:v>852533.48523351655</c:v>
                </c:pt>
                <c:pt idx="17">
                  <c:v>882915.58282472275</c:v>
                </c:pt>
                <c:pt idx="18">
                  <c:v>863588.18974490231</c:v>
                </c:pt>
              </c:numCache>
            </c:numRef>
          </c:val>
          <c:extLst>
            <c:ext xmlns:c16="http://schemas.microsoft.com/office/drawing/2014/chart" uri="{C3380CC4-5D6E-409C-BE32-E72D297353CC}">
              <c16:uniqueId val="{00000000-722A-4DFE-A99C-376A8CE01621}"/>
            </c:ext>
          </c:extLst>
        </c:ser>
        <c:dLbls>
          <c:showLegendKey val="0"/>
          <c:showVal val="0"/>
          <c:showCatName val="0"/>
          <c:showSerName val="0"/>
          <c:showPercent val="0"/>
          <c:showBubbleSize val="0"/>
        </c:dLbls>
        <c:gapWidth val="150"/>
        <c:overlap val="100"/>
        <c:axId val="351696424"/>
        <c:axId val="1"/>
      </c:barChart>
      <c:lineChart>
        <c:grouping val="standard"/>
        <c:varyColors val="0"/>
        <c:ser>
          <c:idx val="1"/>
          <c:order val="1"/>
          <c:tx>
            <c:strRef>
              <c:f>総合評価２!$A$12</c:f>
              <c:strCache>
                <c:ptCount val="1"/>
                <c:pt idx="0">
                  <c:v>経常利益</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総合評価２!$C$12:$U$12</c:f>
              <c:numCache>
                <c:formatCode>#,##0;"△ "#,##0</c:formatCode>
                <c:ptCount val="19"/>
                <c:pt idx="0">
                  <c:v>36680.219302391604</c:v>
                </c:pt>
                <c:pt idx="1">
                  <c:v>23439.972945552923</c:v>
                </c:pt>
                <c:pt idx="2">
                  <c:v>35253.252258014058</c:v>
                </c:pt>
                <c:pt idx="3">
                  <c:v>29271.720821107461</c:v>
                </c:pt>
                <c:pt idx="4">
                  <c:v>29607.704240969095</c:v>
                </c:pt>
                <c:pt idx="5">
                  <c:v>13705.028982010861</c:v>
                </c:pt>
                <c:pt idx="6">
                  <c:v>2357.4660602179861</c:v>
                </c:pt>
                <c:pt idx="7">
                  <c:v>18598.183865541032</c:v>
                </c:pt>
                <c:pt idx="8">
                  <c:v>20601.110010521905</c:v>
                </c:pt>
                <c:pt idx="9">
                  <c:v>15208.823254356255</c:v>
                </c:pt>
                <c:pt idx="10">
                  <c:v>26669.231257427666</c:v>
                </c:pt>
                <c:pt idx="11">
                  <c:v>28909.500117482617</c:v>
                </c:pt>
                <c:pt idx="12">
                  <c:v>25667.52029935893</c:v>
                </c:pt>
                <c:pt idx="13">
                  <c:v>27611.826477772567</c:v>
                </c:pt>
                <c:pt idx="14">
                  <c:v>34772.061526559577</c:v>
                </c:pt>
                <c:pt idx="15">
                  <c:v>33208.697255198298</c:v>
                </c:pt>
                <c:pt idx="16">
                  <c:v>25361.665436126372</c:v>
                </c:pt>
                <c:pt idx="17">
                  <c:v>22049.530043840798</c:v>
                </c:pt>
                <c:pt idx="18">
                  <c:v>31664.228478798741</c:v>
                </c:pt>
              </c:numCache>
            </c:numRef>
          </c:val>
          <c:smooth val="0"/>
          <c:extLst>
            <c:ext xmlns:c16="http://schemas.microsoft.com/office/drawing/2014/chart" uri="{C3380CC4-5D6E-409C-BE32-E72D297353CC}">
              <c16:uniqueId val="{00000001-722A-4DFE-A99C-376A8CE01621}"/>
            </c:ext>
          </c:extLst>
        </c:ser>
        <c:dLbls>
          <c:showLegendKey val="0"/>
          <c:showVal val="0"/>
          <c:showCatName val="0"/>
          <c:showSerName val="0"/>
          <c:showPercent val="0"/>
          <c:showBubbleSize val="0"/>
        </c:dLbls>
        <c:marker val="1"/>
        <c:smooth val="0"/>
        <c:axId val="3"/>
        <c:axId val="4"/>
      </c:lineChart>
      <c:catAx>
        <c:axId val="35169642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5087732318097371E-2"/>
              <c:y val="0.4449152542372881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69642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0.92324764187699904"/>
              <c:y val="0.4449152542372881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9910140238125277"/>
          <c:y val="0.16271230926642644"/>
          <c:w val="0.45186138961659011"/>
          <c:h val="8.8136038079985768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従業員一人当たり売上高と付加価値生産性</a:t>
            </a:r>
          </a:p>
        </c:rich>
      </c:tx>
      <c:layout>
        <c:manualLayout>
          <c:xMode val="edge"/>
          <c:yMode val="edge"/>
          <c:x val="0.2336245387089772"/>
          <c:y val="4.2734962068097654E-2"/>
        </c:manualLayout>
      </c:layout>
      <c:overlay val="0"/>
      <c:spPr>
        <a:noFill/>
        <a:ln w="25400">
          <a:noFill/>
        </a:ln>
      </c:spPr>
    </c:title>
    <c:autoTitleDeleted val="0"/>
    <c:plotArea>
      <c:layout>
        <c:manualLayout>
          <c:layoutTarget val="inner"/>
          <c:xMode val="edge"/>
          <c:yMode val="edge"/>
          <c:x val="0.13496394098859543"/>
          <c:y val="0.33760824656219351"/>
          <c:w val="0.83255349636929699"/>
          <c:h val="0.48290799824718822"/>
        </c:manualLayout>
      </c:layout>
      <c:barChart>
        <c:barDir val="col"/>
        <c:grouping val="clustered"/>
        <c:varyColors val="0"/>
        <c:ser>
          <c:idx val="0"/>
          <c:order val="0"/>
          <c:tx>
            <c:strRef>
              <c:f>総合評価２!$A$31</c:f>
              <c:strCache>
                <c:ptCount val="1"/>
                <c:pt idx="0">
                  <c:v>従業員一人当たり売上高</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総合評価２!$C$31:$U$31</c:f>
              <c:numCache>
                <c:formatCode>#,##0;"△ "#,##0</c:formatCode>
                <c:ptCount val="19"/>
                <c:pt idx="0">
                  <c:v>21367.123941831895</c:v>
                </c:pt>
                <c:pt idx="1">
                  <c:v>20687.049177072324</c:v>
                </c:pt>
                <c:pt idx="2">
                  <c:v>18924.580461727084</c:v>
                </c:pt>
                <c:pt idx="3">
                  <c:v>19250.993978140355</c:v>
                </c:pt>
                <c:pt idx="4">
                  <c:v>21116.913839319757</c:v>
                </c:pt>
                <c:pt idx="5">
                  <c:v>27992.342159766002</c:v>
                </c:pt>
                <c:pt idx="6">
                  <c:v>17752.917887443749</c:v>
                </c:pt>
                <c:pt idx="7">
                  <c:v>19692.538768088485</c:v>
                </c:pt>
                <c:pt idx="8">
                  <c:v>17995.364100604707</c:v>
                </c:pt>
                <c:pt idx="9">
                  <c:v>13370.535864240446</c:v>
                </c:pt>
                <c:pt idx="10">
                  <c:v>20938.1238388118</c:v>
                </c:pt>
                <c:pt idx="11">
                  <c:v>21628.297774072027</c:v>
                </c:pt>
                <c:pt idx="12">
                  <c:v>22595.536759633687</c:v>
                </c:pt>
                <c:pt idx="13">
                  <c:v>21739.929559272769</c:v>
                </c:pt>
                <c:pt idx="14">
                  <c:v>20199.68630498878</c:v>
                </c:pt>
                <c:pt idx="15">
                  <c:v>21896.168506761551</c:v>
                </c:pt>
                <c:pt idx="16">
                  <c:v>22248.358391267626</c:v>
                </c:pt>
                <c:pt idx="17">
                  <c:v>21762.069672391655</c:v>
                </c:pt>
                <c:pt idx="18">
                  <c:v>21851.263680088425</c:v>
                </c:pt>
              </c:numCache>
            </c:numRef>
          </c:val>
          <c:extLst>
            <c:ext xmlns:c16="http://schemas.microsoft.com/office/drawing/2014/chart" uri="{C3380CC4-5D6E-409C-BE32-E72D297353CC}">
              <c16:uniqueId val="{00000000-1FC0-4FEA-9C39-9FD7440A83B3}"/>
            </c:ext>
          </c:extLst>
        </c:ser>
        <c:ser>
          <c:idx val="1"/>
          <c:order val="1"/>
          <c:tx>
            <c:strRef>
              <c:f>総合評価２!$A$35</c:f>
              <c:strCache>
                <c:ptCount val="1"/>
                <c:pt idx="0">
                  <c:v>付加価値生産性</c:v>
                </c:pt>
              </c:strCache>
            </c:strRef>
          </c:tx>
          <c:spPr>
            <a:solidFill>
              <a:srgbClr val="9933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総合評価２!$C$35:$U$35</c:f>
              <c:numCache>
                <c:formatCode>#,##0;"△ "#,##0</c:formatCode>
                <c:ptCount val="19"/>
                <c:pt idx="0">
                  <c:v>8165.5379998390044</c:v>
                </c:pt>
                <c:pt idx="1">
                  <c:v>8015.5759390466446</c:v>
                </c:pt>
                <c:pt idx="2">
                  <c:v>7866.7610317771432</c:v>
                </c:pt>
                <c:pt idx="3">
                  <c:v>7437.5643163194563</c:v>
                </c:pt>
                <c:pt idx="4">
                  <c:v>8766.3620158712274</c:v>
                </c:pt>
                <c:pt idx="5">
                  <c:v>10840.615499480953</c:v>
                </c:pt>
                <c:pt idx="6">
                  <c:v>7122.6946189445634</c:v>
                </c:pt>
                <c:pt idx="7">
                  <c:v>8824.5921027134173</c:v>
                </c:pt>
                <c:pt idx="8">
                  <c:v>7267.9425636209526</c:v>
                </c:pt>
                <c:pt idx="9">
                  <c:v>6396.1321232594801</c:v>
                </c:pt>
                <c:pt idx="10">
                  <c:v>8856.1613912012144</c:v>
                </c:pt>
                <c:pt idx="11">
                  <c:v>8939.43778370986</c:v>
                </c:pt>
                <c:pt idx="12">
                  <c:v>8856.2089353925403</c:v>
                </c:pt>
                <c:pt idx="13">
                  <c:v>9665.4475784595943</c:v>
                </c:pt>
                <c:pt idx="14">
                  <c:v>8735.1235582534318</c:v>
                </c:pt>
                <c:pt idx="15">
                  <c:v>9732.147331016371</c:v>
                </c:pt>
                <c:pt idx="16">
                  <c:v>9619.624735907013</c:v>
                </c:pt>
                <c:pt idx="17">
                  <c:v>9948.8078336151339</c:v>
                </c:pt>
                <c:pt idx="18">
                  <c:v>9479.7480204132717</c:v>
                </c:pt>
              </c:numCache>
            </c:numRef>
          </c:val>
          <c:extLst>
            <c:ext xmlns:c16="http://schemas.microsoft.com/office/drawing/2014/chart" uri="{C3380CC4-5D6E-409C-BE32-E72D297353CC}">
              <c16:uniqueId val="{00000001-1FC0-4FEA-9C39-9FD7440A83B3}"/>
            </c:ext>
          </c:extLst>
        </c:ser>
        <c:dLbls>
          <c:showLegendKey val="0"/>
          <c:showVal val="0"/>
          <c:showCatName val="0"/>
          <c:showSerName val="0"/>
          <c:showPercent val="0"/>
          <c:showBubbleSize val="0"/>
        </c:dLbls>
        <c:gapWidth val="150"/>
        <c:axId val="351698064"/>
        <c:axId val="1"/>
      </c:barChart>
      <c:catAx>
        <c:axId val="35169806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934654549760233E-2"/>
              <c:y val="0.4444463919749758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698064"/>
        <c:crosses val="autoZero"/>
        <c:crossBetween val="between"/>
      </c:valAx>
      <c:spPr>
        <a:solidFill>
          <a:srgbClr val="C0C0C0"/>
        </a:solidFill>
        <a:ln w="12700">
          <a:solidFill>
            <a:srgbClr val="808080"/>
          </a:solidFill>
          <a:prstDash val="solid"/>
        </a:ln>
      </c:spPr>
    </c:plotArea>
    <c:legend>
      <c:legendPos val="r"/>
      <c:layout>
        <c:manualLayout>
          <c:xMode val="edge"/>
          <c:yMode val="edge"/>
          <c:x val="0.30111129200955145"/>
          <c:y val="0.1678082191780822"/>
          <c:w val="0.69222231267144241"/>
          <c:h val="8.904109589041098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加工高と労働分配率</a:t>
            </a:r>
          </a:p>
        </c:rich>
      </c:tx>
      <c:layout>
        <c:manualLayout>
          <c:xMode val="edge"/>
          <c:yMode val="edge"/>
          <c:x val="0.37117922583289509"/>
          <c:y val="4.2553277256725162E-2"/>
        </c:manualLayout>
      </c:layout>
      <c:overlay val="0"/>
      <c:spPr>
        <a:noFill/>
        <a:ln w="25400">
          <a:noFill/>
        </a:ln>
      </c:spPr>
    </c:title>
    <c:autoTitleDeleted val="0"/>
    <c:plotArea>
      <c:layout>
        <c:manualLayout>
          <c:layoutTarget val="inner"/>
          <c:xMode val="edge"/>
          <c:yMode val="edge"/>
          <c:x val="0.13834127485671815"/>
          <c:y val="0.33617091125937348"/>
          <c:w val="0.71403077473139154"/>
          <c:h val="0.48510739093124777"/>
        </c:manualLayout>
      </c:layout>
      <c:barChart>
        <c:barDir val="col"/>
        <c:grouping val="clustered"/>
        <c:varyColors val="0"/>
        <c:ser>
          <c:idx val="0"/>
          <c:order val="0"/>
          <c:tx>
            <c:strRef>
              <c:f>総合評価２!$A$32</c:f>
              <c:strCache>
                <c:ptCount val="1"/>
                <c:pt idx="0">
                  <c:v>加工高</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総合評価２!$C$32:$U$32</c:f>
              <c:numCache>
                <c:formatCode>#,##0;"△ "#,##0</c:formatCode>
                <c:ptCount val="19"/>
                <c:pt idx="0">
                  <c:v>393255.67539464694</c:v>
                </c:pt>
                <c:pt idx="1">
                  <c:v>307123.01318904298</c:v>
                </c:pt>
                <c:pt idx="2">
                  <c:v>346290.95397098799</c:v>
                </c:pt>
                <c:pt idx="3">
                  <c:v>319920.16979466018</c:v>
                </c:pt>
                <c:pt idx="4">
                  <c:v>332815.60714089364</c:v>
                </c:pt>
                <c:pt idx="5">
                  <c:v>357060.51252820645</c:v>
                </c:pt>
                <c:pt idx="6">
                  <c:v>264705.09718996001</c:v>
                </c:pt>
                <c:pt idx="7">
                  <c:v>267789.74428650487</c:v>
                </c:pt>
                <c:pt idx="8">
                  <c:v>227037.89144963975</c:v>
                </c:pt>
                <c:pt idx="9">
                  <c:v>192388.09286662968</c:v>
                </c:pt>
                <c:pt idx="10">
                  <c:v>304316.2749047525</c:v>
                </c:pt>
                <c:pt idx="11">
                  <c:v>312954.82536491682</c:v>
                </c:pt>
                <c:pt idx="12">
                  <c:v>311920.24688486045</c:v>
                </c:pt>
                <c:pt idx="13">
                  <c:v>338070.06779931602</c:v>
                </c:pt>
                <c:pt idx="14">
                  <c:v>329132.95276115369</c:v>
                </c:pt>
                <c:pt idx="15">
                  <c:v>384947.37213565846</c:v>
                </c:pt>
                <c:pt idx="16">
                  <c:v>368613.81224244507</c:v>
                </c:pt>
                <c:pt idx="17">
                  <c:v>403636.12464540533</c:v>
                </c:pt>
                <c:pt idx="18">
                  <c:v>374651.02943434851</c:v>
                </c:pt>
              </c:numCache>
            </c:numRef>
          </c:val>
          <c:extLst>
            <c:ext xmlns:c16="http://schemas.microsoft.com/office/drawing/2014/chart" uri="{C3380CC4-5D6E-409C-BE32-E72D297353CC}">
              <c16:uniqueId val="{00000000-CC81-4C1A-8170-695865516926}"/>
            </c:ext>
          </c:extLst>
        </c:ser>
        <c:dLbls>
          <c:showLegendKey val="0"/>
          <c:showVal val="0"/>
          <c:showCatName val="0"/>
          <c:showSerName val="0"/>
          <c:showPercent val="0"/>
          <c:showBubbleSize val="0"/>
        </c:dLbls>
        <c:gapWidth val="150"/>
        <c:axId val="351842320"/>
        <c:axId val="1"/>
      </c:barChart>
      <c:lineChart>
        <c:grouping val="standard"/>
        <c:varyColors val="0"/>
        <c:ser>
          <c:idx val="1"/>
          <c:order val="1"/>
          <c:tx>
            <c:strRef>
              <c:f>総合評価２!$A$34</c:f>
              <c:strCache>
                <c:ptCount val="1"/>
                <c:pt idx="0">
                  <c:v>労働分配率</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総合評価２!$C$34:$U$34</c:f>
              <c:numCache>
                <c:formatCode>#,##0.0;"△ "#,##0.0</c:formatCode>
                <c:ptCount val="19"/>
                <c:pt idx="0">
                  <c:v>51.176365457438102</c:v>
                </c:pt>
                <c:pt idx="1">
                  <c:v>59.636640018542941</c:v>
                </c:pt>
                <c:pt idx="2">
                  <c:v>51.448143682633727</c:v>
                </c:pt>
                <c:pt idx="3">
                  <c:v>50.618297946018188</c:v>
                </c:pt>
                <c:pt idx="4">
                  <c:v>51.239611065961668</c:v>
                </c:pt>
                <c:pt idx="5">
                  <c:v>51.527685532827761</c:v>
                </c:pt>
                <c:pt idx="6">
                  <c:v>56.047149120542294</c:v>
                </c:pt>
                <c:pt idx="7">
                  <c:v>48.756451746285855</c:v>
                </c:pt>
                <c:pt idx="8">
                  <c:v>51.75524290952167</c:v>
                </c:pt>
                <c:pt idx="9">
                  <c:v>58.51417766925664</c:v>
                </c:pt>
                <c:pt idx="10">
                  <c:v>52.177987246092606</c:v>
                </c:pt>
                <c:pt idx="11">
                  <c:v>50.439469809760908</c:v>
                </c:pt>
                <c:pt idx="12">
                  <c:v>50.821665439568264</c:v>
                </c:pt>
                <c:pt idx="13">
                  <c:v>52.611155015647057</c:v>
                </c:pt>
                <c:pt idx="14">
                  <c:v>53.61395268092329</c:v>
                </c:pt>
                <c:pt idx="15">
                  <c:v>44.944810789067439</c:v>
                </c:pt>
                <c:pt idx="16">
                  <c:v>44.780532485190264</c:v>
                </c:pt>
                <c:pt idx="17">
                  <c:v>46.763018376322798</c:v>
                </c:pt>
                <c:pt idx="18">
                  <c:v>46.533046298608546</c:v>
                </c:pt>
              </c:numCache>
            </c:numRef>
          </c:val>
          <c:smooth val="0"/>
          <c:extLst>
            <c:ext xmlns:c16="http://schemas.microsoft.com/office/drawing/2014/chart" uri="{C3380CC4-5D6E-409C-BE32-E72D297353CC}">
              <c16:uniqueId val="{00000001-CC81-4C1A-8170-695865516926}"/>
            </c:ext>
          </c:extLst>
        </c:ser>
        <c:dLbls>
          <c:showLegendKey val="0"/>
          <c:showVal val="0"/>
          <c:showCatName val="0"/>
          <c:showSerName val="0"/>
          <c:showPercent val="0"/>
          <c:showBubbleSize val="0"/>
        </c:dLbls>
        <c:marker val="1"/>
        <c:smooth val="0"/>
        <c:axId val="3"/>
        <c:axId val="4"/>
      </c:lineChart>
      <c:catAx>
        <c:axId val="35184232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934432584449997E-2"/>
              <c:y val="0.44680918724749846"/>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8423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235808129816323"/>
              <c:y val="0.47234151191851864"/>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30955474403893307"/>
          <c:y val="0.16723549488054607"/>
          <c:w val="0.4815295195344233"/>
          <c:h val="8.8737201365187701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Lベンチマーク!$A$16:$B$16</c:f>
              <c:strCache>
                <c:ptCount val="2"/>
                <c:pt idx="0">
                  <c:v>①売上増加率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Lベンチマーク!$C$16:$U$16</c:f>
              <c:numCache>
                <c:formatCode>0.0%</c:formatCode>
                <c:ptCount val="19"/>
                <c:pt idx="1">
                  <c:v>-0.22973545138388107</c:v>
                </c:pt>
                <c:pt idx="2">
                  <c:v>5.0981993893215893E-2</c:v>
                </c:pt>
                <c:pt idx="3">
                  <c:v>-5.9857827652567419E-3</c:v>
                </c:pt>
                <c:pt idx="4">
                  <c:v>-3.183208703221474E-2</c:v>
                </c:pt>
                <c:pt idx="5">
                  <c:v>0.15003852913952498</c:v>
                </c:pt>
                <c:pt idx="6">
                  <c:v>-0.28441603084156086</c:v>
                </c:pt>
                <c:pt idx="7">
                  <c:v>-9.4239691314765839E-2</c:v>
                </c:pt>
                <c:pt idx="8">
                  <c:v>-5.9310087440903825E-2</c:v>
                </c:pt>
                <c:pt idx="9">
                  <c:v>-0.28457834742144572</c:v>
                </c:pt>
                <c:pt idx="10">
                  <c:v>0.78898971753073543</c:v>
                </c:pt>
                <c:pt idx="11">
                  <c:v>5.2389158392665225E-2</c:v>
                </c:pt>
                <c:pt idx="12">
                  <c:v>5.1052932572615228E-2</c:v>
                </c:pt>
                <c:pt idx="13">
                  <c:v>-4.451360197281462E-2</c:v>
                </c:pt>
                <c:pt idx="14">
                  <c:v>9.3080402001266549E-4</c:v>
                </c:pt>
                <c:pt idx="15">
                  <c:v>0.13792561174011531</c:v>
                </c:pt>
                <c:pt idx="16">
                  <c:v>-1.5647530934302156E-2</c:v>
                </c:pt>
                <c:pt idx="17">
                  <c:v>3.5637424356281144E-2</c:v>
                </c:pt>
                <c:pt idx="18">
                  <c:v>-2.1890420166768454E-2</c:v>
                </c:pt>
              </c:numCache>
            </c:numRef>
          </c:val>
          <c:smooth val="0"/>
          <c:extLst>
            <c:ext xmlns:c16="http://schemas.microsoft.com/office/drawing/2014/chart" uri="{C3380CC4-5D6E-409C-BE32-E72D297353CC}">
              <c16:uniqueId val="{00000000-9B5B-4B5D-BCCB-C6EE25721224}"/>
            </c:ext>
          </c:extLst>
        </c:ser>
        <c:dLbls>
          <c:showLegendKey val="0"/>
          <c:showVal val="0"/>
          <c:showCatName val="0"/>
          <c:showSerName val="0"/>
          <c:showPercent val="0"/>
          <c:showBubbleSize val="0"/>
        </c:dLbls>
        <c:marker val="1"/>
        <c:smooth val="0"/>
        <c:axId val="349645992"/>
        <c:axId val="1"/>
      </c:lineChart>
      <c:catAx>
        <c:axId val="349645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49645992"/>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Lベンチマーク!$A$17:$B$17</c:f>
              <c:strCache>
                <c:ptCount val="2"/>
                <c:pt idx="0">
                  <c:v>②営業利益率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Lベンチマーク!$C$17:$U$17</c:f>
              <c:numCache>
                <c:formatCode>0.0%</c:formatCode>
                <c:ptCount val="19"/>
                <c:pt idx="0">
                  <c:v>3.3305683602687083E-2</c:v>
                </c:pt>
                <c:pt idx="1">
                  <c:v>1.4690011572901359E-2</c:v>
                </c:pt>
                <c:pt idx="2">
                  <c:v>3.5598210330947053E-2</c:v>
                </c:pt>
                <c:pt idx="3">
                  <c:v>3.1996693113165491E-2</c:v>
                </c:pt>
                <c:pt idx="4">
                  <c:v>2.721818447140396E-2</c:v>
                </c:pt>
                <c:pt idx="5">
                  <c:v>1.1513177805664934E-2</c:v>
                </c:pt>
                <c:pt idx="6">
                  <c:v>-8.6705839821995378E-3</c:v>
                </c:pt>
                <c:pt idx="7">
                  <c:v>2.6058645747855682E-2</c:v>
                </c:pt>
                <c:pt idx="8">
                  <c:v>2.6380092651607057E-2</c:v>
                </c:pt>
                <c:pt idx="9">
                  <c:v>2.7175781913746415E-2</c:v>
                </c:pt>
                <c:pt idx="10">
                  <c:v>3.3971040807588185E-2</c:v>
                </c:pt>
                <c:pt idx="11">
                  <c:v>3.0079031031644058E-2</c:v>
                </c:pt>
                <c:pt idx="12">
                  <c:v>2.3495460618700462E-2</c:v>
                </c:pt>
                <c:pt idx="13">
                  <c:v>3.0747280050583508E-2</c:v>
                </c:pt>
                <c:pt idx="14">
                  <c:v>3.8793646393725359E-2</c:v>
                </c:pt>
                <c:pt idx="15">
                  <c:v>2.9387430403551223E-2</c:v>
                </c:pt>
                <c:pt idx="16">
                  <c:v>1.7496909902118989E-2</c:v>
                </c:pt>
                <c:pt idx="17">
                  <c:v>7.2992507107644648E-3</c:v>
                </c:pt>
                <c:pt idx="18">
                  <c:v>2.204640582676709E-2</c:v>
                </c:pt>
              </c:numCache>
            </c:numRef>
          </c:val>
          <c:smooth val="0"/>
          <c:extLst>
            <c:ext xmlns:c16="http://schemas.microsoft.com/office/drawing/2014/chart" uri="{C3380CC4-5D6E-409C-BE32-E72D297353CC}">
              <c16:uniqueId val="{00000000-34CA-47A9-8E46-15DDD9A0CFBD}"/>
            </c:ext>
          </c:extLst>
        </c:ser>
        <c:dLbls>
          <c:showLegendKey val="0"/>
          <c:showVal val="0"/>
          <c:showCatName val="0"/>
          <c:showSerName val="0"/>
          <c:showPercent val="0"/>
          <c:showBubbleSize val="0"/>
        </c:dLbls>
        <c:marker val="1"/>
        <c:smooth val="0"/>
        <c:axId val="349644024"/>
        <c:axId val="1"/>
      </c:lineChart>
      <c:catAx>
        <c:axId val="349644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49644024"/>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Lベンチマーク!$A$18:$B$18</c:f>
              <c:strCache>
                <c:ptCount val="2"/>
                <c:pt idx="0">
                  <c:v>③労働生産性</c:v>
                </c:pt>
                <c:pt idx="1">
                  <c:v>（千円）</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Lベンチマーク!$C$18:$U$18</c:f>
              <c:numCache>
                <c:formatCode>#,##0_ ;[Red]\-#,##0\ </c:formatCode>
                <c:ptCount val="19"/>
                <c:pt idx="0">
                  <c:v>711.64666950605317</c:v>
                </c:pt>
                <c:pt idx="1">
                  <c:v>303.892991820372</c:v>
                </c:pt>
                <c:pt idx="2">
                  <c:v>673.68119570149179</c:v>
                </c:pt>
                <c:pt idx="3">
                  <c:v>615.96814644195388</c:v>
                </c:pt>
                <c:pt idx="4">
                  <c:v>574.76405634534842</c:v>
                </c:pt>
                <c:pt idx="5">
                  <c:v>322.28081248239675</c:v>
                </c:pt>
                <c:pt idx="6">
                  <c:v>-153.92816547217345</c:v>
                </c:pt>
                <c:pt idx="7">
                  <c:v>513.16089163353217</c:v>
                </c:pt>
                <c:pt idx="8">
                  <c:v>474.7193722733557</c:v>
                </c:pt>
                <c:pt idx="9">
                  <c:v>363.35476671652327</c:v>
                </c:pt>
                <c:pt idx="10">
                  <c:v>711.28985936261063</c:v>
                </c:pt>
                <c:pt idx="11">
                  <c:v>650.55823990795056</c:v>
                </c:pt>
                <c:pt idx="12">
                  <c:v>530.89254409437194</c:v>
                </c:pt>
                <c:pt idx="13">
                  <c:v>668.44370243891831</c:v>
                </c:pt>
                <c:pt idx="14">
                  <c:v>783.61948777991154</c:v>
                </c:pt>
                <c:pt idx="15">
                  <c:v>643.47212809688517</c:v>
                </c:pt>
                <c:pt idx="16">
                  <c:v>389.27752224206262</c:v>
                </c:pt>
                <c:pt idx="17">
                  <c:v>158.84680252391058</c:v>
                </c:pt>
                <c:pt idx="18">
                  <c:v>481.74182691892554</c:v>
                </c:pt>
              </c:numCache>
            </c:numRef>
          </c:val>
          <c:smooth val="0"/>
          <c:extLst>
            <c:ext xmlns:c16="http://schemas.microsoft.com/office/drawing/2014/chart" uri="{C3380CC4-5D6E-409C-BE32-E72D297353CC}">
              <c16:uniqueId val="{00000000-5A3B-44BC-ADB4-C468E12BD3EF}"/>
            </c:ext>
          </c:extLst>
        </c:ser>
        <c:dLbls>
          <c:showLegendKey val="0"/>
          <c:showVal val="0"/>
          <c:showCatName val="0"/>
          <c:showSerName val="0"/>
          <c:showPercent val="0"/>
          <c:showBubbleSize val="0"/>
        </c:dLbls>
        <c:marker val="1"/>
        <c:smooth val="0"/>
        <c:axId val="350678360"/>
        <c:axId val="1"/>
      </c:lineChart>
      <c:catAx>
        <c:axId val="350678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_ ;[Red]\-#,##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8360"/>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Lベンチマーク!$A$19:$B$19</c:f>
              <c:strCache>
                <c:ptCount val="2"/>
                <c:pt idx="0">
                  <c:v>④EBITDA有利子負債倍率</c:v>
                </c:pt>
                <c:pt idx="1">
                  <c:v>（倍）</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Lベンチマーク!$C$19:$U$19</c:f>
              <c:numCache>
                <c:formatCode>#,##0.0_ ;[Red]\-#,##0.0\ </c:formatCode>
                <c:ptCount val="19"/>
                <c:pt idx="0">
                  <c:v>2.2195349616094608</c:v>
                </c:pt>
                <c:pt idx="1">
                  <c:v>2.9650041918956656</c:v>
                </c:pt>
                <c:pt idx="2">
                  <c:v>2.485748999906241</c:v>
                </c:pt>
                <c:pt idx="3">
                  <c:v>1.9585403463275539</c:v>
                </c:pt>
                <c:pt idx="4">
                  <c:v>2.5865559313400475</c:v>
                </c:pt>
                <c:pt idx="5">
                  <c:v>3.2909563910051705</c:v>
                </c:pt>
                <c:pt idx="6">
                  <c:v>4.1151546696254107</c:v>
                </c:pt>
                <c:pt idx="7">
                  <c:v>1.93335498453444</c:v>
                </c:pt>
                <c:pt idx="8">
                  <c:v>2.6504090095953097</c:v>
                </c:pt>
                <c:pt idx="9">
                  <c:v>3.21596146684004</c:v>
                </c:pt>
                <c:pt idx="10">
                  <c:v>1.9965192492354826</c:v>
                </c:pt>
                <c:pt idx="11">
                  <c:v>1.3639833648356756</c:v>
                </c:pt>
                <c:pt idx="12">
                  <c:v>2.2196270805269016</c:v>
                </c:pt>
                <c:pt idx="13">
                  <c:v>0.54225972254415988</c:v>
                </c:pt>
                <c:pt idx="14">
                  <c:v>0.66933909393532443</c:v>
                </c:pt>
                <c:pt idx="15">
                  <c:v>1.4388789778108446</c:v>
                </c:pt>
                <c:pt idx="16">
                  <c:v>2.4421024768402249</c:v>
                </c:pt>
                <c:pt idx="17">
                  <c:v>2.5193331403241634</c:v>
                </c:pt>
                <c:pt idx="18">
                  <c:v>1.6384925090064646</c:v>
                </c:pt>
              </c:numCache>
            </c:numRef>
          </c:val>
          <c:smooth val="0"/>
          <c:extLst>
            <c:ext xmlns:c16="http://schemas.microsoft.com/office/drawing/2014/chart" uri="{C3380CC4-5D6E-409C-BE32-E72D297353CC}">
              <c16:uniqueId val="{00000000-D5AE-4076-AA4A-512C932D6981}"/>
            </c:ext>
          </c:extLst>
        </c:ser>
        <c:dLbls>
          <c:showLegendKey val="0"/>
          <c:showVal val="0"/>
          <c:showCatName val="0"/>
          <c:showSerName val="0"/>
          <c:showPercent val="0"/>
          <c:showBubbleSize val="0"/>
        </c:dLbls>
        <c:marker val="1"/>
        <c:smooth val="0"/>
        <c:axId val="350679016"/>
        <c:axId val="1"/>
      </c:lineChart>
      <c:catAx>
        <c:axId val="350679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_ ;[Red]\-#,##0.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9016"/>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Lベンチマーク!$A$20:$B$20</c:f>
              <c:strCache>
                <c:ptCount val="2"/>
                <c:pt idx="0">
                  <c:v>⑤営業運転資本回転期間</c:v>
                </c:pt>
                <c:pt idx="1">
                  <c:v>（ヶ月）</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Lベンチマーク!$C$20:$U$20</c:f>
              <c:numCache>
                <c:formatCode>#,##0.0_ ;[Red]\-#,##0.0\ </c:formatCode>
                <c:ptCount val="19"/>
                <c:pt idx="0">
                  <c:v>1.0039485713522012</c:v>
                </c:pt>
                <c:pt idx="1">
                  <c:v>1.5391054200643177</c:v>
                </c:pt>
                <c:pt idx="2">
                  <c:v>1.9034948550179707</c:v>
                </c:pt>
                <c:pt idx="3">
                  <c:v>1.1377210017476478</c:v>
                </c:pt>
                <c:pt idx="4">
                  <c:v>1.3421750601976319</c:v>
                </c:pt>
                <c:pt idx="5">
                  <c:v>0.56389486573824121</c:v>
                </c:pt>
                <c:pt idx="6">
                  <c:v>0.86434888338510862</c:v>
                </c:pt>
                <c:pt idx="7">
                  <c:v>1.2541080242482736</c:v>
                </c:pt>
                <c:pt idx="8">
                  <c:v>1.5417819338678735</c:v>
                </c:pt>
                <c:pt idx="9">
                  <c:v>1.480024156740106</c:v>
                </c:pt>
                <c:pt idx="10">
                  <c:v>1.5836415414942029</c:v>
                </c:pt>
                <c:pt idx="11">
                  <c:v>1.245132768617746</c:v>
                </c:pt>
                <c:pt idx="12">
                  <c:v>0.96948455610442463</c:v>
                </c:pt>
                <c:pt idx="13">
                  <c:v>0.80890941153780949</c:v>
                </c:pt>
                <c:pt idx="14">
                  <c:v>0.84273006529679484</c:v>
                </c:pt>
                <c:pt idx="15">
                  <c:v>1.2642341361458855</c:v>
                </c:pt>
                <c:pt idx="16">
                  <c:v>1.384522918434286</c:v>
                </c:pt>
                <c:pt idx="17">
                  <c:v>1.1906340740951262</c:v>
                </c:pt>
                <c:pt idx="18">
                  <c:v>1.3153225972160281</c:v>
                </c:pt>
              </c:numCache>
            </c:numRef>
          </c:val>
          <c:smooth val="0"/>
          <c:extLst>
            <c:ext xmlns:c16="http://schemas.microsoft.com/office/drawing/2014/chart" uri="{C3380CC4-5D6E-409C-BE32-E72D297353CC}">
              <c16:uniqueId val="{00000000-813D-456D-99CB-F22EB4E3AC81}"/>
            </c:ext>
          </c:extLst>
        </c:ser>
        <c:dLbls>
          <c:showLegendKey val="0"/>
          <c:showVal val="0"/>
          <c:showCatName val="0"/>
          <c:showSerName val="0"/>
          <c:showPercent val="0"/>
          <c:showBubbleSize val="0"/>
        </c:dLbls>
        <c:marker val="1"/>
        <c:smooth val="0"/>
        <c:axId val="350679344"/>
        <c:axId val="1"/>
      </c:lineChart>
      <c:catAx>
        <c:axId val="350679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_ ;[Red]\-#,##0.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9344"/>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Lベンチマーク!$A$21:$B$21</c:f>
              <c:strCache>
                <c:ptCount val="2"/>
                <c:pt idx="0">
                  <c:v>⑥自己資本比率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Lベンチマーク!$C$21:$U$21</c:f>
              <c:numCache>
                <c:formatCode>0.0%</c:formatCode>
                <c:ptCount val="19"/>
                <c:pt idx="0">
                  <c:v>0.29165955705729901</c:v>
                </c:pt>
                <c:pt idx="1">
                  <c:v>0.25366612136977112</c:v>
                </c:pt>
                <c:pt idx="2">
                  <c:v>0.33861025043571946</c:v>
                </c:pt>
                <c:pt idx="3">
                  <c:v>0.34444730258525513</c:v>
                </c:pt>
                <c:pt idx="4">
                  <c:v>0.30578414065591814</c:v>
                </c:pt>
                <c:pt idx="5">
                  <c:v>0.3316083097070136</c:v>
                </c:pt>
                <c:pt idx="6">
                  <c:v>0.3772135712714032</c:v>
                </c:pt>
                <c:pt idx="7">
                  <c:v>0.36297698092620129</c:v>
                </c:pt>
                <c:pt idx="8">
                  <c:v>0.36356212028451673</c:v>
                </c:pt>
                <c:pt idx="9">
                  <c:v>0.34343307611570906</c:v>
                </c:pt>
                <c:pt idx="10">
                  <c:v>0.37058232793944801</c:v>
                </c:pt>
                <c:pt idx="11">
                  <c:v>0.37882487864857706</c:v>
                </c:pt>
                <c:pt idx="12">
                  <c:v>0.36957161528169885</c:v>
                </c:pt>
                <c:pt idx="13">
                  <c:v>0.41763147592598654</c:v>
                </c:pt>
                <c:pt idx="14">
                  <c:v>0.41627689038530374</c:v>
                </c:pt>
                <c:pt idx="15">
                  <c:v>0.43730355055163883</c:v>
                </c:pt>
                <c:pt idx="16">
                  <c:v>0.47379431333808369</c:v>
                </c:pt>
                <c:pt idx="17">
                  <c:v>0.42667295497517477</c:v>
                </c:pt>
                <c:pt idx="18">
                  <c:v>0.41640449458508638</c:v>
                </c:pt>
              </c:numCache>
            </c:numRef>
          </c:val>
          <c:smooth val="0"/>
          <c:extLst>
            <c:ext xmlns:c16="http://schemas.microsoft.com/office/drawing/2014/chart" uri="{C3380CC4-5D6E-409C-BE32-E72D297353CC}">
              <c16:uniqueId val="{00000000-2E66-4865-94D9-87E1A69384D4}"/>
            </c:ext>
          </c:extLst>
        </c:ser>
        <c:dLbls>
          <c:showLegendKey val="0"/>
          <c:showVal val="0"/>
          <c:showCatName val="0"/>
          <c:showSerName val="0"/>
          <c:showPercent val="0"/>
          <c:showBubbleSize val="0"/>
        </c:dLbls>
        <c:marker val="1"/>
        <c:smooth val="0"/>
        <c:axId val="350677376"/>
        <c:axId val="1"/>
      </c:lineChart>
      <c:catAx>
        <c:axId val="350677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7376"/>
        <c:crosses val="autoZero"/>
        <c:crossBetween val="between"/>
      </c:valAx>
      <c:spPr>
        <a:noFill/>
        <a:ln w="25400">
          <a:noFill/>
        </a:ln>
      </c:spPr>
    </c:plotArea>
    <c:plotVisOnly val="1"/>
    <c:dispBlanksAs val="gap"/>
    <c:showDLblsOverMax val="0"/>
  </c:chart>
  <c:spPr>
    <a:no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母集団となる法人企業数と１社当たりの従業者数の推移</a:t>
            </a:r>
          </a:p>
        </c:rich>
      </c:tx>
      <c:overlay val="0"/>
      <c:spPr>
        <a:noFill/>
        <a:ln w="25400">
          <a:noFill/>
        </a:ln>
      </c:spPr>
    </c:title>
    <c:autoTitleDeleted val="0"/>
    <c:plotArea>
      <c:layout/>
      <c:barChart>
        <c:barDir val="col"/>
        <c:grouping val="clustered"/>
        <c:varyColors val="0"/>
        <c:ser>
          <c:idx val="0"/>
          <c:order val="0"/>
          <c:tx>
            <c:strRef>
              <c:f>PL!$A$4:$J$4</c:f>
              <c:strCache>
                <c:ptCount val="10"/>
                <c:pt idx="0">
                  <c:v>母集団企業数（社）</c:v>
                </c:pt>
              </c:strCache>
            </c:strRef>
          </c:tx>
          <c:spPr>
            <a:solidFill>
              <a:srgbClr val="4F81BD"/>
            </a:solidFill>
            <a:ln w="25400">
              <a:noFill/>
            </a:ln>
          </c:spPr>
          <c:invertIfNegative val="0"/>
          <c:cat>
            <c:strRef>
              <c:f>PL!$K$3:$AC$3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PL!$K$4:$AC$4</c:f>
              <c:numCache>
                <c:formatCode>##\ ###\ ###\ ##0;[&lt;-999]\-#\ ###\ ##0;#\ ##0</c:formatCode>
                <c:ptCount val="19"/>
                <c:pt idx="0">
                  <c:v>10579</c:v>
                </c:pt>
                <c:pt idx="1">
                  <c:v>11828</c:v>
                </c:pt>
                <c:pt idx="2">
                  <c:v>11618.683207354299</c:v>
                </c:pt>
                <c:pt idx="3">
                  <c:v>11058.6963983154</c:v>
                </c:pt>
                <c:pt idx="4">
                  <c:v>11776.705542006801</c:v>
                </c:pt>
                <c:pt idx="5">
                  <c:v>11708.6800163281</c:v>
                </c:pt>
                <c:pt idx="6">
                  <c:v>10625.4896589041</c:v>
                </c:pt>
                <c:pt idx="7">
                  <c:v>10620.15324027526</c:v>
                </c:pt>
                <c:pt idx="8">
                  <c:v>10221.368727999998</c:v>
                </c:pt>
                <c:pt idx="9">
                  <c:v>12467.898173074704</c:v>
                </c:pt>
                <c:pt idx="10">
                  <c:v>12753.464825999994</c:v>
                </c:pt>
                <c:pt idx="11">
                  <c:v>13053.492344999973</c:v>
                </c:pt>
                <c:pt idx="12">
                  <c:v>13368.710625000054</c:v>
                </c:pt>
                <c:pt idx="13">
                  <c:v>13699.888032999976</c:v>
                </c:pt>
                <c:pt idx="14">
                  <c:v>10948.023456000023</c:v>
                </c:pt>
                <c:pt idx="15">
                  <c:v>11564</c:v>
                </c:pt>
                <c:pt idx="16">
                  <c:v>11648</c:v>
                </c:pt>
                <c:pt idx="17">
                  <c:v>11633</c:v>
                </c:pt>
                <c:pt idx="18">
                  <c:v>11721</c:v>
                </c:pt>
              </c:numCache>
            </c:numRef>
          </c:val>
          <c:extLst>
            <c:ext xmlns:c16="http://schemas.microsoft.com/office/drawing/2014/chart" uri="{C3380CC4-5D6E-409C-BE32-E72D297353CC}">
              <c16:uniqueId val="{00000000-2449-4D4F-BCFB-3B960CE96D72}"/>
            </c:ext>
          </c:extLst>
        </c:ser>
        <c:dLbls>
          <c:showLegendKey val="0"/>
          <c:showVal val="0"/>
          <c:showCatName val="0"/>
          <c:showSerName val="0"/>
          <c:showPercent val="0"/>
          <c:showBubbleSize val="0"/>
        </c:dLbls>
        <c:gapWidth val="219"/>
        <c:overlap val="-27"/>
        <c:axId val="350789584"/>
        <c:axId val="1"/>
      </c:barChart>
      <c:lineChart>
        <c:grouping val="standard"/>
        <c:varyColors val="0"/>
        <c:ser>
          <c:idx val="1"/>
          <c:order val="1"/>
          <c:tx>
            <c:strRef>
              <c:f>PL!$A$5:$J$5</c:f>
              <c:strCache>
                <c:ptCount val="10"/>
                <c:pt idx="0">
                  <c:v>従業者数（人）</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PL!$K$3:$AC$3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PL!$K$5:$AC$5</c:f>
              <c:numCache>
                <c:formatCode>0.0</c:formatCode>
                <c:ptCount val="19"/>
                <c:pt idx="0">
                  <c:v>48.160412137252997</c:v>
                </c:pt>
                <c:pt idx="1">
                  <c:v>38.315776124450458</c:v>
                </c:pt>
                <c:pt idx="2">
                  <c:v>44.019508482865284</c:v>
                </c:pt>
                <c:pt idx="3">
                  <c:v>43.014104643464172</c:v>
                </c:pt>
                <c:pt idx="4">
                  <c:v>37.965076794494827</c:v>
                </c:pt>
                <c:pt idx="5">
                  <c:v>32.937291479925882</c:v>
                </c:pt>
                <c:pt idx="6">
                  <c:v>37.163617331832747</c:v>
                </c:pt>
                <c:pt idx="7">
                  <c:v>30.345849549710508</c:v>
                </c:pt>
                <c:pt idx="8">
                  <c:v>31.238261648634641</c:v>
                </c:pt>
                <c:pt idx="9">
                  <c:v>30.078817816632025</c:v>
                </c:pt>
                <c:pt idx="10">
                  <c:v>34.362096789145831</c:v>
                </c:pt>
                <c:pt idx="11">
                  <c:v>35.008334185759139</c:v>
                </c:pt>
                <c:pt idx="12">
                  <c:v>35.220515816685051</c:v>
                </c:pt>
                <c:pt idx="13">
                  <c:v>34.977176696166516</c:v>
                </c:pt>
                <c:pt idx="14">
                  <c:v>37.679255544149747</c:v>
                </c:pt>
                <c:pt idx="15">
                  <c:v>39.554207210656429</c:v>
                </c:pt>
                <c:pt idx="16">
                  <c:v>38.318938873626372</c:v>
                </c:pt>
                <c:pt idx="17">
                  <c:v>40.571305768073586</c:v>
                </c:pt>
                <c:pt idx="18">
                  <c:v>39.521201262690894</c:v>
                </c:pt>
              </c:numCache>
            </c:numRef>
          </c:val>
          <c:smooth val="0"/>
          <c:extLst>
            <c:ext xmlns:c16="http://schemas.microsoft.com/office/drawing/2014/chart" uri="{C3380CC4-5D6E-409C-BE32-E72D297353CC}">
              <c16:uniqueId val="{00000001-2449-4D4F-BCFB-3B960CE96D72}"/>
            </c:ext>
          </c:extLst>
        </c:ser>
        <c:dLbls>
          <c:showLegendKey val="0"/>
          <c:showVal val="0"/>
          <c:showCatName val="0"/>
          <c:showSerName val="0"/>
          <c:showPercent val="0"/>
          <c:showBubbleSize val="0"/>
        </c:dLbls>
        <c:marker val="1"/>
        <c:smooth val="0"/>
        <c:axId val="3"/>
        <c:axId val="4"/>
      </c:lineChart>
      <c:catAx>
        <c:axId val="350789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 ###\ ###\ ##0;[&lt;-999]\-#\ ###\ ##0;#\ ##0" sourceLinked="1"/>
        <c:majorTickMark val="none"/>
        <c:minorTickMark val="none"/>
        <c:tickLblPos val="nextTo"/>
        <c:spPr>
          <a:ln w="9525">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5078958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numFmt formatCode="0.0" sourceLinked="1"/>
        <c:majorTickMark val="out"/>
        <c:minorTickMark val="none"/>
        <c:tickLblPos val="nextTo"/>
        <c:spPr>
          <a:ln w="9525">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
        <c:crosses val="max"/>
        <c:crossBetween val="between"/>
      </c:valAx>
      <c:spPr>
        <a:noFill/>
        <a:ln w="25400">
          <a:noFill/>
        </a:ln>
      </c:spPr>
    </c:plotArea>
    <c:legend>
      <c:legendPos val="b"/>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sz="950" b="0" i="0" u="none" strike="noStrike" baseline="0">
                <a:solidFill>
                  <a:srgbClr val="000000"/>
                </a:solidFill>
                <a:latin typeface="ＭＳ Ｐゴシック"/>
                <a:ea typeface="ＭＳ Ｐゴシック"/>
              </a:rPr>
              <a:t>売上高/当期純利益</a:t>
            </a:r>
          </a:p>
        </c:rich>
      </c:tx>
      <c:layout>
        <c:manualLayout>
          <c:xMode val="edge"/>
          <c:yMode val="edge"/>
          <c:x val="0.3398877739292489"/>
          <c:y val="3.873239436619718E-2"/>
        </c:manualLayout>
      </c:layout>
      <c:overlay val="0"/>
      <c:spPr>
        <a:noFill/>
        <a:ln w="25400">
          <a:noFill/>
        </a:ln>
      </c:spPr>
    </c:title>
    <c:autoTitleDeleted val="0"/>
    <c:plotArea>
      <c:layout>
        <c:manualLayout>
          <c:layoutTarget val="inner"/>
          <c:xMode val="edge"/>
          <c:yMode val="edge"/>
          <c:x val="0.2612359550561798"/>
          <c:y val="0.28521126760563381"/>
          <c:w val="0.5196629213483146"/>
          <c:h val="0.56690140845070425"/>
        </c:manualLayout>
      </c:layout>
      <c:barChart>
        <c:barDir val="col"/>
        <c:grouping val="clustered"/>
        <c:varyColors val="0"/>
        <c:ser>
          <c:idx val="0"/>
          <c:order val="0"/>
          <c:tx>
            <c:strRef>
              <c:f>総合評価!$A$5</c:f>
              <c:strCache>
                <c:ptCount val="1"/>
                <c:pt idx="0">
                  <c:v>売上高</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総合評価!$C$5:$U$5</c:f>
              <c:numCache>
                <c:formatCode>#,##0;"△ "#,##0</c:formatCode>
                <c:ptCount val="19"/>
                <c:pt idx="0">
                  <c:v>1029049.49522639</c:v>
                </c:pt>
                <c:pt idx="1">
                  <c:v>792640.34494420025</c:v>
                </c:pt>
                <c:pt idx="2">
                  <c:v>833050.73016966193</c:v>
                </c:pt>
                <c:pt idx="3">
                  <c:v>828064.26946642785</c:v>
                </c:pt>
                <c:pt idx="4">
                  <c:v>801705.25557250518</c:v>
                </c:pt>
                <c:pt idx="5">
                  <c:v>921991.9329220308</c:v>
                </c:pt>
                <c:pt idx="6">
                  <c:v>659762.64689240814</c:v>
                </c:pt>
                <c:pt idx="7">
                  <c:v>597586.81870825472</c:v>
                </c:pt>
                <c:pt idx="8">
                  <c:v>562143.89223713661</c:v>
                </c:pt>
                <c:pt idx="9">
                  <c:v>402169.91237123299</c:v>
                </c:pt>
                <c:pt idx="10">
                  <c:v>719477.8379323727</c:v>
                </c:pt>
                <c:pt idx="11">
                  <c:v>757170.67634382402</c:v>
                </c:pt>
                <c:pt idx="12">
                  <c:v>795826.45982916676</c:v>
                </c:pt>
                <c:pt idx="13">
                  <c:v>760401.3575568971</c:v>
                </c:pt>
                <c:pt idx="14">
                  <c:v>761109.14219733421</c:v>
                </c:pt>
                <c:pt idx="15">
                  <c:v>866085.58623589599</c:v>
                </c:pt>
                <c:pt idx="16">
                  <c:v>852533.48523351655</c:v>
                </c:pt>
                <c:pt idx="17">
                  <c:v>882915.58282472275</c:v>
                </c:pt>
                <c:pt idx="18">
                  <c:v>863588.18974490231</c:v>
                </c:pt>
              </c:numCache>
            </c:numRef>
          </c:val>
          <c:extLst>
            <c:ext xmlns:c16="http://schemas.microsoft.com/office/drawing/2014/chart" uri="{C3380CC4-5D6E-409C-BE32-E72D297353CC}">
              <c16:uniqueId val="{00000000-28A8-4050-85A4-3EAD86916144}"/>
            </c:ext>
          </c:extLst>
        </c:ser>
        <c:dLbls>
          <c:showLegendKey val="0"/>
          <c:showVal val="0"/>
          <c:showCatName val="0"/>
          <c:showSerName val="0"/>
          <c:showPercent val="0"/>
          <c:showBubbleSize val="0"/>
        </c:dLbls>
        <c:gapWidth val="150"/>
        <c:axId val="351124576"/>
        <c:axId val="1"/>
      </c:barChart>
      <c:lineChart>
        <c:grouping val="standard"/>
        <c:varyColors val="0"/>
        <c:ser>
          <c:idx val="1"/>
          <c:order val="1"/>
          <c:tx>
            <c:strRef>
              <c:f>総合評価!$A$12</c:f>
              <c:strCache>
                <c:ptCount val="1"/>
                <c:pt idx="0">
                  <c:v>当期純利益</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総合評価!$C$12:$U$12</c:f>
              <c:numCache>
                <c:formatCode>#,##0;"△ "#,##0</c:formatCode>
                <c:ptCount val="19"/>
                <c:pt idx="0">
                  <c:v>18320.843179884701</c:v>
                </c:pt>
                <c:pt idx="1">
                  <c:v>13954.599256002704</c:v>
                </c:pt>
                <c:pt idx="2">
                  <c:v>16791.532730697661</c:v>
                </c:pt>
                <c:pt idx="3">
                  <c:v>17066.42728697725</c:v>
                </c:pt>
                <c:pt idx="4">
                  <c:v>14347.263632501921</c:v>
                </c:pt>
                <c:pt idx="5">
                  <c:v>3336.344587106295</c:v>
                </c:pt>
                <c:pt idx="6">
                  <c:v>-3787.4927325674339</c:v>
                </c:pt>
                <c:pt idx="7">
                  <c:v>8943.8958575843117</c:v>
                </c:pt>
                <c:pt idx="8">
                  <c:v>9741.340224918873</c:v>
                </c:pt>
                <c:pt idx="9">
                  <c:v>6788.3790503388864</c:v>
                </c:pt>
                <c:pt idx="10">
                  <c:v>13634.560437288017</c:v>
                </c:pt>
                <c:pt idx="11">
                  <c:v>14688.782980817279</c:v>
                </c:pt>
                <c:pt idx="12">
                  <c:v>15268.957590105378</c:v>
                </c:pt>
                <c:pt idx="13">
                  <c:v>17681.423167918401</c:v>
                </c:pt>
                <c:pt idx="14">
                  <c:v>21167.97179714057</c:v>
                </c:pt>
                <c:pt idx="15">
                  <c:v>20386.951280725621</c:v>
                </c:pt>
                <c:pt idx="16">
                  <c:v>20336.771033653848</c:v>
                </c:pt>
                <c:pt idx="17">
                  <c:v>8776.397833748817</c:v>
                </c:pt>
                <c:pt idx="18">
                  <c:v>20806.53212183261</c:v>
                </c:pt>
              </c:numCache>
            </c:numRef>
          </c:val>
          <c:smooth val="0"/>
          <c:extLst>
            <c:ext xmlns:c16="http://schemas.microsoft.com/office/drawing/2014/chart" uri="{C3380CC4-5D6E-409C-BE32-E72D297353CC}">
              <c16:uniqueId val="{00000001-28A8-4050-85A4-3EAD86916144}"/>
            </c:ext>
          </c:extLst>
        </c:ser>
        <c:dLbls>
          <c:showLegendKey val="0"/>
          <c:showVal val="0"/>
          <c:showCatName val="0"/>
          <c:showSerName val="0"/>
          <c:showPercent val="0"/>
          <c:showBubbleSize val="0"/>
        </c:dLbls>
        <c:marker val="1"/>
        <c:smooth val="0"/>
        <c:axId val="3"/>
        <c:axId val="4"/>
      </c:lineChart>
      <c:catAx>
        <c:axId val="35112457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5774647887323944"/>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ＭＳ Ｐゴシック"/>
                <a:ea typeface="ＭＳ Ｐゴシック"/>
                <a:cs typeface="ＭＳ Ｐゴシック"/>
              </a:defRPr>
            </a:pPr>
            <a:endParaRPr lang="ja-JP"/>
          </a:p>
        </c:txPr>
        <c:crossAx val="35112457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0.90168543288524583"/>
              <c:y val="0.45774647887323944"/>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5400494492643866"/>
          <c:y val="0.14084544009463607"/>
          <c:w val="0.56521845660381564"/>
          <c:h val="7.3239436619718323E-2"/>
        </c:manualLayout>
      </c:layout>
      <c:overlay val="0"/>
      <c:spPr>
        <a:solidFill>
          <a:srgbClr val="FFFFFF"/>
        </a:solidFill>
        <a:ln w="3175">
          <a:solidFill>
            <a:srgbClr val="000000"/>
          </a:solidFill>
          <a:prstDash val="solid"/>
        </a:ln>
      </c:spPr>
      <c:txPr>
        <a:bodyPr/>
        <a:lstStyle/>
        <a:p>
          <a:pPr>
            <a:defRPr sz="87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売上コスト　構成比較</a:t>
            </a:r>
          </a:p>
        </c:rich>
      </c:tx>
      <c:layout>
        <c:manualLayout>
          <c:xMode val="edge"/>
          <c:yMode val="edge"/>
          <c:x val="0.34366230956257943"/>
          <c:y val="3.873239436619718E-2"/>
        </c:manualLayout>
      </c:layout>
      <c:overlay val="0"/>
      <c:spPr>
        <a:noFill/>
        <a:ln w="25400">
          <a:noFill/>
        </a:ln>
      </c:spPr>
    </c:title>
    <c:autoTitleDeleted val="0"/>
    <c:plotArea>
      <c:layout>
        <c:manualLayout>
          <c:layoutTarget val="inner"/>
          <c:xMode val="edge"/>
          <c:yMode val="edge"/>
          <c:x val="0.17746503282492412"/>
          <c:y val="0.2792455621409049"/>
          <c:w val="0.78309966865601432"/>
          <c:h val="0.57638831983187655"/>
        </c:manualLayout>
      </c:layout>
      <c:barChart>
        <c:barDir val="col"/>
        <c:grouping val="percentStacked"/>
        <c:varyColors val="0"/>
        <c:ser>
          <c:idx val="4"/>
          <c:order val="0"/>
          <c:tx>
            <c:strRef>
              <c:f>総合評価!$A$10</c:f>
              <c:strCache>
                <c:ptCount val="1"/>
                <c:pt idx="0">
                  <c:v>営業利益</c:v>
                </c:pt>
              </c:strCache>
            </c:strRef>
          </c:tx>
          <c:spPr>
            <a:solidFill>
              <a:srgbClr val="6600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総合評価!$C$10:$U$10</c:f>
              <c:numCache>
                <c:formatCode>#,##0;"△ "#,##0</c:formatCode>
                <c:ptCount val="19"/>
                <c:pt idx="0">
                  <c:v>34273.196899514995</c:v>
                </c:pt>
                <c:pt idx="1">
                  <c:v>11643.895840378827</c:v>
                </c:pt>
                <c:pt idx="2">
                  <c:v>29655.115108928643</c:v>
                </c:pt>
                <c:pt idx="3">
                  <c:v>26495.318308094866</c:v>
                </c:pt>
                <c:pt idx="4">
                  <c:v>21820.961537866504</c:v>
                </c:pt>
                <c:pt idx="5">
                  <c:v>10615.057059120038</c:v>
                </c:pt>
                <c:pt idx="6">
                  <c:v>-5720.5274381988838</c:v>
                </c:pt>
                <c:pt idx="7">
                  <c:v>15572.303212306466</c:v>
                </c:pt>
                <c:pt idx="8">
                  <c:v>14829.407960750677</c:v>
                </c:pt>
                <c:pt idx="9">
                  <c:v>10929.281830871134</c:v>
                </c:pt>
                <c:pt idx="10">
                  <c:v>24441.410992555953</c:v>
                </c:pt>
                <c:pt idx="11">
                  <c:v>22774.960269996802</c:v>
                </c:pt>
                <c:pt idx="12">
                  <c:v>18698.309246235993</c:v>
                </c:pt>
                <c:pt idx="13">
                  <c:v>23380.273491645799</c:v>
                </c:pt>
                <c:pt idx="14">
                  <c:v>29526.198929435017</c:v>
                </c:pt>
                <c:pt idx="15">
                  <c:v>25452.029889026253</c:v>
                </c:pt>
                <c:pt idx="16">
                  <c:v>14916.701579670329</c:v>
                </c:pt>
                <c:pt idx="17">
                  <c:v>6444.6221954783796</c:v>
                </c:pt>
                <c:pt idx="18">
                  <c:v>19039.015698319257</c:v>
                </c:pt>
              </c:numCache>
            </c:numRef>
          </c:val>
          <c:extLst>
            <c:ext xmlns:c16="http://schemas.microsoft.com/office/drawing/2014/chart" uri="{C3380CC4-5D6E-409C-BE32-E72D297353CC}">
              <c16:uniqueId val="{00000000-9DB3-465B-BE3E-19CA734A6A4C}"/>
            </c:ext>
          </c:extLst>
        </c:ser>
        <c:ser>
          <c:idx val="3"/>
          <c:order val="1"/>
          <c:tx>
            <c:strRef>
              <c:f>総合評価!$A$9</c:f>
              <c:strCache>
                <c:ptCount val="1"/>
                <c:pt idx="0">
                  <c:v>販売管理費</c:v>
                </c:pt>
              </c:strCache>
            </c:strRef>
          </c:tx>
          <c:spPr>
            <a:solidFill>
              <a:srgbClr val="CCFF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総合評価!$C$9:$U$9</c:f>
              <c:numCache>
                <c:formatCode>#,##0;"△ "#,##0</c:formatCode>
                <c:ptCount val="19"/>
                <c:pt idx="0">
                  <c:v>57113.376500614002</c:v>
                </c:pt>
                <c:pt idx="1">
                  <c:v>51012.428136624949</c:v>
                </c:pt>
                <c:pt idx="2">
                  <c:v>58109.811345457798</c:v>
                </c:pt>
                <c:pt idx="3">
                  <c:v>46429.984761980537</c:v>
                </c:pt>
                <c:pt idx="4">
                  <c:v>48164.804820445046</c:v>
                </c:pt>
                <c:pt idx="5">
                  <c:v>46613.67545129692</c:v>
                </c:pt>
                <c:pt idx="6">
                  <c:v>41313.402791567853</c:v>
                </c:pt>
                <c:pt idx="7">
                  <c:v>30156.160976858366</c:v>
                </c:pt>
                <c:pt idx="8">
                  <c:v>38631.464208560596</c:v>
                </c:pt>
                <c:pt idx="9">
                  <c:v>36208.141116190243</c:v>
                </c:pt>
                <c:pt idx="10">
                  <c:v>40067.208417853493</c:v>
                </c:pt>
                <c:pt idx="11">
                  <c:v>41209.374011391723</c:v>
                </c:pt>
                <c:pt idx="12">
                  <c:v>42542.692447179747</c:v>
                </c:pt>
                <c:pt idx="13">
                  <c:v>38075.733338394843</c:v>
                </c:pt>
                <c:pt idx="14">
                  <c:v>43824.015570129617</c:v>
                </c:pt>
                <c:pt idx="15">
                  <c:v>52217.737934365738</c:v>
                </c:pt>
                <c:pt idx="16">
                  <c:v>51052.196085164833</c:v>
                </c:pt>
                <c:pt idx="17">
                  <c:v>52088.995615920227</c:v>
                </c:pt>
                <c:pt idx="18">
                  <c:v>52605.782271137279</c:v>
                </c:pt>
              </c:numCache>
            </c:numRef>
          </c:val>
          <c:extLst>
            <c:ext xmlns:c16="http://schemas.microsoft.com/office/drawing/2014/chart" uri="{C3380CC4-5D6E-409C-BE32-E72D297353CC}">
              <c16:uniqueId val="{00000001-9DB3-465B-BE3E-19CA734A6A4C}"/>
            </c:ext>
          </c:extLst>
        </c:ser>
        <c:ser>
          <c:idx val="2"/>
          <c:order val="2"/>
          <c:tx>
            <c:strRef>
              <c:f>総合評価!$A$8</c:f>
              <c:strCache>
                <c:ptCount val="1"/>
                <c:pt idx="0">
                  <c:v>製造経費</c:v>
                </c:pt>
              </c:strCache>
            </c:strRef>
          </c:tx>
          <c:spPr>
            <a:solidFill>
              <a:srgbClr val="FFFFCC"/>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総合評価!$C$8:$U$8</c:f>
              <c:numCache>
                <c:formatCode>#,##0;"△ "#,##0</c:formatCode>
                <c:ptCount val="19"/>
                <c:pt idx="0">
                  <c:v>100615.140372436</c:v>
                </c:pt>
                <c:pt idx="1">
                  <c:v>61932.110246871824</c:v>
                </c:pt>
                <c:pt idx="2">
                  <c:v>80565.203875693536</c:v>
                </c:pt>
                <c:pt idx="3">
                  <c:v>85220.258468716158</c:v>
                </c:pt>
                <c:pt idx="4">
                  <c:v>92706.625505489224</c:v>
                </c:pt>
                <c:pt idx="5">
                  <c:v>116169.0608650099</c:v>
                </c:pt>
                <c:pt idx="6">
                  <c:v>81036.236297884607</c:v>
                </c:pt>
                <c:pt idx="7">
                  <c:v>91565.000242230468</c:v>
                </c:pt>
                <c:pt idx="8">
                  <c:v>56265.849816370392</c:v>
                </c:pt>
                <c:pt idx="9">
                  <c:v>32885.740944872035</c:v>
                </c:pt>
                <c:pt idx="10">
                  <c:v>81208.847976937439</c:v>
                </c:pt>
                <c:pt idx="11">
                  <c:v>91239.552433447476</c:v>
                </c:pt>
                <c:pt idx="12">
                  <c:v>92277.237164275488</c:v>
                </c:pt>
                <c:pt idx="13">
                  <c:v>100106.03456471808</c:v>
                </c:pt>
                <c:pt idx="14">
                  <c:v>79638.531720965868</c:v>
                </c:pt>
                <c:pt idx="15">
                  <c:v>134538.90936524418</c:v>
                </c:pt>
                <c:pt idx="16">
                  <c:v>137768.09349244513</c:v>
                </c:pt>
                <c:pt idx="17">
                  <c:v>156520.32966560664</c:v>
                </c:pt>
                <c:pt idx="18">
                  <c:v>128823.75061854784</c:v>
                </c:pt>
              </c:numCache>
            </c:numRef>
          </c:val>
          <c:extLst>
            <c:ext xmlns:c16="http://schemas.microsoft.com/office/drawing/2014/chart" uri="{C3380CC4-5D6E-409C-BE32-E72D297353CC}">
              <c16:uniqueId val="{00000002-9DB3-465B-BE3E-19CA734A6A4C}"/>
            </c:ext>
          </c:extLst>
        </c:ser>
        <c:ser>
          <c:idx val="1"/>
          <c:order val="3"/>
          <c:tx>
            <c:strRef>
              <c:f>総合評価!$A$7</c:f>
              <c:strCache>
                <c:ptCount val="1"/>
                <c:pt idx="0">
                  <c:v>人件費、労務費</c:v>
                </c:pt>
              </c:strCache>
            </c:strRef>
          </c:tx>
          <c:spPr>
            <a:solidFill>
              <a:srgbClr val="9933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総合評価!$C$7:$U$7</c:f>
              <c:numCache>
                <c:formatCode>#,##0;"△ "#,##0</c:formatCode>
                <c:ptCount val="19"/>
                <c:pt idx="0">
                  <c:v>201253.961622081</c:v>
                </c:pt>
                <c:pt idx="1">
                  <c:v>182534.66351031454</c:v>
                </c:pt>
                <c:pt idx="2">
                  <c:v>177960.82364090846</c:v>
                </c:pt>
                <c:pt idx="3">
                  <c:v>161774.60825586933</c:v>
                </c:pt>
                <c:pt idx="4">
                  <c:v>170123.21527709399</c:v>
                </c:pt>
                <c:pt idx="5">
                  <c:v>183662.71915277658</c:v>
                </c:pt>
                <c:pt idx="6">
                  <c:v>148075.98553870659</c:v>
                </c:pt>
                <c:pt idx="7">
                  <c:v>130496.27985510934</c:v>
                </c:pt>
                <c:pt idx="8">
                  <c:v>117311.16946395778</c:v>
                </c:pt>
                <c:pt idx="9">
                  <c:v>112364.92897469609</c:v>
                </c:pt>
                <c:pt idx="10">
                  <c:v>158598.80751740537</c:v>
                </c:pt>
                <c:pt idx="11">
                  <c:v>157730.93865008079</c:v>
                </c:pt>
                <c:pt idx="12">
                  <c:v>158402.00802716889</c:v>
                </c:pt>
                <c:pt idx="13">
                  <c:v>176508.02640455723</c:v>
                </c:pt>
                <c:pt idx="14">
                  <c:v>176144.20654062269</c:v>
                </c:pt>
                <c:pt idx="15">
                  <c:v>172738.69494702137</c:v>
                </c:pt>
                <c:pt idx="16">
                  <c:v>164876.82099931317</c:v>
                </c:pt>
                <c:pt idx="17">
                  <c:v>188582.17716840026</c:v>
                </c:pt>
                <c:pt idx="18">
                  <c:v>174182.48084634417</c:v>
                </c:pt>
              </c:numCache>
            </c:numRef>
          </c:val>
          <c:extLst>
            <c:ext xmlns:c16="http://schemas.microsoft.com/office/drawing/2014/chart" uri="{C3380CC4-5D6E-409C-BE32-E72D297353CC}">
              <c16:uniqueId val="{00000003-9DB3-465B-BE3E-19CA734A6A4C}"/>
            </c:ext>
          </c:extLst>
        </c:ser>
        <c:ser>
          <c:idx val="0"/>
          <c:order val="4"/>
          <c:tx>
            <c:strRef>
              <c:f>総合評価!$A$6</c:f>
              <c:strCache>
                <c:ptCount val="1"/>
                <c:pt idx="0">
                  <c:v>仕入高、材料費、外注費</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総合評価!$C$6:$U$6</c:f>
              <c:numCache>
                <c:formatCode>#,##0;"△ "#,##0</c:formatCode>
                <c:ptCount val="19"/>
                <c:pt idx="0">
                  <c:v>635793.81983174302</c:v>
                </c:pt>
                <c:pt idx="1">
                  <c:v>485517.33175515727</c:v>
                </c:pt>
                <c:pt idx="2">
                  <c:v>486759.77619867399</c:v>
                </c:pt>
                <c:pt idx="3">
                  <c:v>508144.09967176756</c:v>
                </c:pt>
                <c:pt idx="4">
                  <c:v>468889.64843161154</c:v>
                </c:pt>
                <c:pt idx="5">
                  <c:v>564931.42039382434</c:v>
                </c:pt>
                <c:pt idx="6">
                  <c:v>395057.54970244813</c:v>
                </c:pt>
                <c:pt idx="7">
                  <c:v>329797.07442174992</c:v>
                </c:pt>
                <c:pt idx="8">
                  <c:v>335106.00078749686</c:v>
                </c:pt>
                <c:pt idx="9">
                  <c:v>209781.81950460331</c:v>
                </c:pt>
                <c:pt idx="10">
                  <c:v>415161.56302762032</c:v>
                </c:pt>
                <c:pt idx="11">
                  <c:v>444215.8509789072</c:v>
                </c:pt>
                <c:pt idx="12">
                  <c:v>483906.21294430626</c:v>
                </c:pt>
                <c:pt idx="13">
                  <c:v>422331.28975758096</c:v>
                </c:pt>
                <c:pt idx="14">
                  <c:v>431976.18943618046</c:v>
                </c:pt>
                <c:pt idx="15">
                  <c:v>481138.21410023753</c:v>
                </c:pt>
                <c:pt idx="16">
                  <c:v>483919.67299107148</c:v>
                </c:pt>
                <c:pt idx="17">
                  <c:v>479279.45817931741</c:v>
                </c:pt>
                <c:pt idx="18">
                  <c:v>488937.16031055379</c:v>
                </c:pt>
              </c:numCache>
            </c:numRef>
          </c:val>
          <c:extLst>
            <c:ext xmlns:c16="http://schemas.microsoft.com/office/drawing/2014/chart" uri="{C3380CC4-5D6E-409C-BE32-E72D297353CC}">
              <c16:uniqueId val="{00000004-9DB3-465B-BE3E-19CA734A6A4C}"/>
            </c:ext>
          </c:extLst>
        </c:ser>
        <c:dLbls>
          <c:showLegendKey val="0"/>
          <c:showVal val="0"/>
          <c:showCatName val="0"/>
          <c:showSerName val="0"/>
          <c:showPercent val="0"/>
          <c:showBubbleSize val="0"/>
        </c:dLbls>
        <c:gapWidth val="150"/>
        <c:overlap val="100"/>
        <c:axId val="351129496"/>
        <c:axId val="1"/>
      </c:barChart>
      <c:catAx>
        <c:axId val="35112949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129496"/>
        <c:crosses val="autoZero"/>
        <c:crossBetween val="between"/>
      </c:valAx>
      <c:spPr>
        <a:solidFill>
          <a:srgbClr val="C0C0C0"/>
        </a:solidFill>
        <a:ln w="12700">
          <a:solidFill>
            <a:srgbClr val="808080"/>
          </a:solidFill>
          <a:prstDash val="solid"/>
        </a:ln>
      </c:spPr>
    </c:plotArea>
    <c:legend>
      <c:legendPos val="b"/>
      <c:layout>
        <c:manualLayout>
          <c:xMode val="edge"/>
          <c:yMode val="edge"/>
          <c:x val="6.6513684727086159E-2"/>
          <c:y val="0.13802853868618534"/>
          <c:w val="0.88761571234190617"/>
          <c:h val="9.4848247300373389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借入金残高と依存度</a:t>
            </a:r>
          </a:p>
        </c:rich>
      </c:tx>
      <c:layout>
        <c:manualLayout>
          <c:xMode val="edge"/>
          <c:yMode val="edge"/>
          <c:x val="0.34929643178455383"/>
          <c:y val="3.873239436619718E-2"/>
        </c:manualLayout>
      </c:layout>
      <c:overlay val="0"/>
      <c:spPr>
        <a:noFill/>
        <a:ln w="25400">
          <a:noFill/>
        </a:ln>
      </c:spPr>
    </c:title>
    <c:autoTitleDeleted val="0"/>
    <c:plotArea>
      <c:layout>
        <c:manualLayout>
          <c:layoutTarget val="inner"/>
          <c:xMode val="edge"/>
          <c:yMode val="edge"/>
          <c:x val="0.22253551735188895"/>
          <c:y val="0.27464788732394368"/>
          <c:w val="0.59155010941641373"/>
          <c:h val="0.58098591549295775"/>
        </c:manualLayout>
      </c:layout>
      <c:barChart>
        <c:barDir val="col"/>
        <c:grouping val="clustered"/>
        <c:varyColors val="0"/>
        <c:ser>
          <c:idx val="0"/>
          <c:order val="0"/>
          <c:tx>
            <c:strRef>
              <c:f>総合評価!$A$18</c:f>
              <c:strCache>
                <c:ptCount val="1"/>
                <c:pt idx="0">
                  <c:v>借入金（社債含む）</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総合評価!$C$18:$U$18</c:f>
              <c:numCache>
                <c:formatCode>#,##0;"△ "#,##0</c:formatCode>
                <c:ptCount val="19"/>
                <c:pt idx="0">
                  <c:v>260591.07666131022</c:v>
                </c:pt>
                <c:pt idx="1">
                  <c:v>200565.18430842072</c:v>
                </c:pt>
                <c:pt idx="2">
                  <c:v>239563.12268368731</c:v>
                </c:pt>
                <c:pt idx="3">
                  <c:v>175186.95064432808</c:v>
                </c:pt>
                <c:pt idx="4">
                  <c:v>241031.01242685923</c:v>
                </c:pt>
                <c:pt idx="5">
                  <c:v>268480.8586631426</c:v>
                </c:pt>
                <c:pt idx="6">
                  <c:v>228999.2889259434</c:v>
                </c:pt>
                <c:pt idx="7">
                  <c:v>156984.90130966535</c:v>
                </c:pt>
                <c:pt idx="8">
                  <c:v>169004.5396589681</c:v>
                </c:pt>
                <c:pt idx="9">
                  <c:v>152480.2004169242</c:v>
                </c:pt>
                <c:pt idx="10">
                  <c:v>188378.57470020265</c:v>
                </c:pt>
                <c:pt idx="11">
                  <c:v>190742.54577898976</c:v>
                </c:pt>
                <c:pt idx="12">
                  <c:v>193710.44784897027</c:v>
                </c:pt>
                <c:pt idx="13">
                  <c:v>181863.4101061766</c:v>
                </c:pt>
                <c:pt idx="14">
                  <c:v>199879.73152132216</c:v>
                </c:pt>
                <c:pt idx="15">
                  <c:v>223632.82679340313</c:v>
                </c:pt>
                <c:pt idx="16">
                  <c:v>279761.6334134615</c:v>
                </c:pt>
                <c:pt idx="17">
                  <c:v>285613.33688644378</c:v>
                </c:pt>
                <c:pt idx="18">
                  <c:v>260414.83312004092</c:v>
                </c:pt>
              </c:numCache>
            </c:numRef>
          </c:val>
          <c:extLst>
            <c:ext xmlns:c16="http://schemas.microsoft.com/office/drawing/2014/chart" uri="{C3380CC4-5D6E-409C-BE32-E72D297353CC}">
              <c16:uniqueId val="{00000000-79C9-44FB-92A8-1FD84393E3B9}"/>
            </c:ext>
          </c:extLst>
        </c:ser>
        <c:dLbls>
          <c:showLegendKey val="0"/>
          <c:showVal val="0"/>
          <c:showCatName val="0"/>
          <c:showSerName val="0"/>
          <c:showPercent val="0"/>
          <c:showBubbleSize val="0"/>
        </c:dLbls>
        <c:gapWidth val="150"/>
        <c:axId val="351257520"/>
        <c:axId val="1"/>
      </c:barChart>
      <c:lineChart>
        <c:grouping val="standard"/>
        <c:varyColors val="0"/>
        <c:ser>
          <c:idx val="1"/>
          <c:order val="1"/>
          <c:tx>
            <c:strRef>
              <c:f>総合評価!$A$46</c:f>
              <c:strCache>
                <c:ptCount val="1"/>
                <c:pt idx="0">
                  <c:v>借入金依存度</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総合評価!$C$46:$U$46</c:f>
              <c:numCache>
                <c:formatCode>#,##0.0;"△ "#,##0.0</c:formatCode>
                <c:ptCount val="19"/>
                <c:pt idx="0">
                  <c:v>35.447880373901</c:v>
                </c:pt>
                <c:pt idx="1">
                  <c:v>33.539010783079995</c:v>
                </c:pt>
                <c:pt idx="2">
                  <c:v>34.536738296540257</c:v>
                </c:pt>
                <c:pt idx="3">
                  <c:v>30.649430918156927</c:v>
                </c:pt>
                <c:pt idx="4">
                  <c:v>37.851822135920344</c:v>
                </c:pt>
                <c:pt idx="5">
                  <c:v>41.785369541215253</c:v>
                </c:pt>
                <c:pt idx="6">
                  <c:v>37.473895363646932</c:v>
                </c:pt>
                <c:pt idx="7">
                  <c:v>34.817482388528404</c:v>
                </c:pt>
                <c:pt idx="8">
                  <c:v>36.249350413207502</c:v>
                </c:pt>
                <c:pt idx="9">
                  <c:v>42.072073668341829</c:v>
                </c:pt>
                <c:pt idx="10">
                  <c:v>32.622770423624821</c:v>
                </c:pt>
                <c:pt idx="11">
                  <c:v>31.484544994560697</c:v>
                </c:pt>
                <c:pt idx="12">
                  <c:v>32.473354729781718</c:v>
                </c:pt>
                <c:pt idx="13">
                  <c:v>30.746748626562258</c:v>
                </c:pt>
                <c:pt idx="14">
                  <c:v>29.237594891731057</c:v>
                </c:pt>
                <c:pt idx="15">
                  <c:v>30.593940324830697</c:v>
                </c:pt>
                <c:pt idx="16">
                  <c:v>28.455020026099731</c:v>
                </c:pt>
                <c:pt idx="17">
                  <c:v>32.85709467861863</c:v>
                </c:pt>
                <c:pt idx="18">
                  <c:v>33.036101539244171</c:v>
                </c:pt>
              </c:numCache>
            </c:numRef>
          </c:val>
          <c:smooth val="0"/>
          <c:extLst>
            <c:ext xmlns:c16="http://schemas.microsoft.com/office/drawing/2014/chart" uri="{C3380CC4-5D6E-409C-BE32-E72D297353CC}">
              <c16:uniqueId val="{00000001-79C9-44FB-92A8-1FD84393E3B9}"/>
            </c:ext>
          </c:extLst>
        </c:ser>
        <c:dLbls>
          <c:showLegendKey val="0"/>
          <c:showVal val="0"/>
          <c:showCatName val="0"/>
          <c:showSerName val="0"/>
          <c:showPercent val="0"/>
          <c:showBubbleSize val="0"/>
        </c:dLbls>
        <c:marker val="1"/>
        <c:smooth val="0"/>
        <c:axId val="3"/>
        <c:axId val="4"/>
      </c:lineChart>
      <c:catAx>
        <c:axId val="35125752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5070189526592461E-2"/>
              <c:y val="0.46126760563380281"/>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75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0422642814124154"/>
              <c:y val="0.48239436619718312"/>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12844051363267978"/>
          <c:y val="0.14084544009463607"/>
          <c:w val="0.7637622404139992"/>
          <c:h val="6.7605633802816922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キャッシュフロー</a:t>
            </a:r>
          </a:p>
        </c:rich>
      </c:tx>
      <c:layout>
        <c:manualLayout>
          <c:xMode val="edge"/>
          <c:yMode val="edge"/>
          <c:x val="0.37640431084728276"/>
          <c:y val="3.8461368799488298E-2"/>
        </c:manualLayout>
      </c:layout>
      <c:overlay val="0"/>
      <c:spPr>
        <a:noFill/>
        <a:ln w="25400">
          <a:noFill/>
        </a:ln>
      </c:spPr>
    </c:title>
    <c:autoTitleDeleted val="0"/>
    <c:plotArea>
      <c:layout>
        <c:manualLayout>
          <c:layoutTarget val="inner"/>
          <c:xMode val="edge"/>
          <c:yMode val="edge"/>
          <c:x val="0.26685393258426965"/>
          <c:y val="0.3321683992713329"/>
          <c:w val="0.6938202247191011"/>
          <c:h val="0.52447641990210458"/>
        </c:manualLayout>
      </c:layout>
      <c:barChart>
        <c:barDir val="col"/>
        <c:grouping val="stacked"/>
        <c:varyColors val="0"/>
        <c:ser>
          <c:idx val="0"/>
          <c:order val="0"/>
          <c:tx>
            <c:strRef>
              <c:f>総合評価!$A$34</c:f>
              <c:strCache>
                <c:ptCount val="1"/>
                <c:pt idx="0">
                  <c:v>営業キャッシュフロー</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総合評価!$C$34:$U$34</c:f>
              <c:numCache>
                <c:formatCode>#,##0;"△ "#,##0</c:formatCode>
                <c:ptCount val="19"/>
                <c:pt idx="1">
                  <c:v>95268.568948194501</c:v>
                </c:pt>
                <c:pt idx="2">
                  <c:v>5006.7039974187392</c:v>
                </c:pt>
                <c:pt idx="3">
                  <c:v>71716.258480087214</c:v>
                </c:pt>
                <c:pt idx="4">
                  <c:v>87994.839954724972</c:v>
                </c:pt>
                <c:pt idx="5">
                  <c:v>61456.683070979198</c:v>
                </c:pt>
                <c:pt idx="6">
                  <c:v>27920.028340856996</c:v>
                </c:pt>
                <c:pt idx="7">
                  <c:v>42272.508766812716</c:v>
                </c:pt>
                <c:pt idx="8">
                  <c:v>28115.292685256405</c:v>
                </c:pt>
                <c:pt idx="9">
                  <c:v>61706.378634488326</c:v>
                </c:pt>
                <c:pt idx="10">
                  <c:v>60155.415375974277</c:v>
                </c:pt>
                <c:pt idx="11">
                  <c:v>77466.221242785192</c:v>
                </c:pt>
                <c:pt idx="12">
                  <c:v>47582.47440712453</c:v>
                </c:pt>
                <c:pt idx="13">
                  <c:v>83125.779802811521</c:v>
                </c:pt>
                <c:pt idx="14">
                  <c:v>87820.231649774403</c:v>
                </c:pt>
                <c:pt idx="15">
                  <c:v>16503.612853601284</c:v>
                </c:pt>
                <c:pt idx="16">
                  <c:v>51300.985961040926</c:v>
                </c:pt>
                <c:pt idx="17">
                  <c:v>84728.594018425691</c:v>
                </c:pt>
                <c:pt idx="18">
                  <c:v>69876.358463998069</c:v>
                </c:pt>
              </c:numCache>
            </c:numRef>
          </c:val>
          <c:extLst>
            <c:ext xmlns:c16="http://schemas.microsoft.com/office/drawing/2014/chart" uri="{C3380CC4-5D6E-409C-BE32-E72D297353CC}">
              <c16:uniqueId val="{00000000-8EE3-4A6C-AC85-0E70D03DF8B1}"/>
            </c:ext>
          </c:extLst>
        </c:ser>
        <c:ser>
          <c:idx val="1"/>
          <c:order val="1"/>
          <c:tx>
            <c:strRef>
              <c:f>総合評価!$A$35</c:f>
              <c:strCache>
                <c:ptCount val="1"/>
                <c:pt idx="0">
                  <c:v>投資キャッシュフロー</c:v>
                </c:pt>
              </c:strCache>
            </c:strRef>
          </c:tx>
          <c:spPr>
            <a:solidFill>
              <a:srgbClr val="9933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総合評価!$C$35:$U$35</c:f>
              <c:numCache>
                <c:formatCode>#,##0;"△ "#,##0</c:formatCode>
                <c:ptCount val="19"/>
                <c:pt idx="1">
                  <c:v>16291.960222431284</c:v>
                </c:pt>
                <c:pt idx="2">
                  <c:v>-56657.028704332697</c:v>
                </c:pt>
                <c:pt idx="3">
                  <c:v>69131.044251570682</c:v>
                </c:pt>
                <c:pt idx="4">
                  <c:v>-79869.406942708738</c:v>
                </c:pt>
                <c:pt idx="5">
                  <c:v>-99308.747222613703</c:v>
                </c:pt>
                <c:pt idx="6">
                  <c:v>12810.020307340168</c:v>
                </c:pt>
                <c:pt idx="7">
                  <c:v>89491.206115710767</c:v>
                </c:pt>
                <c:pt idx="8">
                  <c:v>-21975.342941864656</c:v>
                </c:pt>
                <c:pt idx="9">
                  <c:v>4701.1992745118805</c:v>
                </c:pt>
                <c:pt idx="10">
                  <c:v>-132778.8298758078</c:v>
                </c:pt>
                <c:pt idx="11">
                  <c:v>-23559.567496522228</c:v>
                </c:pt>
                <c:pt idx="12">
                  <c:v>-39707.212068328241</c:v>
                </c:pt>
                <c:pt idx="13">
                  <c:v>-905.62792513249588</c:v>
                </c:pt>
                <c:pt idx="14">
                  <c:v>-94174.94983926171</c:v>
                </c:pt>
                <c:pt idx="15">
                  <c:v>-46766.558440806155</c:v>
                </c:pt>
                <c:pt idx="16">
                  <c:v>-193841.18806288665</c:v>
                </c:pt>
                <c:pt idx="17">
                  <c:v>50807.118396168386</c:v>
                </c:pt>
                <c:pt idx="18">
                  <c:v>35435.122137499027</c:v>
                </c:pt>
              </c:numCache>
            </c:numRef>
          </c:val>
          <c:extLst>
            <c:ext xmlns:c16="http://schemas.microsoft.com/office/drawing/2014/chart" uri="{C3380CC4-5D6E-409C-BE32-E72D297353CC}">
              <c16:uniqueId val="{00000001-8EE3-4A6C-AC85-0E70D03DF8B1}"/>
            </c:ext>
          </c:extLst>
        </c:ser>
        <c:ser>
          <c:idx val="3"/>
          <c:order val="3"/>
          <c:tx>
            <c:strRef>
              <c:f>総合評価!$A$37</c:f>
              <c:strCache>
                <c:ptCount val="1"/>
                <c:pt idx="0">
                  <c:v>財務キャッシュフロー</c:v>
                </c:pt>
              </c:strCache>
            </c:strRef>
          </c:tx>
          <c:spPr>
            <a:solidFill>
              <a:srgbClr val="CCFF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総合評価!$C$37:$U$37</c:f>
              <c:numCache>
                <c:formatCode>#,##0;"△ "#,##0</c:formatCode>
                <c:ptCount val="19"/>
                <c:pt idx="1">
                  <c:v>-43934.54003875643</c:v>
                </c:pt>
                <c:pt idx="2">
                  <c:v>28568.686754466602</c:v>
                </c:pt>
                <c:pt idx="3">
                  <c:v>-80747.227448074555</c:v>
                </c:pt>
                <c:pt idx="4">
                  <c:v>58006.51668745053</c:v>
                </c:pt>
                <c:pt idx="5">
                  <c:v>32688.496547134208</c:v>
                </c:pt>
                <c:pt idx="6">
                  <c:v>-37358.822761786934</c:v>
                </c:pt>
                <c:pt idx="7">
                  <c:v>-78451.941078979813</c:v>
                </c:pt>
                <c:pt idx="8">
                  <c:v>20804.334550644217</c:v>
                </c:pt>
                <c:pt idx="9">
                  <c:v>-22273.755898818799</c:v>
                </c:pt>
                <c:pt idx="10">
                  <c:v>87757.263740713097</c:v>
                </c:pt>
                <c:pt idx="11">
                  <c:v>-48068.927259538672</c:v>
                </c:pt>
                <c:pt idx="12">
                  <c:v>20661.221242138814</c:v>
                </c:pt>
                <c:pt idx="13">
                  <c:v>-8264.0628520100436</c:v>
                </c:pt>
                <c:pt idx="14">
                  <c:v>11248.256300311092</c:v>
                </c:pt>
                <c:pt idx="15">
                  <c:v>22118.432008480784</c:v>
                </c:pt>
                <c:pt idx="16">
                  <c:v>89185.155291371659</c:v>
                </c:pt>
                <c:pt idx="17">
                  <c:v>-23391.260822370299</c:v>
                </c:pt>
                <c:pt idx="18">
                  <c:v>-19776.225554194112</c:v>
                </c:pt>
              </c:numCache>
            </c:numRef>
          </c:val>
          <c:extLst>
            <c:ext xmlns:c16="http://schemas.microsoft.com/office/drawing/2014/chart" uri="{C3380CC4-5D6E-409C-BE32-E72D297353CC}">
              <c16:uniqueId val="{00000002-8EE3-4A6C-AC85-0E70D03DF8B1}"/>
            </c:ext>
          </c:extLst>
        </c:ser>
        <c:dLbls>
          <c:showLegendKey val="0"/>
          <c:showVal val="0"/>
          <c:showCatName val="0"/>
          <c:showSerName val="0"/>
          <c:showPercent val="0"/>
          <c:showBubbleSize val="0"/>
        </c:dLbls>
        <c:gapWidth val="150"/>
        <c:overlap val="100"/>
        <c:axId val="351253912"/>
        <c:axId val="1"/>
      </c:barChart>
      <c:lineChart>
        <c:grouping val="standard"/>
        <c:varyColors val="0"/>
        <c:ser>
          <c:idx val="2"/>
          <c:order val="2"/>
          <c:tx>
            <c:strRef>
              <c:f>総合評価!$A$36</c:f>
              <c:strCache>
                <c:ptCount val="1"/>
                <c:pt idx="0">
                  <c:v>フリーキャッシュフロー</c:v>
                </c:pt>
              </c:strCache>
            </c:strRef>
          </c:tx>
          <c:spPr>
            <a:ln w="12700">
              <a:solidFill>
                <a:srgbClr val="FF00FF"/>
              </a:solidFill>
              <a:prstDash val="solid"/>
            </a:ln>
          </c:spPr>
          <c:marker>
            <c:symbol val="triangl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総合評価!$C$36:$U$36</c:f>
              <c:numCache>
                <c:formatCode>#,##0;"△ "#,##0</c:formatCode>
                <c:ptCount val="19"/>
                <c:pt idx="1">
                  <c:v>111560.52917062578</c:v>
                </c:pt>
                <c:pt idx="2">
                  <c:v>-51650.324706913962</c:v>
                </c:pt>
                <c:pt idx="3">
                  <c:v>140847.3027316579</c:v>
                </c:pt>
                <c:pt idx="4">
                  <c:v>8125.433012016234</c:v>
                </c:pt>
                <c:pt idx="5">
                  <c:v>-37852.064151634506</c:v>
                </c:pt>
                <c:pt idx="6">
                  <c:v>40730.04864819716</c:v>
                </c:pt>
                <c:pt idx="7">
                  <c:v>131763.71488252349</c:v>
                </c:pt>
                <c:pt idx="8">
                  <c:v>6139.9497433917495</c:v>
                </c:pt>
                <c:pt idx="9">
                  <c:v>66407.577909000203</c:v>
                </c:pt>
                <c:pt idx="10">
                  <c:v>-72623.414499833525</c:v>
                </c:pt>
                <c:pt idx="11">
                  <c:v>53906.653746262964</c:v>
                </c:pt>
                <c:pt idx="12">
                  <c:v>7875.2623387962885</c:v>
                </c:pt>
                <c:pt idx="13">
                  <c:v>82220.151877679018</c:v>
                </c:pt>
                <c:pt idx="14">
                  <c:v>-6354.7181894873065</c:v>
                </c:pt>
                <c:pt idx="15">
                  <c:v>-30262.945587204871</c:v>
                </c:pt>
                <c:pt idx="16">
                  <c:v>-142540.20210184573</c:v>
                </c:pt>
                <c:pt idx="17">
                  <c:v>135535.71241459408</c:v>
                </c:pt>
                <c:pt idx="18">
                  <c:v>105311.4806014971</c:v>
                </c:pt>
              </c:numCache>
            </c:numRef>
          </c:val>
          <c:smooth val="0"/>
          <c:extLst>
            <c:ext xmlns:c16="http://schemas.microsoft.com/office/drawing/2014/chart" uri="{C3380CC4-5D6E-409C-BE32-E72D297353CC}">
              <c16:uniqueId val="{00000003-8EE3-4A6C-AC85-0E70D03DF8B1}"/>
            </c:ext>
          </c:extLst>
        </c:ser>
        <c:dLbls>
          <c:showLegendKey val="0"/>
          <c:showVal val="0"/>
          <c:showCatName val="0"/>
          <c:showSerName val="0"/>
          <c:showPercent val="0"/>
          <c:showBubbleSize val="0"/>
        </c:dLbls>
        <c:marker val="1"/>
        <c:smooth val="0"/>
        <c:axId val="351253912"/>
        <c:axId val="1"/>
      </c:lineChart>
      <c:catAx>
        <c:axId val="351253912"/>
        <c:scaling>
          <c:orientation val="minMax"/>
        </c:scaling>
        <c:delete val="0"/>
        <c:axPos val="b"/>
        <c:numFmt formatCode="General" sourceLinked="1"/>
        <c:majorTickMark val="in"/>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9300785931170371"/>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3912"/>
        <c:crosses val="autoZero"/>
        <c:crossBetween val="between"/>
      </c:valAx>
      <c:spPr>
        <a:solidFill>
          <a:srgbClr val="C0C0C0"/>
        </a:solidFill>
        <a:ln w="12700">
          <a:solidFill>
            <a:srgbClr val="808080"/>
          </a:solidFill>
          <a:prstDash val="solid"/>
        </a:ln>
      </c:spPr>
    </c:plotArea>
    <c:legend>
      <c:legendPos val="b"/>
      <c:layout>
        <c:manualLayout>
          <c:xMode val="edge"/>
          <c:yMode val="edge"/>
          <c:x val="4.1189900767354577E-2"/>
          <c:y val="0.13725526956189299"/>
          <c:w val="0.94508161727308837"/>
          <c:h val="0.128851908217355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加工高と労働分配率</a:t>
            </a:r>
          </a:p>
        </c:rich>
      </c:tx>
      <c:layout>
        <c:manualLayout>
          <c:xMode val="edge"/>
          <c:yMode val="edge"/>
          <c:x val="0.34831456711475423"/>
          <c:y val="3.8461368799488298E-2"/>
        </c:manualLayout>
      </c:layout>
      <c:overlay val="0"/>
      <c:spPr>
        <a:noFill/>
        <a:ln w="25400">
          <a:noFill/>
        </a:ln>
      </c:spPr>
    </c:title>
    <c:autoTitleDeleted val="0"/>
    <c:plotArea>
      <c:layout>
        <c:manualLayout>
          <c:layoutTarget val="inner"/>
          <c:xMode val="edge"/>
          <c:yMode val="edge"/>
          <c:x val="0.23876404494382023"/>
          <c:y val="0.27272773834909436"/>
          <c:w val="0.5758426966292135"/>
          <c:h val="0.58391708082434313"/>
        </c:manualLayout>
      </c:layout>
      <c:barChart>
        <c:barDir val="col"/>
        <c:grouping val="clustered"/>
        <c:varyColors val="0"/>
        <c:ser>
          <c:idx val="0"/>
          <c:order val="0"/>
          <c:tx>
            <c:strRef>
              <c:f>総合評価!$A$48</c:f>
              <c:strCache>
                <c:ptCount val="1"/>
                <c:pt idx="0">
                  <c:v>加工高</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総合評価!$C$48:$U$48</c:f>
              <c:numCache>
                <c:formatCode>#,##0;"△ "#,##0</c:formatCode>
                <c:ptCount val="19"/>
                <c:pt idx="0">
                  <c:v>393255.67539464694</c:v>
                </c:pt>
                <c:pt idx="1">
                  <c:v>307123.01318904298</c:v>
                </c:pt>
                <c:pt idx="2">
                  <c:v>346290.95397098799</c:v>
                </c:pt>
                <c:pt idx="3">
                  <c:v>319920.16979466018</c:v>
                </c:pt>
                <c:pt idx="4">
                  <c:v>332815.60714089364</c:v>
                </c:pt>
                <c:pt idx="5">
                  <c:v>357060.51252820645</c:v>
                </c:pt>
                <c:pt idx="6">
                  <c:v>264705.09718996001</c:v>
                </c:pt>
                <c:pt idx="7">
                  <c:v>267789.74428650487</c:v>
                </c:pt>
                <c:pt idx="8">
                  <c:v>227037.89144963975</c:v>
                </c:pt>
                <c:pt idx="9">
                  <c:v>192388.09286662968</c:v>
                </c:pt>
                <c:pt idx="10">
                  <c:v>304316.2749047525</c:v>
                </c:pt>
                <c:pt idx="11">
                  <c:v>312954.82536491682</c:v>
                </c:pt>
                <c:pt idx="12">
                  <c:v>311920.24688486045</c:v>
                </c:pt>
                <c:pt idx="13">
                  <c:v>338070.06779931602</c:v>
                </c:pt>
                <c:pt idx="14">
                  <c:v>329132.95276115369</c:v>
                </c:pt>
                <c:pt idx="15">
                  <c:v>384947.37213565846</c:v>
                </c:pt>
                <c:pt idx="16">
                  <c:v>368613.81224244507</c:v>
                </c:pt>
                <c:pt idx="17">
                  <c:v>403636.12464540533</c:v>
                </c:pt>
                <c:pt idx="18">
                  <c:v>374651.02943434851</c:v>
                </c:pt>
              </c:numCache>
            </c:numRef>
          </c:val>
          <c:extLst>
            <c:ext xmlns:c16="http://schemas.microsoft.com/office/drawing/2014/chart" uri="{C3380CC4-5D6E-409C-BE32-E72D297353CC}">
              <c16:uniqueId val="{00000000-79A4-42D7-B61F-71EDF5E84F2F}"/>
            </c:ext>
          </c:extLst>
        </c:ser>
        <c:dLbls>
          <c:showLegendKey val="0"/>
          <c:showVal val="0"/>
          <c:showCatName val="0"/>
          <c:showSerName val="0"/>
          <c:showPercent val="0"/>
          <c:showBubbleSize val="0"/>
        </c:dLbls>
        <c:gapWidth val="150"/>
        <c:axId val="351254896"/>
        <c:axId val="1"/>
      </c:barChart>
      <c:lineChart>
        <c:grouping val="standard"/>
        <c:varyColors val="0"/>
        <c:ser>
          <c:idx val="1"/>
          <c:order val="1"/>
          <c:tx>
            <c:strRef>
              <c:f>総合評価!$A$49</c:f>
              <c:strCache>
                <c:ptCount val="1"/>
                <c:pt idx="0">
                  <c:v>労働分配率</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総合評価!$C$49:$U$49</c:f>
              <c:numCache>
                <c:formatCode>#,##0.0;"△ "#,##0.0</c:formatCode>
                <c:ptCount val="19"/>
                <c:pt idx="0">
                  <c:v>51.176365457438102</c:v>
                </c:pt>
                <c:pt idx="1">
                  <c:v>59.433730352847</c:v>
                </c:pt>
                <c:pt idx="2">
                  <c:v>51.390549363243807</c:v>
                </c:pt>
                <c:pt idx="3">
                  <c:v>50.567180043603969</c:v>
                </c:pt>
                <c:pt idx="4">
                  <c:v>51.11635741441485</c:v>
                </c:pt>
                <c:pt idx="5">
                  <c:v>51.437421027694263</c:v>
                </c:pt>
                <c:pt idx="6">
                  <c:v>55.939982686635979</c:v>
                </c:pt>
                <c:pt idx="7">
                  <c:v>48.730872872970451</c:v>
                </c:pt>
                <c:pt idx="8">
                  <c:v>51.670304333309524</c:v>
                </c:pt>
                <c:pt idx="9">
                  <c:v>58.405344790538308</c:v>
                </c:pt>
                <c:pt idx="10">
                  <c:v>52.116439571641372</c:v>
                </c:pt>
                <c:pt idx="11">
                  <c:v>50.400545339462568</c:v>
                </c:pt>
                <c:pt idx="12">
                  <c:v>50.782855428310825</c:v>
                </c:pt>
                <c:pt idx="13">
                  <c:v>52.210486291656942</c:v>
                </c:pt>
                <c:pt idx="14">
                  <c:v>53.517645396159288</c:v>
                </c:pt>
                <c:pt idx="15">
                  <c:v>44.873327485957461</c:v>
                </c:pt>
                <c:pt idx="16">
                  <c:v>44.72887762840265</c:v>
                </c:pt>
                <c:pt idx="17">
                  <c:v>46.720837321998829</c:v>
                </c:pt>
                <c:pt idx="18">
                  <c:v>46.491926395965457</c:v>
                </c:pt>
              </c:numCache>
            </c:numRef>
          </c:val>
          <c:smooth val="0"/>
          <c:extLst>
            <c:ext xmlns:c16="http://schemas.microsoft.com/office/drawing/2014/chart" uri="{C3380CC4-5D6E-409C-BE32-E72D297353CC}">
              <c16:uniqueId val="{00000001-79A4-42D7-B61F-71EDF5E84F2F}"/>
            </c:ext>
          </c:extLst>
        </c:ser>
        <c:dLbls>
          <c:showLegendKey val="0"/>
          <c:showVal val="0"/>
          <c:showCatName val="0"/>
          <c:showSerName val="0"/>
          <c:showPercent val="0"/>
          <c:showBubbleSize val="0"/>
        </c:dLbls>
        <c:marker val="1"/>
        <c:smooth val="0"/>
        <c:axId val="3"/>
        <c:axId val="4"/>
      </c:lineChart>
      <c:catAx>
        <c:axId val="35125489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6153936640272908"/>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489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0449424020017299"/>
              <c:y val="0.48251836167537882"/>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9519484569379323"/>
          <c:y val="0.14005639001007228"/>
          <c:w val="0.53775833713855081"/>
          <c:h val="6.7227258357411196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収益（コスト）構造</a:t>
            </a:r>
          </a:p>
        </c:rich>
      </c:tx>
      <c:layout>
        <c:manualLayout>
          <c:xMode val="edge"/>
          <c:yMode val="edge"/>
          <c:x val="0.39082966450385753"/>
          <c:y val="3.291141599186511E-2"/>
        </c:manualLayout>
      </c:layout>
      <c:overlay val="0"/>
      <c:spPr>
        <a:noFill/>
        <a:ln w="25400">
          <a:noFill/>
        </a:ln>
      </c:spPr>
    </c:title>
    <c:autoTitleDeleted val="0"/>
    <c:plotArea>
      <c:layout>
        <c:manualLayout>
          <c:layoutTarget val="inner"/>
          <c:xMode val="edge"/>
          <c:yMode val="edge"/>
          <c:x val="7.5602535414345501E-2"/>
          <c:y val="0.28604505065670038"/>
          <c:w val="0.89168712412731999"/>
          <c:h val="0.60762565683346381"/>
        </c:manualLayout>
      </c:layout>
      <c:barChart>
        <c:barDir val="col"/>
        <c:grouping val="percentStacked"/>
        <c:varyColors val="0"/>
        <c:ser>
          <c:idx val="5"/>
          <c:order val="0"/>
          <c:tx>
            <c:strRef>
              <c:f>総合評価２!$A$11</c:f>
              <c:strCache>
                <c:ptCount val="1"/>
                <c:pt idx="0">
                  <c:v>営業利益</c:v>
                </c:pt>
              </c:strCache>
            </c:strRef>
          </c:tx>
          <c:spPr>
            <a:solidFill>
              <a:srgbClr val="FF8080"/>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総合評価２!$C$11:$U$11</c:f>
              <c:numCache>
                <c:formatCode>#,##0;"△ "#,##0</c:formatCode>
                <c:ptCount val="19"/>
                <c:pt idx="0">
                  <c:v>34273.196899514995</c:v>
                </c:pt>
                <c:pt idx="1">
                  <c:v>11643.895840378827</c:v>
                </c:pt>
                <c:pt idx="2">
                  <c:v>29655.115108928643</c:v>
                </c:pt>
                <c:pt idx="3">
                  <c:v>26495.318308094866</c:v>
                </c:pt>
                <c:pt idx="4">
                  <c:v>21820.961537866504</c:v>
                </c:pt>
                <c:pt idx="5">
                  <c:v>10615.057059120038</c:v>
                </c:pt>
                <c:pt idx="6">
                  <c:v>-5720.5274381988838</c:v>
                </c:pt>
                <c:pt idx="7">
                  <c:v>15572.303212306466</c:v>
                </c:pt>
                <c:pt idx="8">
                  <c:v>14829.407960750677</c:v>
                </c:pt>
                <c:pt idx="9">
                  <c:v>10929.281830871134</c:v>
                </c:pt>
                <c:pt idx="10">
                  <c:v>24441.410992555953</c:v>
                </c:pt>
                <c:pt idx="11">
                  <c:v>22774.960269996802</c:v>
                </c:pt>
                <c:pt idx="12">
                  <c:v>18698.309246235993</c:v>
                </c:pt>
                <c:pt idx="13">
                  <c:v>23380.273491645799</c:v>
                </c:pt>
                <c:pt idx="14">
                  <c:v>29526.198929435017</c:v>
                </c:pt>
                <c:pt idx="15">
                  <c:v>25452.029889026253</c:v>
                </c:pt>
                <c:pt idx="16">
                  <c:v>14916.701579670329</c:v>
                </c:pt>
                <c:pt idx="17">
                  <c:v>6444.6221954783796</c:v>
                </c:pt>
                <c:pt idx="18">
                  <c:v>19039.015698319257</c:v>
                </c:pt>
              </c:numCache>
            </c:numRef>
          </c:val>
          <c:extLst>
            <c:ext xmlns:c16="http://schemas.microsoft.com/office/drawing/2014/chart" uri="{C3380CC4-5D6E-409C-BE32-E72D297353CC}">
              <c16:uniqueId val="{00000000-A221-4ECC-A8DC-8CD1B191C32A}"/>
            </c:ext>
          </c:extLst>
        </c:ser>
        <c:ser>
          <c:idx val="4"/>
          <c:order val="1"/>
          <c:tx>
            <c:strRef>
              <c:f>総合評価２!$A$10</c:f>
              <c:strCache>
                <c:ptCount val="1"/>
                <c:pt idx="0">
                  <c:v>調整可能経費（業務活動）</c:v>
                </c:pt>
              </c:strCache>
            </c:strRef>
          </c:tx>
          <c:spPr>
            <a:solidFill>
              <a:srgbClr val="6600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総合評価２!$C$10:$U$10</c:f>
              <c:numCache>
                <c:formatCode>#,##0;"△ "#,##0</c:formatCode>
                <c:ptCount val="19"/>
                <c:pt idx="0">
                  <c:v>77096.861234521231</c:v>
                </c:pt>
                <c:pt idx="1">
                  <c:v>52627.536354413256</c:v>
                </c:pt>
                <c:pt idx="2">
                  <c:v>71680.527402675856</c:v>
                </c:pt>
                <c:pt idx="3">
                  <c:v>71265.878639521514</c:v>
                </c:pt>
                <c:pt idx="4">
                  <c:v>72059.155485000563</c:v>
                </c:pt>
                <c:pt idx="5">
                  <c:v>75213.706554757431</c:v>
                </c:pt>
                <c:pt idx="6">
                  <c:v>56775.371034155229</c:v>
                </c:pt>
                <c:pt idx="7">
                  <c:v>58269.729706825427</c:v>
                </c:pt>
                <c:pt idx="8">
                  <c:v>50408.97730465424</c:v>
                </c:pt>
                <c:pt idx="9">
                  <c:v>36184.233717777519</c:v>
                </c:pt>
                <c:pt idx="10">
                  <c:v>60256.2148683224</c:v>
                </c:pt>
                <c:pt idx="11">
                  <c:v>65197.772920770884</c:v>
                </c:pt>
                <c:pt idx="12">
                  <c:v>65893.289851948241</c:v>
                </c:pt>
                <c:pt idx="13">
                  <c:v>64193.656289136678</c:v>
                </c:pt>
                <c:pt idx="14">
                  <c:v>59789.102277312159</c:v>
                </c:pt>
                <c:pt idx="15">
                  <c:v>95328.532273015822</c:v>
                </c:pt>
                <c:pt idx="16">
                  <c:v>96740.485448145628</c:v>
                </c:pt>
                <c:pt idx="17">
                  <c:v>104326.19706868402</c:v>
                </c:pt>
                <c:pt idx="18">
                  <c:v>93972.85406535276</c:v>
                </c:pt>
              </c:numCache>
            </c:numRef>
          </c:val>
          <c:extLst>
            <c:ext xmlns:c16="http://schemas.microsoft.com/office/drawing/2014/chart" uri="{C3380CC4-5D6E-409C-BE32-E72D297353CC}">
              <c16:uniqueId val="{00000001-A221-4ECC-A8DC-8CD1B191C32A}"/>
            </c:ext>
          </c:extLst>
        </c:ser>
        <c:ser>
          <c:idx val="3"/>
          <c:order val="2"/>
          <c:tx>
            <c:strRef>
              <c:f>総合評価２!$A$9</c:f>
              <c:strCache>
                <c:ptCount val="1"/>
                <c:pt idx="0">
                  <c:v>固定経費（設備関連）</c:v>
                </c:pt>
              </c:strCache>
            </c:strRef>
          </c:tx>
          <c:spPr>
            <a:solidFill>
              <a:srgbClr val="CCFF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総合評価２!$C$9:$U$9</c:f>
              <c:numCache>
                <c:formatCode>#,##0;"△ "#,##0</c:formatCode>
                <c:ptCount val="19"/>
                <c:pt idx="0">
                  <c:v>80631.655638529177</c:v>
                </c:pt>
                <c:pt idx="1">
                  <c:v>59693.904294893466</c:v>
                </c:pt>
                <c:pt idx="2">
                  <c:v>66795.043900426826</c:v>
                </c:pt>
                <c:pt idx="3">
                  <c:v>60220.82811097613</c:v>
                </c:pt>
                <c:pt idx="4">
                  <c:v>68402.067452215037</c:v>
                </c:pt>
                <c:pt idx="5">
                  <c:v>87246.73085688884</c:v>
                </c:pt>
                <c:pt idx="6">
                  <c:v>65290.593042270499</c:v>
                </c:pt>
                <c:pt idx="7">
                  <c:v>63382.933912820707</c:v>
                </c:pt>
                <c:pt idx="8">
                  <c:v>44295.493967817391</c:v>
                </c:pt>
                <c:pt idx="9">
                  <c:v>32700.266843506761</c:v>
                </c:pt>
                <c:pt idx="10">
                  <c:v>60832.541936288028</c:v>
                </c:pt>
                <c:pt idx="11">
                  <c:v>67129.337516021886</c:v>
                </c:pt>
                <c:pt idx="12">
                  <c:v>68805.583476576605</c:v>
                </c:pt>
                <c:pt idx="13">
                  <c:v>72633.570587132213</c:v>
                </c:pt>
                <c:pt idx="14">
                  <c:v>63356.466003715454</c:v>
                </c:pt>
                <c:pt idx="15">
                  <c:v>91152.941929756431</c:v>
                </c:pt>
                <c:pt idx="16">
                  <c:v>91889.397192651144</c:v>
                </c:pt>
                <c:pt idx="17">
                  <c:v>104112.87023983504</c:v>
                </c:pt>
                <c:pt idx="18">
                  <c:v>87302.622685777635</c:v>
                </c:pt>
              </c:numCache>
            </c:numRef>
          </c:val>
          <c:extLst>
            <c:ext xmlns:c16="http://schemas.microsoft.com/office/drawing/2014/chart" uri="{C3380CC4-5D6E-409C-BE32-E72D297353CC}">
              <c16:uniqueId val="{00000002-A221-4ECC-A8DC-8CD1B191C32A}"/>
            </c:ext>
          </c:extLst>
        </c:ser>
        <c:ser>
          <c:idx val="2"/>
          <c:order val="3"/>
          <c:tx>
            <c:strRef>
              <c:f>総合評価２!$A$8</c:f>
              <c:strCache>
                <c:ptCount val="1"/>
                <c:pt idx="0">
                  <c:v>人件費、労務費</c:v>
                </c:pt>
              </c:strCache>
            </c:strRef>
          </c:tx>
          <c:spPr>
            <a:solidFill>
              <a:srgbClr val="FFFFCC"/>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総合評価２!$C$8:$U$8</c:f>
              <c:numCache>
                <c:formatCode>#,##0;"△ "#,##0</c:formatCode>
                <c:ptCount val="19"/>
                <c:pt idx="0">
                  <c:v>201253.961622081</c:v>
                </c:pt>
                <c:pt idx="1">
                  <c:v>183157.84578965171</c:v>
                </c:pt>
                <c:pt idx="2">
                  <c:v>178160.26755895693</c:v>
                </c:pt>
                <c:pt idx="3">
                  <c:v>161938.14473606835</c:v>
                </c:pt>
                <c:pt idx="4">
                  <c:v>170533.42266581283</c:v>
                </c:pt>
                <c:pt idx="5">
                  <c:v>183985.01805743729</c:v>
                </c:pt>
                <c:pt idx="6">
                  <c:v>148359.66055173331</c:v>
                </c:pt>
                <c:pt idx="7">
                  <c:v>130564.77745455202</c:v>
                </c:pt>
                <c:pt idx="8">
                  <c:v>117504.01221641719</c:v>
                </c:pt>
                <c:pt idx="9">
                  <c:v>112574.31047447416</c:v>
                </c:pt>
                <c:pt idx="10">
                  <c:v>158786.10710758588</c:v>
                </c:pt>
                <c:pt idx="11">
                  <c:v>157852.75465812717</c:v>
                </c:pt>
                <c:pt idx="12">
                  <c:v>158523.06431009914</c:v>
                </c:pt>
                <c:pt idx="13">
                  <c:v>177862.56743140126</c:v>
                </c:pt>
                <c:pt idx="14">
                  <c:v>176461.18555069054</c:v>
                </c:pt>
                <c:pt idx="15">
                  <c:v>173013.86804385902</c:v>
                </c:pt>
                <c:pt idx="16">
                  <c:v>165067.22793612635</c:v>
                </c:pt>
                <c:pt idx="17">
                  <c:v>188752.43514140809</c:v>
                </c:pt>
                <c:pt idx="18">
                  <c:v>174336.53698489891</c:v>
                </c:pt>
              </c:numCache>
            </c:numRef>
          </c:val>
          <c:extLst>
            <c:ext xmlns:c16="http://schemas.microsoft.com/office/drawing/2014/chart" uri="{C3380CC4-5D6E-409C-BE32-E72D297353CC}">
              <c16:uniqueId val="{00000003-A221-4ECC-A8DC-8CD1B191C32A}"/>
            </c:ext>
          </c:extLst>
        </c:ser>
        <c:ser>
          <c:idx val="1"/>
          <c:order val="4"/>
          <c:tx>
            <c:strRef>
              <c:f>総合評価２!$A$7</c:f>
              <c:strCache>
                <c:ptCount val="1"/>
                <c:pt idx="0">
                  <c:v>外注費</c:v>
                </c:pt>
              </c:strCache>
            </c:strRef>
          </c:tx>
          <c:spPr>
            <a:solidFill>
              <a:srgbClr val="9933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総合評価２!$C$7:$U$7</c:f>
              <c:numCache>
                <c:formatCode>#,##0;"△ "#,##0</c:formatCode>
                <c:ptCount val="19"/>
                <c:pt idx="0">
                  <c:v>161428.76925985501</c:v>
                </c:pt>
                <c:pt idx="1">
                  <c:v>85395.924923909362</c:v>
                </c:pt>
                <c:pt idx="2">
                  <c:v>113051.42826694991</c:v>
                </c:pt>
                <c:pt idx="3">
                  <c:v>75372.40129115709</c:v>
                </c:pt>
                <c:pt idx="4">
                  <c:v>188363.62523740163</c:v>
                </c:pt>
                <c:pt idx="5">
                  <c:v>112607.58480310949</c:v>
                </c:pt>
                <c:pt idx="6">
                  <c:v>84496.273098870108</c:v>
                </c:pt>
                <c:pt idx="7">
                  <c:v>87146.896990578578</c:v>
                </c:pt>
                <c:pt idx="8">
                  <c:v>43436.991086035399</c:v>
                </c:pt>
                <c:pt idx="9">
                  <c:v>52162.979251649733</c:v>
                </c:pt>
                <c:pt idx="10">
                  <c:v>77923.00469638886</c:v>
                </c:pt>
                <c:pt idx="11">
                  <c:v>89053.928247244432</c:v>
                </c:pt>
                <c:pt idx="12">
                  <c:v>95854.866337185667</c:v>
                </c:pt>
                <c:pt idx="13">
                  <c:v>95176.146071938361</c:v>
                </c:pt>
                <c:pt idx="14">
                  <c:v>111091.95732973446</c:v>
                </c:pt>
                <c:pt idx="15">
                  <c:v>102533.86112226818</c:v>
                </c:pt>
                <c:pt idx="16">
                  <c:v>95063.799708104401</c:v>
                </c:pt>
                <c:pt idx="17">
                  <c:v>98232.539069887396</c:v>
                </c:pt>
                <c:pt idx="18">
                  <c:v>114538.24818701476</c:v>
                </c:pt>
              </c:numCache>
            </c:numRef>
          </c:val>
          <c:extLst>
            <c:ext xmlns:c16="http://schemas.microsoft.com/office/drawing/2014/chart" uri="{C3380CC4-5D6E-409C-BE32-E72D297353CC}">
              <c16:uniqueId val="{00000004-A221-4ECC-A8DC-8CD1B191C32A}"/>
            </c:ext>
          </c:extLst>
        </c:ser>
        <c:ser>
          <c:idx val="0"/>
          <c:order val="5"/>
          <c:tx>
            <c:strRef>
              <c:f>総合評価２!$A$6</c:f>
              <c:strCache>
                <c:ptCount val="1"/>
                <c:pt idx="0">
                  <c:v>商品仕入、材料費</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総合評価２!$C$6:$U$6</c:f>
              <c:numCache>
                <c:formatCode>#,##0;"△ "#,##0</c:formatCode>
                <c:ptCount val="19"/>
                <c:pt idx="0">
                  <c:v>474365.05057188799</c:v>
                </c:pt>
                <c:pt idx="1">
                  <c:v>400121.40683124791</c:v>
                </c:pt>
                <c:pt idx="2">
                  <c:v>373708.3479317241</c:v>
                </c:pt>
                <c:pt idx="3">
                  <c:v>432771.6983806105</c:v>
                </c:pt>
                <c:pt idx="4">
                  <c:v>280526.02319420991</c:v>
                </c:pt>
                <c:pt idx="5">
                  <c:v>452323.83559071488</c:v>
                </c:pt>
                <c:pt idx="6">
                  <c:v>310561.27660357801</c:v>
                </c:pt>
                <c:pt idx="7">
                  <c:v>242650.17743117135</c:v>
                </c:pt>
                <c:pt idx="8">
                  <c:v>291669.00970146147</c:v>
                </c:pt>
                <c:pt idx="9">
                  <c:v>157618.84025295358</c:v>
                </c:pt>
                <c:pt idx="10">
                  <c:v>337238.55833123147</c:v>
                </c:pt>
                <c:pt idx="11">
                  <c:v>355161.92273166275</c:v>
                </c:pt>
                <c:pt idx="12">
                  <c:v>388051.34660712059</c:v>
                </c:pt>
                <c:pt idx="13">
                  <c:v>327155.14368564263</c:v>
                </c:pt>
                <c:pt idx="14">
                  <c:v>320884.232106446</c:v>
                </c:pt>
                <c:pt idx="15">
                  <c:v>378604.35297796933</c:v>
                </c:pt>
                <c:pt idx="16">
                  <c:v>388855.87328296708</c:v>
                </c:pt>
                <c:pt idx="17">
                  <c:v>381046.91910942999</c:v>
                </c:pt>
                <c:pt idx="18">
                  <c:v>374398.91212353902</c:v>
                </c:pt>
              </c:numCache>
            </c:numRef>
          </c:val>
          <c:extLst>
            <c:ext xmlns:c16="http://schemas.microsoft.com/office/drawing/2014/chart" uri="{C3380CC4-5D6E-409C-BE32-E72D297353CC}">
              <c16:uniqueId val="{00000005-A221-4ECC-A8DC-8CD1B191C32A}"/>
            </c:ext>
          </c:extLst>
        </c:ser>
        <c:dLbls>
          <c:showLegendKey val="0"/>
          <c:showVal val="0"/>
          <c:showCatName val="0"/>
          <c:showSerName val="0"/>
          <c:showPercent val="0"/>
          <c:showBubbleSize val="0"/>
        </c:dLbls>
        <c:gapWidth val="150"/>
        <c:overlap val="100"/>
        <c:axId val="347703928"/>
        <c:axId val="1"/>
      </c:barChart>
      <c:catAx>
        <c:axId val="347703928"/>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47703928"/>
        <c:crosses val="autoZero"/>
        <c:crossBetween val="between"/>
        <c:majorUnit val="0.1"/>
      </c:valAx>
      <c:spPr>
        <a:solidFill>
          <a:srgbClr val="C0C0C0"/>
        </a:solidFill>
        <a:ln w="12700">
          <a:solidFill>
            <a:srgbClr val="808080"/>
          </a:solidFill>
          <a:prstDash val="solid"/>
        </a:ln>
      </c:spPr>
    </c:plotArea>
    <c:legend>
      <c:legendPos val="t"/>
      <c:layout>
        <c:manualLayout>
          <c:xMode val="edge"/>
          <c:yMode val="edge"/>
          <c:x val="5.792703064434826E-2"/>
          <c:y val="0.16565246788370519"/>
          <c:w val="0.89999999999999991"/>
          <c:h val="5.7099391480730233E-2"/>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資産構造</a:t>
            </a:r>
          </a:p>
        </c:rich>
      </c:tx>
      <c:layout>
        <c:manualLayout>
          <c:xMode val="edge"/>
          <c:yMode val="edge"/>
          <c:x val="0.43982549277657579"/>
          <c:y val="3.291147311039562E-2"/>
        </c:manualLayout>
      </c:layout>
      <c:overlay val="0"/>
      <c:spPr>
        <a:noFill/>
        <a:ln w="25400">
          <a:noFill/>
        </a:ln>
      </c:spPr>
    </c:title>
    <c:autoTitleDeleted val="0"/>
    <c:plotArea>
      <c:layout>
        <c:manualLayout>
          <c:layoutTarget val="inner"/>
          <c:xMode val="edge"/>
          <c:yMode val="edge"/>
          <c:x val="3.5629495005259755E-2"/>
          <c:y val="0.2810126582278481"/>
          <c:w val="0.93111746947078833"/>
          <c:h val="0.61265822784810131"/>
        </c:manualLayout>
      </c:layout>
      <c:barChart>
        <c:barDir val="col"/>
        <c:grouping val="percentStacked"/>
        <c:varyColors val="0"/>
        <c:ser>
          <c:idx val="8"/>
          <c:order val="0"/>
          <c:tx>
            <c:strRef>
              <c:f>総合評価２!$A$24</c:f>
              <c:strCache>
                <c:ptCount val="1"/>
                <c:pt idx="0">
                  <c:v>自己資本（剰余金）</c:v>
                </c:pt>
              </c:strCache>
            </c:strRef>
          </c:tx>
          <c:spPr>
            <a:solidFill>
              <a:srgbClr val="000080"/>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総合評価２!$C$24:$U$24</c:f>
              <c:numCache>
                <c:formatCode>#,##0;"△ "#,##0</c:formatCode>
                <c:ptCount val="19"/>
                <c:pt idx="0">
                  <c:v>193548.1614519326</c:v>
                </c:pt>
                <c:pt idx="1">
                  <c:v>134121.49137639499</c:v>
                </c:pt>
                <c:pt idx="2">
                  <c:v>210347.2403673596</c:v>
                </c:pt>
                <c:pt idx="3">
                  <c:v>180947.21868073859</c:v>
                </c:pt>
                <c:pt idx="4">
                  <c:v>181088.31777422613</c:v>
                </c:pt>
                <c:pt idx="5">
                  <c:v>196270.21086839959</c:v>
                </c:pt>
                <c:pt idx="6">
                  <c:v>213575.04100424924</c:v>
                </c:pt>
                <c:pt idx="7">
                  <c:v>148771.11329730708</c:v>
                </c:pt>
                <c:pt idx="8">
                  <c:v>156425.7962615733</c:v>
                </c:pt>
                <c:pt idx="9">
                  <c:v>112447.32431827905</c:v>
                </c:pt>
                <c:pt idx="10">
                  <c:v>196924.7857161882</c:v>
                </c:pt>
                <c:pt idx="11">
                  <c:v>213944.00596007358</c:v>
                </c:pt>
                <c:pt idx="12">
                  <c:v>197750.60588766693</c:v>
                </c:pt>
                <c:pt idx="13">
                  <c:v>224663.80721146148</c:v>
                </c:pt>
                <c:pt idx="14">
                  <c:v>268281.28030981962</c:v>
                </c:pt>
                <c:pt idx="15">
                  <c:v>303527.9562892057</c:v>
                </c:pt>
                <c:pt idx="16">
                  <c:v>447503.75085851649</c:v>
                </c:pt>
                <c:pt idx="17">
                  <c:v>354083.13934496691</c:v>
                </c:pt>
                <c:pt idx="18">
                  <c:v>311487.30057162355</c:v>
                </c:pt>
              </c:numCache>
            </c:numRef>
          </c:val>
          <c:extLst>
            <c:ext xmlns:c16="http://schemas.microsoft.com/office/drawing/2014/chart" uri="{C3380CC4-5D6E-409C-BE32-E72D297353CC}">
              <c16:uniqueId val="{00000000-8D57-492A-B0B8-455603261177}"/>
            </c:ext>
          </c:extLst>
        </c:ser>
        <c:ser>
          <c:idx val="7"/>
          <c:order val="1"/>
          <c:tx>
            <c:strRef>
              <c:f>総合評価２!$A$23</c:f>
              <c:strCache>
                <c:ptCount val="1"/>
                <c:pt idx="0">
                  <c:v>自己資本（資本金）</c:v>
                </c:pt>
              </c:strCache>
            </c:strRef>
          </c:tx>
          <c:spPr>
            <a:solidFill>
              <a:srgbClr val="CCCC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総合評価２!$C$23:$U$23</c:f>
              <c:numCache>
                <c:formatCode>#,##0;"△ "#,##0</c:formatCode>
                <c:ptCount val="19"/>
                <c:pt idx="0">
                  <c:v>20862.085263257399</c:v>
                </c:pt>
                <c:pt idx="1">
                  <c:v>17572.286100777816</c:v>
                </c:pt>
                <c:pt idx="2">
                  <c:v>24528.816168681555</c:v>
                </c:pt>
                <c:pt idx="3">
                  <c:v>15933.019515878723</c:v>
                </c:pt>
                <c:pt idx="4">
                  <c:v>13627.436573648461</c:v>
                </c:pt>
                <c:pt idx="5">
                  <c:v>16795.952498078434</c:v>
                </c:pt>
                <c:pt idx="6">
                  <c:v>16936.462419985139</c:v>
                </c:pt>
                <c:pt idx="7">
                  <c:v>14887.777637191552</c:v>
                </c:pt>
                <c:pt idx="8">
                  <c:v>13076.961927814902</c:v>
                </c:pt>
                <c:pt idx="9">
                  <c:v>12021.806176062939</c:v>
                </c:pt>
                <c:pt idx="10">
                  <c:v>17066.1471193666</c:v>
                </c:pt>
                <c:pt idx="11">
                  <c:v>15559.141601150091</c:v>
                </c:pt>
                <c:pt idx="12">
                  <c:v>22706.700430701378</c:v>
                </c:pt>
                <c:pt idx="13">
                  <c:v>22360.310044176804</c:v>
                </c:pt>
                <c:pt idx="14">
                  <c:v>16302.022102231856</c:v>
                </c:pt>
                <c:pt idx="15">
                  <c:v>16128.250588082512</c:v>
                </c:pt>
                <c:pt idx="16">
                  <c:v>18317.291895604394</c:v>
                </c:pt>
                <c:pt idx="17">
                  <c:v>16806.276197025702</c:v>
                </c:pt>
                <c:pt idx="18">
                  <c:v>16753.326849244946</c:v>
                </c:pt>
              </c:numCache>
            </c:numRef>
          </c:val>
          <c:extLst>
            <c:ext xmlns:c16="http://schemas.microsoft.com/office/drawing/2014/chart" uri="{C3380CC4-5D6E-409C-BE32-E72D297353CC}">
              <c16:uniqueId val="{00000001-8D57-492A-B0B8-455603261177}"/>
            </c:ext>
          </c:extLst>
        </c:ser>
        <c:ser>
          <c:idx val="6"/>
          <c:order val="2"/>
          <c:tx>
            <c:strRef>
              <c:f>総合評価２!$A$22</c:f>
              <c:strCache>
                <c:ptCount val="1"/>
                <c:pt idx="0">
                  <c:v>他人資本（借入等）</c:v>
                </c:pt>
              </c:strCache>
            </c:strRef>
          </c:tx>
          <c:spPr>
            <a:solidFill>
              <a:srgbClr val="0066CC"/>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総合評価２!$C$22:$U$22</c:f>
              <c:numCache>
                <c:formatCode>#,##0;"△ "#,##0</c:formatCode>
                <c:ptCount val="19"/>
                <c:pt idx="0">
                  <c:v>260591.07666131022</c:v>
                </c:pt>
                <c:pt idx="1">
                  <c:v>200565.18430842072</c:v>
                </c:pt>
                <c:pt idx="2">
                  <c:v>239563.12268368731</c:v>
                </c:pt>
                <c:pt idx="3">
                  <c:v>175186.95064432808</c:v>
                </c:pt>
                <c:pt idx="4">
                  <c:v>241031.01242685923</c:v>
                </c:pt>
                <c:pt idx="5">
                  <c:v>268480.8586631426</c:v>
                </c:pt>
                <c:pt idx="6">
                  <c:v>228999.2889259434</c:v>
                </c:pt>
                <c:pt idx="7">
                  <c:v>156984.90130966535</c:v>
                </c:pt>
                <c:pt idx="8">
                  <c:v>169004.5396589681</c:v>
                </c:pt>
                <c:pt idx="9">
                  <c:v>152480.2004169242</c:v>
                </c:pt>
                <c:pt idx="10">
                  <c:v>188378.57470020265</c:v>
                </c:pt>
                <c:pt idx="11">
                  <c:v>190742.54577898976</c:v>
                </c:pt>
                <c:pt idx="12">
                  <c:v>193710.44784897027</c:v>
                </c:pt>
                <c:pt idx="13">
                  <c:v>181863.4101061766</c:v>
                </c:pt>
                <c:pt idx="14">
                  <c:v>199879.73152132216</c:v>
                </c:pt>
                <c:pt idx="15">
                  <c:v>223632.82679340313</c:v>
                </c:pt>
                <c:pt idx="16">
                  <c:v>279761.6334134615</c:v>
                </c:pt>
                <c:pt idx="17">
                  <c:v>285613.33688644378</c:v>
                </c:pt>
                <c:pt idx="18">
                  <c:v>260414.83312004092</c:v>
                </c:pt>
              </c:numCache>
            </c:numRef>
          </c:val>
          <c:extLst>
            <c:ext xmlns:c16="http://schemas.microsoft.com/office/drawing/2014/chart" uri="{C3380CC4-5D6E-409C-BE32-E72D297353CC}">
              <c16:uniqueId val="{00000002-8D57-492A-B0B8-455603261177}"/>
            </c:ext>
          </c:extLst>
        </c:ser>
        <c:ser>
          <c:idx val="5"/>
          <c:order val="3"/>
          <c:tx>
            <c:strRef>
              <c:f>総合評価２!$A$21</c:f>
              <c:strCache>
                <c:ptCount val="1"/>
                <c:pt idx="0">
                  <c:v>他人資本（債務/引当）</c:v>
                </c:pt>
              </c:strCache>
            </c:strRef>
          </c:tx>
          <c:spPr>
            <a:solidFill>
              <a:srgbClr val="FF8080"/>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総合評価２!$C$21:$U$21</c:f>
              <c:numCache>
                <c:formatCode>#,##0;"△ "#,##0</c:formatCode>
                <c:ptCount val="19"/>
                <c:pt idx="0">
                  <c:v>260137.44210227788</c:v>
                </c:pt>
                <c:pt idx="1">
                  <c:v>245746.70273926275</c:v>
                </c:pt>
                <c:pt idx="2">
                  <c:v>219208.03386317549</c:v>
                </c:pt>
                <c:pt idx="3">
                  <c:v>199515.8565739241</c:v>
                </c:pt>
                <c:pt idx="4">
                  <c:v>201028.42349576924</c:v>
                </c:pt>
                <c:pt idx="5">
                  <c:v>160976.57321661606</c:v>
                </c:pt>
                <c:pt idx="6">
                  <c:v>151092.36344363491</c:v>
                </c:pt>
                <c:pt idx="7">
                  <c:v>129469.78087629817</c:v>
                </c:pt>
                <c:pt idx="8">
                  <c:v>127720.47653237017</c:v>
                </c:pt>
                <c:pt idx="9">
                  <c:v>85476.827634994523</c:v>
                </c:pt>
                <c:pt idx="10">
                  <c:v>175075.54772473031</c:v>
                </c:pt>
                <c:pt idx="11">
                  <c:v>185583.43905456259</c:v>
                </c:pt>
                <c:pt idx="12">
                  <c:v>182353.45363788982</c:v>
                </c:pt>
                <c:pt idx="13">
                  <c:v>162600.73799923796</c:v>
                </c:pt>
                <c:pt idx="14">
                  <c:v>199176.41131337715</c:v>
                </c:pt>
                <c:pt idx="15">
                  <c:v>187681.95084122563</c:v>
                </c:pt>
                <c:pt idx="16">
                  <c:v>237588.7753262363</c:v>
                </c:pt>
                <c:pt idx="17">
                  <c:v>212756.50399724921</c:v>
                </c:pt>
                <c:pt idx="18">
                  <c:v>199618.03719819133</c:v>
                </c:pt>
              </c:numCache>
            </c:numRef>
          </c:val>
          <c:extLst>
            <c:ext xmlns:c16="http://schemas.microsoft.com/office/drawing/2014/chart" uri="{C3380CC4-5D6E-409C-BE32-E72D297353CC}">
              <c16:uniqueId val="{00000003-8D57-492A-B0B8-455603261177}"/>
            </c:ext>
          </c:extLst>
        </c:ser>
        <c:ser>
          <c:idx val="4"/>
          <c:order val="4"/>
          <c:tx>
            <c:strRef>
              <c:f>総合評価２!$A$20</c:f>
              <c:strCache>
                <c:ptCount val="1"/>
                <c:pt idx="0">
                  <c:v>資産運用（投資等）</c:v>
                </c:pt>
              </c:strCache>
            </c:strRef>
          </c:tx>
          <c:spPr>
            <a:solidFill>
              <a:srgbClr val="6600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総合評価２!$C$20:$U$20</c:f>
              <c:numCache>
                <c:formatCode>#,##0;"△ "#,##0</c:formatCode>
                <c:ptCount val="19"/>
                <c:pt idx="0">
                  <c:v>60588.618962094726</c:v>
                </c:pt>
                <c:pt idx="1">
                  <c:v>67908.014879945898</c:v>
                </c:pt>
                <c:pt idx="2">
                  <c:v>73905.47347047599</c:v>
                </c:pt>
                <c:pt idx="3">
                  <c:v>47230.445455006229</c:v>
                </c:pt>
                <c:pt idx="4">
                  <c:v>73675.447448454404</c:v>
                </c:pt>
                <c:pt idx="5">
                  <c:v>52671.333602870407</c:v>
                </c:pt>
                <c:pt idx="6">
                  <c:v>58542.737915506281</c:v>
                </c:pt>
                <c:pt idx="7">
                  <c:v>29294.726138343842</c:v>
                </c:pt>
                <c:pt idx="8">
                  <c:v>43562.0577038708</c:v>
                </c:pt>
                <c:pt idx="9">
                  <c:v>31688.878696351312</c:v>
                </c:pt>
                <c:pt idx="10">
                  <c:v>99974.305411724854</c:v>
                </c:pt>
                <c:pt idx="11">
                  <c:v>66022.587209411897</c:v>
                </c:pt>
                <c:pt idx="12">
                  <c:v>83660.064435772918</c:v>
                </c:pt>
                <c:pt idx="13">
                  <c:v>78448.459460882426</c:v>
                </c:pt>
                <c:pt idx="14">
                  <c:v>82446.91626103544</c:v>
                </c:pt>
                <c:pt idx="15">
                  <c:v>105949.74141360066</c:v>
                </c:pt>
                <c:pt idx="16">
                  <c:v>241995.57743818685</c:v>
                </c:pt>
                <c:pt idx="17">
                  <c:v>138660.01762228145</c:v>
                </c:pt>
                <c:pt idx="18">
                  <c:v>101449.34049995735</c:v>
                </c:pt>
              </c:numCache>
            </c:numRef>
          </c:val>
          <c:extLst>
            <c:ext xmlns:c16="http://schemas.microsoft.com/office/drawing/2014/chart" uri="{C3380CC4-5D6E-409C-BE32-E72D297353CC}">
              <c16:uniqueId val="{00000004-8D57-492A-B0B8-455603261177}"/>
            </c:ext>
          </c:extLst>
        </c:ser>
        <c:ser>
          <c:idx val="3"/>
          <c:order val="5"/>
          <c:tx>
            <c:strRef>
              <c:f>総合評価２!$A$19</c:f>
              <c:strCache>
                <c:ptCount val="1"/>
                <c:pt idx="0">
                  <c:v>資産運用（設備等）</c:v>
                </c:pt>
              </c:strCache>
            </c:strRef>
          </c:tx>
          <c:spPr>
            <a:solidFill>
              <a:srgbClr val="CCFF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総合評価２!$C$19:$U$19</c:f>
              <c:numCache>
                <c:formatCode>#,##0;"△ "#,##0</c:formatCode>
                <c:ptCount val="19"/>
                <c:pt idx="0">
                  <c:v>283603.08157670824</c:v>
                </c:pt>
                <c:pt idx="1">
                  <c:v>228132.3131552249</c:v>
                </c:pt>
                <c:pt idx="2">
                  <c:v>249719.84346260325</c:v>
                </c:pt>
                <c:pt idx="3">
                  <c:v>182737.44834916011</c:v>
                </c:pt>
                <c:pt idx="4">
                  <c:v>210461.76841831472</c:v>
                </c:pt>
                <c:pt idx="5">
                  <c:v>293279.04449414456</c:v>
                </c:pt>
                <c:pt idx="6">
                  <c:v>242790.87407687755</c:v>
                </c:pt>
                <c:pt idx="7">
                  <c:v>162868.44655692688</c:v>
                </c:pt>
                <c:pt idx="8">
                  <c:v>154668.52548339861</c:v>
                </c:pt>
                <c:pt idx="9">
                  <c:v>145095.20371205627</c:v>
                </c:pt>
                <c:pt idx="10">
                  <c:v>183832.48669277332</c:v>
                </c:pt>
                <c:pt idx="11">
                  <c:v>213851.51268170925</c:v>
                </c:pt>
                <c:pt idx="12">
                  <c:v>209710.62639011524</c:v>
                </c:pt>
                <c:pt idx="13">
                  <c:v>183960.03153185808</c:v>
                </c:pt>
                <c:pt idx="14">
                  <c:v>247186.88623417696</c:v>
                </c:pt>
                <c:pt idx="15">
                  <c:v>240106.43537802843</c:v>
                </c:pt>
                <c:pt idx="16">
                  <c:v>267265.11031936813</c:v>
                </c:pt>
                <c:pt idx="17">
                  <c:v>286970.51250752172</c:v>
                </c:pt>
                <c:pt idx="18">
                  <c:v>258804.71487074482</c:v>
                </c:pt>
              </c:numCache>
            </c:numRef>
          </c:val>
          <c:extLst>
            <c:ext xmlns:c16="http://schemas.microsoft.com/office/drawing/2014/chart" uri="{C3380CC4-5D6E-409C-BE32-E72D297353CC}">
              <c16:uniqueId val="{00000005-8D57-492A-B0B8-455603261177}"/>
            </c:ext>
          </c:extLst>
        </c:ser>
        <c:ser>
          <c:idx val="2"/>
          <c:order val="6"/>
          <c:tx>
            <c:strRef>
              <c:f>総合評価２!$A$18</c:f>
              <c:strCache>
                <c:ptCount val="1"/>
                <c:pt idx="0">
                  <c:v>資産運用（在庫等）</c:v>
                </c:pt>
              </c:strCache>
            </c:strRef>
          </c:tx>
          <c:spPr>
            <a:solidFill>
              <a:srgbClr val="FFFFCC"/>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総合評価２!$C$18:$U$18</c:f>
              <c:numCache>
                <c:formatCode>#,##0;"△ "#,##0</c:formatCode>
                <c:ptCount val="19"/>
                <c:pt idx="0">
                  <c:v>68920.219302391502</c:v>
                </c:pt>
                <c:pt idx="1">
                  <c:v>80475.566452485626</c:v>
                </c:pt>
                <c:pt idx="2">
                  <c:v>56758.184392994845</c:v>
                </c:pt>
                <c:pt idx="3">
                  <c:v>54711.74265476421</c:v>
                </c:pt>
                <c:pt idx="4">
                  <c:v>76623.0076659162</c:v>
                </c:pt>
                <c:pt idx="5">
                  <c:v>47468.239723950501</c:v>
                </c:pt>
                <c:pt idx="6">
                  <c:v>36216.880684050389</c:v>
                </c:pt>
                <c:pt idx="7">
                  <c:v>37900.133132947187</c:v>
                </c:pt>
                <c:pt idx="8">
                  <c:v>36304.967483782493</c:v>
                </c:pt>
                <c:pt idx="9">
                  <c:v>27166.304696607163</c:v>
                </c:pt>
                <c:pt idx="10">
                  <c:v>41096.459134022873</c:v>
                </c:pt>
                <c:pt idx="11">
                  <c:v>62941.236519117694</c:v>
                </c:pt>
                <c:pt idx="12">
                  <c:v>48011.053494214502</c:v>
                </c:pt>
                <c:pt idx="13">
                  <c:v>34652.967485929184</c:v>
                </c:pt>
                <c:pt idx="14">
                  <c:v>36730.901113667285</c:v>
                </c:pt>
                <c:pt idx="15">
                  <c:v>73120.282322182189</c:v>
                </c:pt>
                <c:pt idx="16">
                  <c:v>82215.256782280223</c:v>
                </c:pt>
                <c:pt idx="17">
                  <c:v>72573.449239233232</c:v>
                </c:pt>
                <c:pt idx="18">
                  <c:v>81584.396041293396</c:v>
                </c:pt>
              </c:numCache>
            </c:numRef>
          </c:val>
          <c:extLst>
            <c:ext xmlns:c16="http://schemas.microsoft.com/office/drawing/2014/chart" uri="{C3380CC4-5D6E-409C-BE32-E72D297353CC}">
              <c16:uniqueId val="{00000006-8D57-492A-B0B8-455603261177}"/>
            </c:ext>
          </c:extLst>
        </c:ser>
        <c:ser>
          <c:idx val="1"/>
          <c:order val="7"/>
          <c:tx>
            <c:strRef>
              <c:f>総合評価２!$A$17</c:f>
              <c:strCache>
                <c:ptCount val="1"/>
                <c:pt idx="0">
                  <c:v>資産運用（債権等）</c:v>
                </c:pt>
              </c:strCache>
            </c:strRef>
          </c:tx>
          <c:spPr>
            <a:solidFill>
              <a:srgbClr val="9933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総合評価２!$C$17:$U$17</c:f>
              <c:numCache>
                <c:formatCode>#,##0;"△ "#,##0</c:formatCode>
                <c:ptCount val="19"/>
                <c:pt idx="0">
                  <c:v>212080.82049343089</c:v>
                </c:pt>
                <c:pt idx="1">
                  <c:v>155475.3973621914</c:v>
                </c:pt>
                <c:pt idx="2">
                  <c:v>228550.36688164892</c:v>
                </c:pt>
                <c:pt idx="3">
                  <c:v>198670.91801299699</c:v>
                </c:pt>
                <c:pt idx="4">
                  <c:v>154127.35907744829</c:v>
                </c:pt>
                <c:pt idx="5">
                  <c:v>141587.39301216215</c:v>
                </c:pt>
                <c:pt idx="6">
                  <c:v>153205.52451251759</c:v>
                </c:pt>
                <c:pt idx="7">
                  <c:v>132900.85018131073</c:v>
                </c:pt>
                <c:pt idx="8">
                  <c:v>148078.14547391408</c:v>
                </c:pt>
                <c:pt idx="9">
                  <c:v>86807.554763416905</c:v>
                </c:pt>
                <c:pt idx="10">
                  <c:v>164837.72805434978</c:v>
                </c:pt>
                <c:pt idx="11">
                  <c:v>140221.81790990318</c:v>
                </c:pt>
                <c:pt idx="12">
                  <c:v>167717.31038799573</c:v>
                </c:pt>
                <c:pt idx="13">
                  <c:v>140926.89672624087</c:v>
                </c:pt>
                <c:pt idx="14">
                  <c:v>155693.49255630991</c:v>
                </c:pt>
                <c:pt idx="15">
                  <c:v>168520.39975824376</c:v>
                </c:pt>
                <c:pt idx="16">
                  <c:v>221587.5041208792</c:v>
                </c:pt>
                <c:pt idx="17">
                  <c:v>186476.67471847334</c:v>
                </c:pt>
                <c:pt idx="18">
                  <c:v>165395.14930466685</c:v>
                </c:pt>
              </c:numCache>
            </c:numRef>
          </c:val>
          <c:extLst>
            <c:ext xmlns:c16="http://schemas.microsoft.com/office/drawing/2014/chart" uri="{C3380CC4-5D6E-409C-BE32-E72D297353CC}">
              <c16:uniqueId val="{00000007-8D57-492A-B0B8-455603261177}"/>
            </c:ext>
          </c:extLst>
        </c:ser>
        <c:ser>
          <c:idx val="0"/>
          <c:order val="8"/>
          <c:tx>
            <c:strRef>
              <c:f>総合評価２!$A$16</c:f>
              <c:strCache>
                <c:ptCount val="1"/>
                <c:pt idx="0">
                  <c:v>現預金</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総合評価２!$C$16:$U$16</c:f>
              <c:numCache>
                <c:formatCode>#,##0;"△ "#,##0</c:formatCode>
                <c:ptCount val="19"/>
                <c:pt idx="0">
                  <c:v>109946.02514415399</c:v>
                </c:pt>
                <c:pt idx="1">
                  <c:v>66014.457220155557</c:v>
                </c:pt>
                <c:pt idx="2">
                  <c:v>84713.34487518153</c:v>
                </c:pt>
                <c:pt idx="3">
                  <c:v>88454.033564559621</c:v>
                </c:pt>
                <c:pt idx="4">
                  <c:v>121887.60766036999</c:v>
                </c:pt>
                <c:pt idx="5">
                  <c:v>107517.58441310909</c:v>
                </c:pt>
                <c:pt idx="6">
                  <c:v>120334.14758770882</c:v>
                </c:pt>
                <c:pt idx="7">
                  <c:v>87915.375019941843</c:v>
                </c:pt>
                <c:pt idx="8">
                  <c:v>83614.078235760331</c:v>
                </c:pt>
                <c:pt idx="9">
                  <c:v>71668.216677829056</c:v>
                </c:pt>
                <c:pt idx="10">
                  <c:v>87704.0759676171</c:v>
                </c:pt>
                <c:pt idx="11">
                  <c:v>122791.9780746343</c:v>
                </c:pt>
                <c:pt idx="12">
                  <c:v>87422.153097130446</c:v>
                </c:pt>
                <c:pt idx="13">
                  <c:v>153499.91015614261</c:v>
                </c:pt>
                <c:pt idx="14">
                  <c:v>161581.24908156093</c:v>
                </c:pt>
                <c:pt idx="15">
                  <c:v>143274.12563986171</c:v>
                </c:pt>
                <c:pt idx="16">
                  <c:v>170108.0028331044</c:v>
                </c:pt>
                <c:pt idx="17">
                  <c:v>184578.60225221352</c:v>
                </c:pt>
                <c:pt idx="18">
                  <c:v>181039.89702243835</c:v>
                </c:pt>
              </c:numCache>
            </c:numRef>
          </c:val>
          <c:extLst>
            <c:ext xmlns:c16="http://schemas.microsoft.com/office/drawing/2014/chart" uri="{C3380CC4-5D6E-409C-BE32-E72D297353CC}">
              <c16:uniqueId val="{00000008-8D57-492A-B0B8-455603261177}"/>
            </c:ext>
          </c:extLst>
        </c:ser>
        <c:dLbls>
          <c:showLegendKey val="0"/>
          <c:showVal val="0"/>
          <c:showCatName val="0"/>
          <c:showSerName val="0"/>
          <c:showPercent val="0"/>
          <c:showBubbleSize val="0"/>
        </c:dLbls>
        <c:gapWidth val="150"/>
        <c:overlap val="100"/>
        <c:axId val="347705240"/>
        <c:axId val="1"/>
      </c:barChart>
      <c:catAx>
        <c:axId val="34770524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one"/>
        <c:spPr>
          <a:ln w="3175">
            <a:solidFill>
              <a:srgbClr val="000000"/>
            </a:solidFill>
            <a:prstDash val="solid"/>
          </a:ln>
        </c:spPr>
        <c:crossAx val="347705240"/>
        <c:crosses val="autoZero"/>
        <c:crossBetween val="between"/>
      </c:valAx>
      <c:spPr>
        <a:solidFill>
          <a:srgbClr val="C0C0C0"/>
        </a:solidFill>
        <a:ln w="12700">
          <a:solidFill>
            <a:srgbClr val="808080"/>
          </a:solidFill>
          <a:prstDash val="solid"/>
        </a:ln>
      </c:spPr>
    </c:plotArea>
    <c:legend>
      <c:legendPos val="t"/>
      <c:layout>
        <c:manualLayout>
          <c:xMode val="edge"/>
          <c:yMode val="edge"/>
          <c:x val="6.4261832710004727E-2"/>
          <c:y val="9.4466936572199733E-2"/>
          <c:w val="0.90969901779274753"/>
          <c:h val="0.16589068825910935"/>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借入金残高と借入金依存度</a:t>
            </a:r>
          </a:p>
        </c:rich>
      </c:tx>
      <c:layout>
        <c:manualLayout>
          <c:xMode val="edge"/>
          <c:yMode val="edge"/>
          <c:x val="0.33115537710104115"/>
          <c:y val="4.2734962068097654E-2"/>
        </c:manualLayout>
      </c:layout>
      <c:overlay val="0"/>
      <c:spPr>
        <a:noFill/>
        <a:ln w="25400">
          <a:noFill/>
        </a:ln>
      </c:spPr>
    </c:title>
    <c:autoTitleDeleted val="0"/>
    <c:plotArea>
      <c:layout>
        <c:manualLayout>
          <c:layoutTarget val="inner"/>
          <c:xMode val="edge"/>
          <c:yMode val="edge"/>
          <c:x val="0.13596599093998443"/>
          <c:y val="0.33760831265954772"/>
          <c:w val="0.74878402262945087"/>
          <c:h val="0.48290799824718822"/>
        </c:manualLayout>
      </c:layout>
      <c:barChart>
        <c:barDir val="col"/>
        <c:grouping val="stacked"/>
        <c:varyColors val="0"/>
        <c:ser>
          <c:idx val="0"/>
          <c:order val="0"/>
          <c:tx>
            <c:strRef>
              <c:f>総合評価２!$A$22</c:f>
              <c:strCache>
                <c:ptCount val="1"/>
                <c:pt idx="0">
                  <c:v>他人資本（借入等）</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総合評価２!$C$22:$U$22</c:f>
              <c:numCache>
                <c:formatCode>#,##0;"△ "#,##0</c:formatCode>
                <c:ptCount val="19"/>
                <c:pt idx="0">
                  <c:v>260591.07666131022</c:v>
                </c:pt>
                <c:pt idx="1">
                  <c:v>200565.18430842072</c:v>
                </c:pt>
                <c:pt idx="2">
                  <c:v>239563.12268368731</c:v>
                </c:pt>
                <c:pt idx="3">
                  <c:v>175186.95064432808</c:v>
                </c:pt>
                <c:pt idx="4">
                  <c:v>241031.01242685923</c:v>
                </c:pt>
                <c:pt idx="5">
                  <c:v>268480.8586631426</c:v>
                </c:pt>
                <c:pt idx="6">
                  <c:v>228999.2889259434</c:v>
                </c:pt>
                <c:pt idx="7">
                  <c:v>156984.90130966535</c:v>
                </c:pt>
                <c:pt idx="8">
                  <c:v>169004.5396589681</c:v>
                </c:pt>
                <c:pt idx="9">
                  <c:v>152480.2004169242</c:v>
                </c:pt>
                <c:pt idx="10">
                  <c:v>188378.57470020265</c:v>
                </c:pt>
                <c:pt idx="11">
                  <c:v>190742.54577898976</c:v>
                </c:pt>
                <c:pt idx="12">
                  <c:v>193710.44784897027</c:v>
                </c:pt>
                <c:pt idx="13">
                  <c:v>181863.4101061766</c:v>
                </c:pt>
                <c:pt idx="14">
                  <c:v>199879.73152132216</c:v>
                </c:pt>
                <c:pt idx="15">
                  <c:v>223632.82679340313</c:v>
                </c:pt>
                <c:pt idx="16">
                  <c:v>279761.6334134615</c:v>
                </c:pt>
                <c:pt idx="17">
                  <c:v>285613.33688644378</c:v>
                </c:pt>
                <c:pt idx="18">
                  <c:v>260414.83312004092</c:v>
                </c:pt>
              </c:numCache>
            </c:numRef>
          </c:val>
          <c:extLst>
            <c:ext xmlns:c16="http://schemas.microsoft.com/office/drawing/2014/chart" uri="{C3380CC4-5D6E-409C-BE32-E72D297353CC}">
              <c16:uniqueId val="{00000000-6E02-46CE-9F18-C5CB202E45BF}"/>
            </c:ext>
          </c:extLst>
        </c:ser>
        <c:dLbls>
          <c:showLegendKey val="0"/>
          <c:showVal val="0"/>
          <c:showCatName val="0"/>
          <c:showSerName val="0"/>
          <c:showPercent val="0"/>
          <c:showBubbleSize val="0"/>
        </c:dLbls>
        <c:gapWidth val="150"/>
        <c:overlap val="100"/>
        <c:axId val="347703272"/>
        <c:axId val="1"/>
      </c:barChart>
      <c:lineChart>
        <c:grouping val="standard"/>
        <c:varyColors val="0"/>
        <c:ser>
          <c:idx val="1"/>
          <c:order val="1"/>
          <c:tx>
            <c:strRef>
              <c:f>総合評価２!$A$30</c:f>
              <c:strCache>
                <c:ptCount val="1"/>
                <c:pt idx="0">
                  <c:v>借入金依存度</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総合評価２!$C$30:$U$30</c:f>
              <c:numCache>
                <c:formatCode>#,##0.0;"△ "#,##0.0</c:formatCode>
                <c:ptCount val="19"/>
                <c:pt idx="0">
                  <c:v>35.447880373901</c:v>
                </c:pt>
                <c:pt idx="1">
                  <c:v>33.539010783079995</c:v>
                </c:pt>
                <c:pt idx="2">
                  <c:v>34.536738296540257</c:v>
                </c:pt>
                <c:pt idx="3">
                  <c:v>30.649430918156927</c:v>
                </c:pt>
                <c:pt idx="4">
                  <c:v>37.851822135920344</c:v>
                </c:pt>
                <c:pt idx="5">
                  <c:v>41.785369541215253</c:v>
                </c:pt>
                <c:pt idx="6">
                  <c:v>37.473895363646932</c:v>
                </c:pt>
                <c:pt idx="7">
                  <c:v>34.817482388528404</c:v>
                </c:pt>
                <c:pt idx="8">
                  <c:v>36.249350413207502</c:v>
                </c:pt>
                <c:pt idx="9">
                  <c:v>42.072073668341829</c:v>
                </c:pt>
                <c:pt idx="10">
                  <c:v>32.622770423624821</c:v>
                </c:pt>
                <c:pt idx="11">
                  <c:v>31.484544994560697</c:v>
                </c:pt>
                <c:pt idx="12">
                  <c:v>32.473354729781718</c:v>
                </c:pt>
                <c:pt idx="13">
                  <c:v>30.746748626562258</c:v>
                </c:pt>
                <c:pt idx="14">
                  <c:v>29.237594891731057</c:v>
                </c:pt>
                <c:pt idx="15">
                  <c:v>30.593940324830697</c:v>
                </c:pt>
                <c:pt idx="16">
                  <c:v>28.455020026099731</c:v>
                </c:pt>
                <c:pt idx="17">
                  <c:v>32.85709467861863</c:v>
                </c:pt>
                <c:pt idx="18">
                  <c:v>33.036101539244171</c:v>
                </c:pt>
              </c:numCache>
            </c:numRef>
          </c:val>
          <c:smooth val="0"/>
          <c:extLst>
            <c:ext xmlns:c16="http://schemas.microsoft.com/office/drawing/2014/chart" uri="{C3380CC4-5D6E-409C-BE32-E72D297353CC}">
              <c16:uniqueId val="{00000001-6E02-46CE-9F18-C5CB202E45BF}"/>
            </c:ext>
          </c:extLst>
        </c:ser>
        <c:dLbls>
          <c:showLegendKey val="0"/>
          <c:showVal val="0"/>
          <c:showCatName val="0"/>
          <c:showSerName val="0"/>
          <c:showPercent val="0"/>
          <c:showBubbleSize val="0"/>
        </c:dLbls>
        <c:marker val="1"/>
        <c:smooth val="0"/>
        <c:axId val="3"/>
        <c:axId val="4"/>
      </c:lineChart>
      <c:catAx>
        <c:axId val="347703272"/>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858349659934888E-2"/>
              <c:y val="0.4444463919749758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47703272"/>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2374943198325365"/>
              <c:y val="0.47008727932980982"/>
            </c:manualLayout>
          </c:layout>
          <c:overlay val="0"/>
          <c:spPr>
            <a:noFill/>
            <a:ln w="25400">
              <a:noFill/>
            </a:ln>
          </c:spPr>
        </c:title>
        <c:numFmt formatCode="#,##0;&quot;△ &quot;#,##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12641284077900858"/>
          <c:y val="0.17351598173515981"/>
          <c:w val="0.67447152715182124"/>
          <c:h val="8.904109589041098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8.xml"/><Relationship Id="rId5" Type="http://schemas.openxmlformats.org/officeDocument/2006/relationships/chart" Target="../charts/chart17.xml"/><Relationship Id="rId4" Type="http://schemas.openxmlformats.org/officeDocument/2006/relationships/chart" Target="../charts/chart1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9.xml"/></Relationships>
</file>

<file path=xl/drawings/drawing1.xml><?xml version="1.0" encoding="utf-8"?>
<xdr:wsDr xmlns:xdr="http://schemas.openxmlformats.org/drawingml/2006/spreadsheetDrawing" xmlns:a="http://schemas.openxmlformats.org/drawingml/2006/main">
  <xdr:twoCellAnchor>
    <xdr:from>
      <xdr:col>22</xdr:col>
      <xdr:colOff>22860</xdr:colOff>
      <xdr:row>20</xdr:row>
      <xdr:rowOff>22860</xdr:rowOff>
    </xdr:from>
    <xdr:to>
      <xdr:col>29</xdr:col>
      <xdr:colOff>609600</xdr:colOff>
      <xdr:row>37</xdr:row>
      <xdr:rowOff>121920</xdr:rowOff>
    </xdr:to>
    <xdr:graphicFrame macro="">
      <xdr:nvGraphicFramePr>
        <xdr:cNvPr id="2277" name="グラフ 1">
          <a:extLst>
            <a:ext uri="{FF2B5EF4-FFF2-40B4-BE49-F238E27FC236}">
              <a16:creationId xmlns:a16="http://schemas.microsoft.com/office/drawing/2014/main" id="{E018021E-0E70-4E0F-903C-5C610234C6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15240</xdr:colOff>
      <xdr:row>2</xdr:row>
      <xdr:rowOff>22860</xdr:rowOff>
    </xdr:from>
    <xdr:to>
      <xdr:col>37</xdr:col>
      <xdr:colOff>601980</xdr:colOff>
      <xdr:row>19</xdr:row>
      <xdr:rowOff>137160</xdr:rowOff>
    </xdr:to>
    <xdr:graphicFrame macro="">
      <xdr:nvGraphicFramePr>
        <xdr:cNvPr id="2278" name="グラフ 2">
          <a:extLst>
            <a:ext uri="{FF2B5EF4-FFF2-40B4-BE49-F238E27FC236}">
              <a16:creationId xmlns:a16="http://schemas.microsoft.com/office/drawing/2014/main" id="{A401A39B-67B5-4E05-A7CA-1BC0805FB8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22860</xdr:colOff>
      <xdr:row>20</xdr:row>
      <xdr:rowOff>22860</xdr:rowOff>
    </xdr:from>
    <xdr:to>
      <xdr:col>37</xdr:col>
      <xdr:colOff>601980</xdr:colOff>
      <xdr:row>37</xdr:row>
      <xdr:rowOff>137160</xdr:rowOff>
    </xdr:to>
    <xdr:graphicFrame macro="">
      <xdr:nvGraphicFramePr>
        <xdr:cNvPr id="2279" name="グラフ 3">
          <a:extLst>
            <a:ext uri="{FF2B5EF4-FFF2-40B4-BE49-F238E27FC236}">
              <a16:creationId xmlns:a16="http://schemas.microsoft.com/office/drawing/2014/main" id="{B8C82895-2E60-4610-AEDD-F5CCCE9ECF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15240</xdr:colOff>
      <xdr:row>2</xdr:row>
      <xdr:rowOff>22860</xdr:rowOff>
    </xdr:from>
    <xdr:to>
      <xdr:col>29</xdr:col>
      <xdr:colOff>594360</xdr:colOff>
      <xdr:row>19</xdr:row>
      <xdr:rowOff>137160</xdr:rowOff>
    </xdr:to>
    <xdr:graphicFrame macro="">
      <xdr:nvGraphicFramePr>
        <xdr:cNvPr id="2280" name="グラフ 4">
          <a:extLst>
            <a:ext uri="{FF2B5EF4-FFF2-40B4-BE49-F238E27FC236}">
              <a16:creationId xmlns:a16="http://schemas.microsoft.com/office/drawing/2014/main" id="{A93228F8-980B-4A57-9E51-7AAB74BF6A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22860</xdr:colOff>
      <xdr:row>38</xdr:row>
      <xdr:rowOff>22860</xdr:rowOff>
    </xdr:from>
    <xdr:to>
      <xdr:col>29</xdr:col>
      <xdr:colOff>609600</xdr:colOff>
      <xdr:row>55</xdr:row>
      <xdr:rowOff>144780</xdr:rowOff>
    </xdr:to>
    <xdr:graphicFrame macro="">
      <xdr:nvGraphicFramePr>
        <xdr:cNvPr id="2281" name="グラフ 5">
          <a:extLst>
            <a:ext uri="{FF2B5EF4-FFF2-40B4-BE49-F238E27FC236}">
              <a16:creationId xmlns:a16="http://schemas.microsoft.com/office/drawing/2014/main" id="{9AD41577-30D8-4FAB-AD24-A04F4C58F1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15240</xdr:colOff>
      <xdr:row>38</xdr:row>
      <xdr:rowOff>22860</xdr:rowOff>
    </xdr:from>
    <xdr:to>
      <xdr:col>37</xdr:col>
      <xdr:colOff>601980</xdr:colOff>
      <xdr:row>55</xdr:row>
      <xdr:rowOff>144780</xdr:rowOff>
    </xdr:to>
    <xdr:graphicFrame macro="">
      <xdr:nvGraphicFramePr>
        <xdr:cNvPr id="2282" name="グラフ 6">
          <a:extLst>
            <a:ext uri="{FF2B5EF4-FFF2-40B4-BE49-F238E27FC236}">
              <a16:creationId xmlns:a16="http://schemas.microsoft.com/office/drawing/2014/main" id="{2FAD59F6-B07D-4A6C-A430-6A9FD59536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68580</xdr:colOff>
      <xdr:row>36</xdr:row>
      <xdr:rowOff>30480</xdr:rowOff>
    </xdr:from>
    <xdr:to>
      <xdr:col>11</xdr:col>
      <xdr:colOff>563880</xdr:colOff>
      <xdr:row>60</xdr:row>
      <xdr:rowOff>129540</xdr:rowOff>
    </xdr:to>
    <xdr:graphicFrame macro="">
      <xdr:nvGraphicFramePr>
        <xdr:cNvPr id="3307" name="グラフ 7">
          <a:extLst>
            <a:ext uri="{FF2B5EF4-FFF2-40B4-BE49-F238E27FC236}">
              <a16:creationId xmlns:a16="http://schemas.microsoft.com/office/drawing/2014/main" id="{175F2CD7-D121-48A9-BA2D-37E31752E0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53340</xdr:colOff>
      <xdr:row>36</xdr:row>
      <xdr:rowOff>30480</xdr:rowOff>
    </xdr:from>
    <xdr:to>
      <xdr:col>27</xdr:col>
      <xdr:colOff>426720</xdr:colOff>
      <xdr:row>60</xdr:row>
      <xdr:rowOff>137160</xdr:rowOff>
    </xdr:to>
    <xdr:graphicFrame macro="">
      <xdr:nvGraphicFramePr>
        <xdr:cNvPr id="3308" name="グラフ 8">
          <a:extLst>
            <a:ext uri="{FF2B5EF4-FFF2-40B4-BE49-F238E27FC236}">
              <a16:creationId xmlns:a16="http://schemas.microsoft.com/office/drawing/2014/main" id="{6A40FC29-9E3D-44A4-AFEC-A4616DE694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61</xdr:row>
      <xdr:rowOff>30480</xdr:rowOff>
    </xdr:from>
    <xdr:to>
      <xdr:col>11</xdr:col>
      <xdr:colOff>571500</xdr:colOff>
      <xdr:row>75</xdr:row>
      <xdr:rowOff>121920</xdr:rowOff>
    </xdr:to>
    <xdr:graphicFrame macro="">
      <xdr:nvGraphicFramePr>
        <xdr:cNvPr id="3309" name="グラフ 9">
          <a:extLst>
            <a:ext uri="{FF2B5EF4-FFF2-40B4-BE49-F238E27FC236}">
              <a16:creationId xmlns:a16="http://schemas.microsoft.com/office/drawing/2014/main" id="{D569A665-C304-454A-BE62-62DFA508FB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38100</xdr:colOff>
      <xdr:row>61</xdr:row>
      <xdr:rowOff>22860</xdr:rowOff>
    </xdr:from>
    <xdr:to>
      <xdr:col>27</xdr:col>
      <xdr:colOff>426720</xdr:colOff>
      <xdr:row>75</xdr:row>
      <xdr:rowOff>137160</xdr:rowOff>
    </xdr:to>
    <xdr:graphicFrame macro="">
      <xdr:nvGraphicFramePr>
        <xdr:cNvPr id="3310" name="グラフ 10">
          <a:extLst>
            <a:ext uri="{FF2B5EF4-FFF2-40B4-BE49-F238E27FC236}">
              <a16:creationId xmlns:a16="http://schemas.microsoft.com/office/drawing/2014/main" id="{A2CCC313-75F7-4103-B883-B37DAF9637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76</xdr:row>
      <xdr:rowOff>30480</xdr:rowOff>
    </xdr:from>
    <xdr:to>
      <xdr:col>11</xdr:col>
      <xdr:colOff>594360</xdr:colOff>
      <xdr:row>90</xdr:row>
      <xdr:rowOff>121920</xdr:rowOff>
    </xdr:to>
    <xdr:graphicFrame macro="">
      <xdr:nvGraphicFramePr>
        <xdr:cNvPr id="3311" name="グラフ 11">
          <a:extLst>
            <a:ext uri="{FF2B5EF4-FFF2-40B4-BE49-F238E27FC236}">
              <a16:creationId xmlns:a16="http://schemas.microsoft.com/office/drawing/2014/main" id="{EFE14A5C-556D-4F23-BDE5-B02AB7457A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38100</xdr:colOff>
      <xdr:row>76</xdr:row>
      <xdr:rowOff>15240</xdr:rowOff>
    </xdr:from>
    <xdr:to>
      <xdr:col>27</xdr:col>
      <xdr:colOff>441960</xdr:colOff>
      <xdr:row>90</xdr:row>
      <xdr:rowOff>114300</xdr:rowOff>
    </xdr:to>
    <xdr:graphicFrame macro="">
      <xdr:nvGraphicFramePr>
        <xdr:cNvPr id="3312" name="グラフ 12">
          <a:extLst>
            <a:ext uri="{FF2B5EF4-FFF2-40B4-BE49-F238E27FC236}">
              <a16:creationId xmlns:a16="http://schemas.microsoft.com/office/drawing/2014/main" id="{A3B4B487-EA85-46BA-AF3B-F09709EFD6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0.01337</cdr:x>
      <cdr:y>0.5887</cdr:y>
    </cdr:from>
    <cdr:to>
      <cdr:x>0.98248</cdr:x>
      <cdr:y>0.5887</cdr:y>
    </cdr:to>
    <cdr:sp macro="" textlink="">
      <cdr:nvSpPr>
        <cdr:cNvPr id="11265" name="Line 1025"/>
        <cdr:cNvSpPr>
          <a:spLocks xmlns:a="http://schemas.openxmlformats.org/drawingml/2006/main" noChangeShapeType="1"/>
        </cdr:cNvSpPr>
      </cdr:nvSpPr>
      <cdr:spPr bwMode="auto">
        <a:xfrm xmlns:a="http://schemas.openxmlformats.org/drawingml/2006/main" flipV="1">
          <a:off x="60401" y="2212670"/>
          <a:ext cx="4228795" cy="0"/>
        </a:xfrm>
        <a:prstGeom xmlns:a="http://schemas.openxmlformats.org/drawingml/2006/main" prst="line">
          <a:avLst/>
        </a:prstGeom>
        <a:noFill xmlns:a="http://schemas.openxmlformats.org/drawingml/2006/main"/>
        <a:ln xmlns:a="http://schemas.openxmlformats.org/drawingml/2006/main" w="28575">
          <a:solidFill>
            <a:srgbClr xmlns:mc="http://schemas.openxmlformats.org/markup-compatibility/2006" xmlns:a14="http://schemas.microsoft.com/office/drawing/2010/main" val="0000FF" mc:Ignorable="a14" a14:legacySpreadsheetColorIndex="12"/>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ja-JP" altLang="en-US"/>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38100</xdr:colOff>
      <xdr:row>22</xdr:row>
      <xdr:rowOff>68580</xdr:rowOff>
    </xdr:from>
    <xdr:to>
      <xdr:col>8</xdr:col>
      <xdr:colOff>609600</xdr:colOff>
      <xdr:row>42</xdr:row>
      <xdr:rowOff>68580</xdr:rowOff>
    </xdr:to>
    <xdr:graphicFrame macro="">
      <xdr:nvGraphicFramePr>
        <xdr:cNvPr id="472069" name="グラフ 2">
          <a:extLst>
            <a:ext uri="{FF2B5EF4-FFF2-40B4-BE49-F238E27FC236}">
              <a16:creationId xmlns:a16="http://schemas.microsoft.com/office/drawing/2014/main" id="{FB17EA64-F28F-4A9F-B90D-D772F5A762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68580</xdr:colOff>
      <xdr:row>22</xdr:row>
      <xdr:rowOff>60960</xdr:rowOff>
    </xdr:from>
    <xdr:to>
      <xdr:col>20</xdr:col>
      <xdr:colOff>548640</xdr:colOff>
      <xdr:row>42</xdr:row>
      <xdr:rowOff>60960</xdr:rowOff>
    </xdr:to>
    <xdr:graphicFrame macro="">
      <xdr:nvGraphicFramePr>
        <xdr:cNvPr id="472070" name="グラフ 3">
          <a:extLst>
            <a:ext uri="{FF2B5EF4-FFF2-40B4-BE49-F238E27FC236}">
              <a16:creationId xmlns:a16="http://schemas.microsoft.com/office/drawing/2014/main" id="{CE112E2B-5955-4D58-A39C-1CE7CE0815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43</xdr:row>
      <xdr:rowOff>53340</xdr:rowOff>
    </xdr:from>
    <xdr:to>
      <xdr:col>8</xdr:col>
      <xdr:colOff>609600</xdr:colOff>
      <xdr:row>63</xdr:row>
      <xdr:rowOff>53340</xdr:rowOff>
    </xdr:to>
    <xdr:graphicFrame macro="">
      <xdr:nvGraphicFramePr>
        <xdr:cNvPr id="472071" name="グラフ 4">
          <a:extLst>
            <a:ext uri="{FF2B5EF4-FFF2-40B4-BE49-F238E27FC236}">
              <a16:creationId xmlns:a16="http://schemas.microsoft.com/office/drawing/2014/main" id="{9FDAF10B-30A5-4A73-A5DA-0122946C6C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76200</xdr:colOff>
      <xdr:row>43</xdr:row>
      <xdr:rowOff>60960</xdr:rowOff>
    </xdr:from>
    <xdr:to>
      <xdr:col>20</xdr:col>
      <xdr:colOff>495300</xdr:colOff>
      <xdr:row>63</xdr:row>
      <xdr:rowOff>60960</xdr:rowOff>
    </xdr:to>
    <xdr:graphicFrame macro="">
      <xdr:nvGraphicFramePr>
        <xdr:cNvPr id="472072" name="グラフ 5">
          <a:extLst>
            <a:ext uri="{FF2B5EF4-FFF2-40B4-BE49-F238E27FC236}">
              <a16:creationId xmlns:a16="http://schemas.microsoft.com/office/drawing/2014/main" id="{B85E7D79-CD84-4D9C-B164-068C5473C8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60960</xdr:colOff>
      <xdr:row>64</xdr:row>
      <xdr:rowOff>68580</xdr:rowOff>
    </xdr:from>
    <xdr:to>
      <xdr:col>8</xdr:col>
      <xdr:colOff>632460</xdr:colOff>
      <xdr:row>84</xdr:row>
      <xdr:rowOff>68580</xdr:rowOff>
    </xdr:to>
    <xdr:graphicFrame macro="">
      <xdr:nvGraphicFramePr>
        <xdr:cNvPr id="472073" name="グラフ 6">
          <a:extLst>
            <a:ext uri="{FF2B5EF4-FFF2-40B4-BE49-F238E27FC236}">
              <a16:creationId xmlns:a16="http://schemas.microsoft.com/office/drawing/2014/main" id="{3E51DC9F-64DF-493A-8444-BA887A6D79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83820</xdr:colOff>
      <xdr:row>64</xdr:row>
      <xdr:rowOff>60960</xdr:rowOff>
    </xdr:from>
    <xdr:to>
      <xdr:col>20</xdr:col>
      <xdr:colOff>487680</xdr:colOff>
      <xdr:row>84</xdr:row>
      <xdr:rowOff>60960</xdr:rowOff>
    </xdr:to>
    <xdr:graphicFrame macro="">
      <xdr:nvGraphicFramePr>
        <xdr:cNvPr id="472074" name="グラフ 7">
          <a:extLst>
            <a:ext uri="{FF2B5EF4-FFF2-40B4-BE49-F238E27FC236}">
              <a16:creationId xmlns:a16="http://schemas.microsoft.com/office/drawing/2014/main" id="{5B2AC3C4-9389-41B8-9B96-678E818B8E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50</xdr:row>
      <xdr:rowOff>7620</xdr:rowOff>
    </xdr:from>
    <xdr:to>
      <xdr:col>28</xdr:col>
      <xdr:colOff>693420</xdr:colOff>
      <xdr:row>66</xdr:row>
      <xdr:rowOff>68580</xdr:rowOff>
    </xdr:to>
    <xdr:graphicFrame macro="">
      <xdr:nvGraphicFramePr>
        <xdr:cNvPr id="23565" name="グラフ 1">
          <a:extLst>
            <a:ext uri="{FF2B5EF4-FFF2-40B4-BE49-F238E27FC236}">
              <a16:creationId xmlns:a16="http://schemas.microsoft.com/office/drawing/2014/main" id="{BB7710BC-08C5-49FF-9EE4-68ABC5C989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91440</xdr:colOff>
      <xdr:row>5</xdr:row>
      <xdr:rowOff>220980</xdr:rowOff>
    </xdr:from>
    <xdr:to>
      <xdr:col>3</xdr:col>
      <xdr:colOff>251460</xdr:colOff>
      <xdr:row>6</xdr:row>
      <xdr:rowOff>38100</xdr:rowOff>
    </xdr:to>
    <xdr:sp macro="" textlink="">
      <xdr:nvSpPr>
        <xdr:cNvPr id="457846" name="Line 1">
          <a:extLst>
            <a:ext uri="{FF2B5EF4-FFF2-40B4-BE49-F238E27FC236}">
              <a16:creationId xmlns:a16="http://schemas.microsoft.com/office/drawing/2014/main" id="{466B6E0E-D431-4233-82F5-1A726C7A7F2B}"/>
            </a:ext>
          </a:extLst>
        </xdr:cNvPr>
        <xdr:cNvSpPr>
          <a:spLocks noChangeShapeType="1"/>
        </xdr:cNvSpPr>
      </xdr:nvSpPr>
      <xdr:spPr bwMode="auto">
        <a:xfrm flipV="1">
          <a:off x="3208020" y="1234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xdr:row>
      <xdr:rowOff>220980</xdr:rowOff>
    </xdr:from>
    <xdr:to>
      <xdr:col>3</xdr:col>
      <xdr:colOff>251460</xdr:colOff>
      <xdr:row>8</xdr:row>
      <xdr:rowOff>38100</xdr:rowOff>
    </xdr:to>
    <xdr:sp macro="" textlink="">
      <xdr:nvSpPr>
        <xdr:cNvPr id="457847" name="Line 2">
          <a:extLst>
            <a:ext uri="{FF2B5EF4-FFF2-40B4-BE49-F238E27FC236}">
              <a16:creationId xmlns:a16="http://schemas.microsoft.com/office/drawing/2014/main" id="{C363F9EB-DF98-4F19-9FF2-F1818DB0B25E}"/>
            </a:ext>
          </a:extLst>
        </xdr:cNvPr>
        <xdr:cNvSpPr>
          <a:spLocks noChangeShapeType="1"/>
        </xdr:cNvSpPr>
      </xdr:nvSpPr>
      <xdr:spPr bwMode="auto">
        <a:xfrm flipV="1">
          <a:off x="3208020" y="18592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10</xdr:row>
      <xdr:rowOff>220980</xdr:rowOff>
    </xdr:from>
    <xdr:to>
      <xdr:col>3</xdr:col>
      <xdr:colOff>251460</xdr:colOff>
      <xdr:row>11</xdr:row>
      <xdr:rowOff>38100</xdr:rowOff>
    </xdr:to>
    <xdr:sp macro="" textlink="">
      <xdr:nvSpPr>
        <xdr:cNvPr id="457848" name="Line 3">
          <a:extLst>
            <a:ext uri="{FF2B5EF4-FFF2-40B4-BE49-F238E27FC236}">
              <a16:creationId xmlns:a16="http://schemas.microsoft.com/office/drawing/2014/main" id="{1158A329-365F-4F38-B676-20DA0E3A11B4}"/>
            </a:ext>
          </a:extLst>
        </xdr:cNvPr>
        <xdr:cNvSpPr>
          <a:spLocks noChangeShapeType="1"/>
        </xdr:cNvSpPr>
      </xdr:nvSpPr>
      <xdr:spPr bwMode="auto">
        <a:xfrm flipV="1">
          <a:off x="3208020" y="27127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12</xdr:row>
      <xdr:rowOff>220980</xdr:rowOff>
    </xdr:from>
    <xdr:to>
      <xdr:col>3</xdr:col>
      <xdr:colOff>251460</xdr:colOff>
      <xdr:row>13</xdr:row>
      <xdr:rowOff>38100</xdr:rowOff>
    </xdr:to>
    <xdr:sp macro="" textlink="">
      <xdr:nvSpPr>
        <xdr:cNvPr id="457849" name="Line 4">
          <a:extLst>
            <a:ext uri="{FF2B5EF4-FFF2-40B4-BE49-F238E27FC236}">
              <a16:creationId xmlns:a16="http://schemas.microsoft.com/office/drawing/2014/main" id="{6FEFDFB1-0CD0-49E4-819D-EA0FBA99EFAA}"/>
            </a:ext>
          </a:extLst>
        </xdr:cNvPr>
        <xdr:cNvSpPr>
          <a:spLocks noChangeShapeType="1"/>
        </xdr:cNvSpPr>
      </xdr:nvSpPr>
      <xdr:spPr bwMode="auto">
        <a:xfrm flipV="1">
          <a:off x="3208020" y="33375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14</xdr:row>
      <xdr:rowOff>220980</xdr:rowOff>
    </xdr:from>
    <xdr:to>
      <xdr:col>3</xdr:col>
      <xdr:colOff>251460</xdr:colOff>
      <xdr:row>15</xdr:row>
      <xdr:rowOff>38100</xdr:rowOff>
    </xdr:to>
    <xdr:sp macro="" textlink="">
      <xdr:nvSpPr>
        <xdr:cNvPr id="457850" name="Line 5">
          <a:extLst>
            <a:ext uri="{FF2B5EF4-FFF2-40B4-BE49-F238E27FC236}">
              <a16:creationId xmlns:a16="http://schemas.microsoft.com/office/drawing/2014/main" id="{A2A9EAFE-C61C-4011-8E0A-218B745DBD0B}"/>
            </a:ext>
          </a:extLst>
        </xdr:cNvPr>
        <xdr:cNvSpPr>
          <a:spLocks noChangeShapeType="1"/>
        </xdr:cNvSpPr>
      </xdr:nvSpPr>
      <xdr:spPr bwMode="auto">
        <a:xfrm flipV="1">
          <a:off x="3208020" y="39624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16</xdr:row>
      <xdr:rowOff>220980</xdr:rowOff>
    </xdr:from>
    <xdr:to>
      <xdr:col>3</xdr:col>
      <xdr:colOff>251460</xdr:colOff>
      <xdr:row>17</xdr:row>
      <xdr:rowOff>38100</xdr:rowOff>
    </xdr:to>
    <xdr:sp macro="" textlink="">
      <xdr:nvSpPr>
        <xdr:cNvPr id="457851" name="Line 6">
          <a:extLst>
            <a:ext uri="{FF2B5EF4-FFF2-40B4-BE49-F238E27FC236}">
              <a16:creationId xmlns:a16="http://schemas.microsoft.com/office/drawing/2014/main" id="{7EA922E6-23FA-4231-A16E-49E3DA40A966}"/>
            </a:ext>
          </a:extLst>
        </xdr:cNvPr>
        <xdr:cNvSpPr>
          <a:spLocks noChangeShapeType="1"/>
        </xdr:cNvSpPr>
      </xdr:nvSpPr>
      <xdr:spPr bwMode="auto">
        <a:xfrm flipV="1">
          <a:off x="3208020" y="45872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18</xdr:row>
      <xdr:rowOff>220980</xdr:rowOff>
    </xdr:from>
    <xdr:to>
      <xdr:col>3</xdr:col>
      <xdr:colOff>251460</xdr:colOff>
      <xdr:row>19</xdr:row>
      <xdr:rowOff>38100</xdr:rowOff>
    </xdr:to>
    <xdr:sp macro="" textlink="">
      <xdr:nvSpPr>
        <xdr:cNvPr id="457852" name="Line 7">
          <a:extLst>
            <a:ext uri="{FF2B5EF4-FFF2-40B4-BE49-F238E27FC236}">
              <a16:creationId xmlns:a16="http://schemas.microsoft.com/office/drawing/2014/main" id="{4310875F-8389-4E0C-B7F4-E278D33C0D39}"/>
            </a:ext>
          </a:extLst>
        </xdr:cNvPr>
        <xdr:cNvSpPr>
          <a:spLocks noChangeShapeType="1"/>
        </xdr:cNvSpPr>
      </xdr:nvSpPr>
      <xdr:spPr bwMode="auto">
        <a:xfrm>
          <a:off x="3208020" y="52120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26</xdr:row>
      <xdr:rowOff>220980</xdr:rowOff>
    </xdr:from>
    <xdr:to>
      <xdr:col>3</xdr:col>
      <xdr:colOff>251460</xdr:colOff>
      <xdr:row>27</xdr:row>
      <xdr:rowOff>38100</xdr:rowOff>
    </xdr:to>
    <xdr:sp macro="" textlink="">
      <xdr:nvSpPr>
        <xdr:cNvPr id="457853" name="Line 8">
          <a:extLst>
            <a:ext uri="{FF2B5EF4-FFF2-40B4-BE49-F238E27FC236}">
              <a16:creationId xmlns:a16="http://schemas.microsoft.com/office/drawing/2014/main" id="{F415AD29-7A64-4BA3-917C-7582B330D5D3}"/>
            </a:ext>
          </a:extLst>
        </xdr:cNvPr>
        <xdr:cNvSpPr>
          <a:spLocks noChangeShapeType="1"/>
        </xdr:cNvSpPr>
      </xdr:nvSpPr>
      <xdr:spPr bwMode="auto">
        <a:xfrm flipV="1">
          <a:off x="3208020" y="75438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28</xdr:row>
      <xdr:rowOff>220980</xdr:rowOff>
    </xdr:from>
    <xdr:to>
      <xdr:col>3</xdr:col>
      <xdr:colOff>251460</xdr:colOff>
      <xdr:row>29</xdr:row>
      <xdr:rowOff>38100</xdr:rowOff>
    </xdr:to>
    <xdr:sp macro="" textlink="">
      <xdr:nvSpPr>
        <xdr:cNvPr id="457854" name="Line 9">
          <a:extLst>
            <a:ext uri="{FF2B5EF4-FFF2-40B4-BE49-F238E27FC236}">
              <a16:creationId xmlns:a16="http://schemas.microsoft.com/office/drawing/2014/main" id="{11FC6DB9-6068-4701-BD9C-8E90FC107930}"/>
            </a:ext>
          </a:extLst>
        </xdr:cNvPr>
        <xdr:cNvSpPr>
          <a:spLocks noChangeShapeType="1"/>
        </xdr:cNvSpPr>
      </xdr:nvSpPr>
      <xdr:spPr bwMode="auto">
        <a:xfrm flipV="1">
          <a:off x="3208020" y="81686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34</xdr:row>
      <xdr:rowOff>220980</xdr:rowOff>
    </xdr:from>
    <xdr:to>
      <xdr:col>3</xdr:col>
      <xdr:colOff>251460</xdr:colOff>
      <xdr:row>35</xdr:row>
      <xdr:rowOff>38100</xdr:rowOff>
    </xdr:to>
    <xdr:sp macro="" textlink="">
      <xdr:nvSpPr>
        <xdr:cNvPr id="457855" name="Line 10">
          <a:extLst>
            <a:ext uri="{FF2B5EF4-FFF2-40B4-BE49-F238E27FC236}">
              <a16:creationId xmlns:a16="http://schemas.microsoft.com/office/drawing/2014/main" id="{71B25E7A-DF53-4E9C-9D7A-627EC9E89C1C}"/>
            </a:ext>
          </a:extLst>
        </xdr:cNvPr>
        <xdr:cNvSpPr>
          <a:spLocks noChangeShapeType="1"/>
        </xdr:cNvSpPr>
      </xdr:nvSpPr>
      <xdr:spPr bwMode="auto">
        <a:xfrm flipV="1">
          <a:off x="3208020" y="100431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30</xdr:row>
      <xdr:rowOff>220980</xdr:rowOff>
    </xdr:from>
    <xdr:to>
      <xdr:col>3</xdr:col>
      <xdr:colOff>251460</xdr:colOff>
      <xdr:row>31</xdr:row>
      <xdr:rowOff>38100</xdr:rowOff>
    </xdr:to>
    <xdr:sp macro="" textlink="">
      <xdr:nvSpPr>
        <xdr:cNvPr id="457856" name="Line 11">
          <a:extLst>
            <a:ext uri="{FF2B5EF4-FFF2-40B4-BE49-F238E27FC236}">
              <a16:creationId xmlns:a16="http://schemas.microsoft.com/office/drawing/2014/main" id="{71141835-CD2D-4531-80CD-A5F45930B785}"/>
            </a:ext>
          </a:extLst>
        </xdr:cNvPr>
        <xdr:cNvSpPr>
          <a:spLocks noChangeShapeType="1"/>
        </xdr:cNvSpPr>
      </xdr:nvSpPr>
      <xdr:spPr bwMode="auto">
        <a:xfrm>
          <a:off x="3208020" y="87934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42</xdr:row>
      <xdr:rowOff>220980</xdr:rowOff>
    </xdr:from>
    <xdr:to>
      <xdr:col>3</xdr:col>
      <xdr:colOff>251460</xdr:colOff>
      <xdr:row>43</xdr:row>
      <xdr:rowOff>45720</xdr:rowOff>
    </xdr:to>
    <xdr:sp macro="" textlink="">
      <xdr:nvSpPr>
        <xdr:cNvPr id="457857" name="Line 12">
          <a:extLst>
            <a:ext uri="{FF2B5EF4-FFF2-40B4-BE49-F238E27FC236}">
              <a16:creationId xmlns:a16="http://schemas.microsoft.com/office/drawing/2014/main" id="{D9EB3E18-B8C7-41C2-B906-8E84B4B67A7F}"/>
            </a:ext>
          </a:extLst>
        </xdr:cNvPr>
        <xdr:cNvSpPr>
          <a:spLocks noChangeShapeType="1"/>
        </xdr:cNvSpPr>
      </xdr:nvSpPr>
      <xdr:spPr bwMode="auto">
        <a:xfrm flipV="1">
          <a:off x="3208020" y="123748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44</xdr:row>
      <xdr:rowOff>220980</xdr:rowOff>
    </xdr:from>
    <xdr:to>
      <xdr:col>3</xdr:col>
      <xdr:colOff>251460</xdr:colOff>
      <xdr:row>45</xdr:row>
      <xdr:rowOff>45720</xdr:rowOff>
    </xdr:to>
    <xdr:sp macro="" textlink="">
      <xdr:nvSpPr>
        <xdr:cNvPr id="457858" name="Line 13">
          <a:extLst>
            <a:ext uri="{FF2B5EF4-FFF2-40B4-BE49-F238E27FC236}">
              <a16:creationId xmlns:a16="http://schemas.microsoft.com/office/drawing/2014/main" id="{FAEA726D-ADB9-42A2-ACA4-8381773BE297}"/>
            </a:ext>
          </a:extLst>
        </xdr:cNvPr>
        <xdr:cNvSpPr>
          <a:spLocks noChangeShapeType="1"/>
        </xdr:cNvSpPr>
      </xdr:nvSpPr>
      <xdr:spPr bwMode="auto">
        <a:xfrm flipV="1">
          <a:off x="3208020" y="129844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52</xdr:row>
      <xdr:rowOff>220980</xdr:rowOff>
    </xdr:from>
    <xdr:to>
      <xdr:col>3</xdr:col>
      <xdr:colOff>251460</xdr:colOff>
      <xdr:row>53</xdr:row>
      <xdr:rowOff>38100</xdr:rowOff>
    </xdr:to>
    <xdr:sp macro="" textlink="">
      <xdr:nvSpPr>
        <xdr:cNvPr id="457859" name="Line 14">
          <a:extLst>
            <a:ext uri="{FF2B5EF4-FFF2-40B4-BE49-F238E27FC236}">
              <a16:creationId xmlns:a16="http://schemas.microsoft.com/office/drawing/2014/main" id="{30651ED1-84E7-4EE7-B652-BD84EE1910F2}"/>
            </a:ext>
          </a:extLst>
        </xdr:cNvPr>
        <xdr:cNvSpPr>
          <a:spLocks noChangeShapeType="1"/>
        </xdr:cNvSpPr>
      </xdr:nvSpPr>
      <xdr:spPr bwMode="auto">
        <a:xfrm>
          <a:off x="3208020" y="153009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54</xdr:row>
      <xdr:rowOff>220980</xdr:rowOff>
    </xdr:from>
    <xdr:to>
      <xdr:col>3</xdr:col>
      <xdr:colOff>251460</xdr:colOff>
      <xdr:row>55</xdr:row>
      <xdr:rowOff>38100</xdr:rowOff>
    </xdr:to>
    <xdr:sp macro="" textlink="">
      <xdr:nvSpPr>
        <xdr:cNvPr id="457860" name="Line 15">
          <a:extLst>
            <a:ext uri="{FF2B5EF4-FFF2-40B4-BE49-F238E27FC236}">
              <a16:creationId xmlns:a16="http://schemas.microsoft.com/office/drawing/2014/main" id="{D61B9ACC-37B8-41B7-9675-B39A6BF44D36}"/>
            </a:ext>
          </a:extLst>
        </xdr:cNvPr>
        <xdr:cNvSpPr>
          <a:spLocks noChangeShapeType="1"/>
        </xdr:cNvSpPr>
      </xdr:nvSpPr>
      <xdr:spPr bwMode="auto">
        <a:xfrm>
          <a:off x="3208020" y="159258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37</xdr:row>
      <xdr:rowOff>220980</xdr:rowOff>
    </xdr:from>
    <xdr:to>
      <xdr:col>3</xdr:col>
      <xdr:colOff>251460</xdr:colOff>
      <xdr:row>38</xdr:row>
      <xdr:rowOff>38100</xdr:rowOff>
    </xdr:to>
    <xdr:sp macro="" textlink="">
      <xdr:nvSpPr>
        <xdr:cNvPr id="457861" name="Line 16">
          <a:extLst>
            <a:ext uri="{FF2B5EF4-FFF2-40B4-BE49-F238E27FC236}">
              <a16:creationId xmlns:a16="http://schemas.microsoft.com/office/drawing/2014/main" id="{3E6B7B22-7694-48E0-91DE-740CE76E0B8C}"/>
            </a:ext>
          </a:extLst>
        </xdr:cNvPr>
        <xdr:cNvSpPr>
          <a:spLocks noChangeShapeType="1"/>
        </xdr:cNvSpPr>
      </xdr:nvSpPr>
      <xdr:spPr bwMode="auto">
        <a:xfrm flipV="1">
          <a:off x="3208020" y="108966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39</xdr:row>
      <xdr:rowOff>220980</xdr:rowOff>
    </xdr:from>
    <xdr:to>
      <xdr:col>3</xdr:col>
      <xdr:colOff>251460</xdr:colOff>
      <xdr:row>40</xdr:row>
      <xdr:rowOff>38100</xdr:rowOff>
    </xdr:to>
    <xdr:sp macro="" textlink="">
      <xdr:nvSpPr>
        <xdr:cNvPr id="457862" name="Line 17">
          <a:extLst>
            <a:ext uri="{FF2B5EF4-FFF2-40B4-BE49-F238E27FC236}">
              <a16:creationId xmlns:a16="http://schemas.microsoft.com/office/drawing/2014/main" id="{11F9202B-5CA5-42AD-BC3D-DC9A29CC1D69}"/>
            </a:ext>
          </a:extLst>
        </xdr:cNvPr>
        <xdr:cNvSpPr>
          <a:spLocks noChangeShapeType="1"/>
        </xdr:cNvSpPr>
      </xdr:nvSpPr>
      <xdr:spPr bwMode="auto">
        <a:xfrm flipV="1">
          <a:off x="3208020" y="11521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70</xdr:row>
      <xdr:rowOff>220980</xdr:rowOff>
    </xdr:from>
    <xdr:to>
      <xdr:col>3</xdr:col>
      <xdr:colOff>251460</xdr:colOff>
      <xdr:row>71</xdr:row>
      <xdr:rowOff>38100</xdr:rowOff>
    </xdr:to>
    <xdr:sp macro="" textlink="">
      <xdr:nvSpPr>
        <xdr:cNvPr id="457863" name="Line 18">
          <a:extLst>
            <a:ext uri="{FF2B5EF4-FFF2-40B4-BE49-F238E27FC236}">
              <a16:creationId xmlns:a16="http://schemas.microsoft.com/office/drawing/2014/main" id="{876901E1-DE7E-4B4B-9BA2-F7FED2C3B5F3}"/>
            </a:ext>
          </a:extLst>
        </xdr:cNvPr>
        <xdr:cNvSpPr>
          <a:spLocks noChangeShapeType="1"/>
        </xdr:cNvSpPr>
      </xdr:nvSpPr>
      <xdr:spPr bwMode="auto">
        <a:xfrm flipV="1">
          <a:off x="3208020" y="20665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72</xdr:row>
      <xdr:rowOff>220980</xdr:rowOff>
    </xdr:from>
    <xdr:to>
      <xdr:col>3</xdr:col>
      <xdr:colOff>251460</xdr:colOff>
      <xdr:row>73</xdr:row>
      <xdr:rowOff>38100</xdr:rowOff>
    </xdr:to>
    <xdr:sp macro="" textlink="">
      <xdr:nvSpPr>
        <xdr:cNvPr id="457864" name="Line 19">
          <a:extLst>
            <a:ext uri="{FF2B5EF4-FFF2-40B4-BE49-F238E27FC236}">
              <a16:creationId xmlns:a16="http://schemas.microsoft.com/office/drawing/2014/main" id="{E80F7697-93DC-4FD9-A8B7-579E15C2A5B9}"/>
            </a:ext>
          </a:extLst>
        </xdr:cNvPr>
        <xdr:cNvSpPr>
          <a:spLocks noChangeShapeType="1"/>
        </xdr:cNvSpPr>
      </xdr:nvSpPr>
      <xdr:spPr bwMode="auto">
        <a:xfrm flipV="1">
          <a:off x="3208020" y="212902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74</xdr:row>
      <xdr:rowOff>220980</xdr:rowOff>
    </xdr:from>
    <xdr:to>
      <xdr:col>3</xdr:col>
      <xdr:colOff>251460</xdr:colOff>
      <xdr:row>75</xdr:row>
      <xdr:rowOff>38100</xdr:rowOff>
    </xdr:to>
    <xdr:sp macro="" textlink="">
      <xdr:nvSpPr>
        <xdr:cNvPr id="457865" name="Line 20">
          <a:extLst>
            <a:ext uri="{FF2B5EF4-FFF2-40B4-BE49-F238E27FC236}">
              <a16:creationId xmlns:a16="http://schemas.microsoft.com/office/drawing/2014/main" id="{FDCA98DE-88A2-45F7-9102-46FAAFAF0F54}"/>
            </a:ext>
          </a:extLst>
        </xdr:cNvPr>
        <xdr:cNvSpPr>
          <a:spLocks noChangeShapeType="1"/>
        </xdr:cNvSpPr>
      </xdr:nvSpPr>
      <xdr:spPr bwMode="auto">
        <a:xfrm flipV="1">
          <a:off x="3208020" y="219151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57</xdr:row>
      <xdr:rowOff>220980</xdr:rowOff>
    </xdr:from>
    <xdr:to>
      <xdr:col>3</xdr:col>
      <xdr:colOff>251460</xdr:colOff>
      <xdr:row>58</xdr:row>
      <xdr:rowOff>45720</xdr:rowOff>
    </xdr:to>
    <xdr:sp macro="" textlink="">
      <xdr:nvSpPr>
        <xdr:cNvPr id="457866" name="Line 21">
          <a:extLst>
            <a:ext uri="{FF2B5EF4-FFF2-40B4-BE49-F238E27FC236}">
              <a16:creationId xmlns:a16="http://schemas.microsoft.com/office/drawing/2014/main" id="{2BE537C3-5000-48C2-872F-BC15B103A040}"/>
            </a:ext>
          </a:extLst>
        </xdr:cNvPr>
        <xdr:cNvSpPr>
          <a:spLocks noChangeShapeType="1"/>
        </xdr:cNvSpPr>
      </xdr:nvSpPr>
      <xdr:spPr bwMode="auto">
        <a:xfrm flipV="1">
          <a:off x="3208020" y="167792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59</xdr:row>
      <xdr:rowOff>220980</xdr:rowOff>
    </xdr:from>
    <xdr:to>
      <xdr:col>3</xdr:col>
      <xdr:colOff>251460</xdr:colOff>
      <xdr:row>60</xdr:row>
      <xdr:rowOff>45720</xdr:rowOff>
    </xdr:to>
    <xdr:sp macro="" textlink="">
      <xdr:nvSpPr>
        <xdr:cNvPr id="457867" name="Line 22">
          <a:extLst>
            <a:ext uri="{FF2B5EF4-FFF2-40B4-BE49-F238E27FC236}">
              <a16:creationId xmlns:a16="http://schemas.microsoft.com/office/drawing/2014/main" id="{436F590E-BF66-4682-9165-DC90D4A7DD5D}"/>
            </a:ext>
          </a:extLst>
        </xdr:cNvPr>
        <xdr:cNvSpPr>
          <a:spLocks noChangeShapeType="1"/>
        </xdr:cNvSpPr>
      </xdr:nvSpPr>
      <xdr:spPr bwMode="auto">
        <a:xfrm flipV="1">
          <a:off x="3208020" y="173888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23</xdr:row>
      <xdr:rowOff>220980</xdr:rowOff>
    </xdr:from>
    <xdr:to>
      <xdr:col>3</xdr:col>
      <xdr:colOff>251460</xdr:colOff>
      <xdr:row>24</xdr:row>
      <xdr:rowOff>38100</xdr:rowOff>
    </xdr:to>
    <xdr:sp macro="" textlink="">
      <xdr:nvSpPr>
        <xdr:cNvPr id="457868" name="Line 24">
          <a:extLst>
            <a:ext uri="{FF2B5EF4-FFF2-40B4-BE49-F238E27FC236}">
              <a16:creationId xmlns:a16="http://schemas.microsoft.com/office/drawing/2014/main" id="{C1DD893A-1AC0-43ED-9F59-11B62F32C6B7}"/>
            </a:ext>
          </a:extLst>
        </xdr:cNvPr>
        <xdr:cNvSpPr>
          <a:spLocks noChangeShapeType="1"/>
        </xdr:cNvSpPr>
      </xdr:nvSpPr>
      <xdr:spPr bwMode="auto">
        <a:xfrm>
          <a:off x="3208020" y="66903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21</xdr:row>
      <xdr:rowOff>220980</xdr:rowOff>
    </xdr:from>
    <xdr:to>
      <xdr:col>3</xdr:col>
      <xdr:colOff>251460</xdr:colOff>
      <xdr:row>22</xdr:row>
      <xdr:rowOff>38100</xdr:rowOff>
    </xdr:to>
    <xdr:sp macro="" textlink="">
      <xdr:nvSpPr>
        <xdr:cNvPr id="457869" name="Line 25">
          <a:extLst>
            <a:ext uri="{FF2B5EF4-FFF2-40B4-BE49-F238E27FC236}">
              <a16:creationId xmlns:a16="http://schemas.microsoft.com/office/drawing/2014/main" id="{2440A928-F0CF-4388-B934-DD7DDF960122}"/>
            </a:ext>
          </a:extLst>
        </xdr:cNvPr>
        <xdr:cNvSpPr>
          <a:spLocks noChangeShapeType="1"/>
        </xdr:cNvSpPr>
      </xdr:nvSpPr>
      <xdr:spPr bwMode="auto">
        <a:xfrm>
          <a:off x="3208020" y="60655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32</xdr:row>
      <xdr:rowOff>220980</xdr:rowOff>
    </xdr:from>
    <xdr:to>
      <xdr:col>3</xdr:col>
      <xdr:colOff>251460</xdr:colOff>
      <xdr:row>33</xdr:row>
      <xdr:rowOff>38100</xdr:rowOff>
    </xdr:to>
    <xdr:sp macro="" textlink="">
      <xdr:nvSpPr>
        <xdr:cNvPr id="457870" name="Line 26">
          <a:extLst>
            <a:ext uri="{FF2B5EF4-FFF2-40B4-BE49-F238E27FC236}">
              <a16:creationId xmlns:a16="http://schemas.microsoft.com/office/drawing/2014/main" id="{CD8A4DFA-CE0F-4895-A3DD-6904B4B9E808}"/>
            </a:ext>
          </a:extLst>
        </xdr:cNvPr>
        <xdr:cNvSpPr>
          <a:spLocks noChangeShapeType="1"/>
        </xdr:cNvSpPr>
      </xdr:nvSpPr>
      <xdr:spPr bwMode="auto">
        <a:xfrm>
          <a:off x="3208020" y="94183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47</xdr:row>
      <xdr:rowOff>220980</xdr:rowOff>
    </xdr:from>
    <xdr:to>
      <xdr:col>3</xdr:col>
      <xdr:colOff>251460</xdr:colOff>
      <xdr:row>48</xdr:row>
      <xdr:rowOff>38100</xdr:rowOff>
    </xdr:to>
    <xdr:sp macro="" textlink="">
      <xdr:nvSpPr>
        <xdr:cNvPr id="457871" name="Line 27">
          <a:extLst>
            <a:ext uri="{FF2B5EF4-FFF2-40B4-BE49-F238E27FC236}">
              <a16:creationId xmlns:a16="http://schemas.microsoft.com/office/drawing/2014/main" id="{69C6E941-0C76-4205-AFE7-3BEEF360480A}"/>
            </a:ext>
          </a:extLst>
        </xdr:cNvPr>
        <xdr:cNvSpPr>
          <a:spLocks noChangeShapeType="1"/>
        </xdr:cNvSpPr>
      </xdr:nvSpPr>
      <xdr:spPr bwMode="auto">
        <a:xfrm flipV="1">
          <a:off x="3208020" y="138226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49</xdr:row>
      <xdr:rowOff>259080</xdr:rowOff>
    </xdr:from>
    <xdr:to>
      <xdr:col>3</xdr:col>
      <xdr:colOff>251460</xdr:colOff>
      <xdr:row>50</xdr:row>
      <xdr:rowOff>76200</xdr:rowOff>
    </xdr:to>
    <xdr:sp macro="" textlink="">
      <xdr:nvSpPr>
        <xdr:cNvPr id="457872" name="Line 28">
          <a:extLst>
            <a:ext uri="{FF2B5EF4-FFF2-40B4-BE49-F238E27FC236}">
              <a16:creationId xmlns:a16="http://schemas.microsoft.com/office/drawing/2014/main" id="{97E83D3F-272E-46BE-B3A1-E0A4AD7596DC}"/>
            </a:ext>
          </a:extLst>
        </xdr:cNvPr>
        <xdr:cNvSpPr>
          <a:spLocks noChangeShapeType="1"/>
        </xdr:cNvSpPr>
      </xdr:nvSpPr>
      <xdr:spPr bwMode="auto">
        <a:xfrm>
          <a:off x="3208020" y="144856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68</xdr:row>
      <xdr:rowOff>220980</xdr:rowOff>
    </xdr:from>
    <xdr:to>
      <xdr:col>3</xdr:col>
      <xdr:colOff>251460</xdr:colOff>
      <xdr:row>69</xdr:row>
      <xdr:rowOff>45720</xdr:rowOff>
    </xdr:to>
    <xdr:sp macro="" textlink="">
      <xdr:nvSpPr>
        <xdr:cNvPr id="457873" name="Line 29">
          <a:extLst>
            <a:ext uri="{FF2B5EF4-FFF2-40B4-BE49-F238E27FC236}">
              <a16:creationId xmlns:a16="http://schemas.microsoft.com/office/drawing/2014/main" id="{D9B20057-F622-4DCA-B475-8726268E7E54}"/>
            </a:ext>
          </a:extLst>
        </xdr:cNvPr>
        <xdr:cNvSpPr>
          <a:spLocks noChangeShapeType="1"/>
        </xdr:cNvSpPr>
      </xdr:nvSpPr>
      <xdr:spPr bwMode="auto">
        <a:xfrm flipV="1">
          <a:off x="3208020" y="200558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65</xdr:row>
      <xdr:rowOff>220980</xdr:rowOff>
    </xdr:from>
    <xdr:to>
      <xdr:col>3</xdr:col>
      <xdr:colOff>251460</xdr:colOff>
      <xdr:row>66</xdr:row>
      <xdr:rowOff>45720</xdr:rowOff>
    </xdr:to>
    <xdr:sp macro="" textlink="">
      <xdr:nvSpPr>
        <xdr:cNvPr id="457874" name="Line 30">
          <a:extLst>
            <a:ext uri="{FF2B5EF4-FFF2-40B4-BE49-F238E27FC236}">
              <a16:creationId xmlns:a16="http://schemas.microsoft.com/office/drawing/2014/main" id="{E8ED0DE8-2DA4-4BA2-8B2C-0A4FFE3B2C58}"/>
            </a:ext>
          </a:extLst>
        </xdr:cNvPr>
        <xdr:cNvSpPr>
          <a:spLocks noChangeShapeType="1"/>
        </xdr:cNvSpPr>
      </xdr:nvSpPr>
      <xdr:spPr bwMode="auto">
        <a:xfrm flipV="1">
          <a:off x="3208020" y="192176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77</xdr:row>
      <xdr:rowOff>259080</xdr:rowOff>
    </xdr:from>
    <xdr:to>
      <xdr:col>3</xdr:col>
      <xdr:colOff>251460</xdr:colOff>
      <xdr:row>78</xdr:row>
      <xdr:rowOff>83820</xdr:rowOff>
    </xdr:to>
    <xdr:sp macro="" textlink="">
      <xdr:nvSpPr>
        <xdr:cNvPr id="457875" name="Line 31">
          <a:extLst>
            <a:ext uri="{FF2B5EF4-FFF2-40B4-BE49-F238E27FC236}">
              <a16:creationId xmlns:a16="http://schemas.microsoft.com/office/drawing/2014/main" id="{C82A0AEC-C397-4347-8DC2-23C3AF4A2870}"/>
            </a:ext>
          </a:extLst>
        </xdr:cNvPr>
        <xdr:cNvSpPr>
          <a:spLocks noChangeShapeType="1"/>
        </xdr:cNvSpPr>
      </xdr:nvSpPr>
      <xdr:spPr bwMode="auto">
        <a:xfrm>
          <a:off x="3208020" y="228066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79</xdr:row>
      <xdr:rowOff>259080</xdr:rowOff>
    </xdr:from>
    <xdr:to>
      <xdr:col>3</xdr:col>
      <xdr:colOff>251460</xdr:colOff>
      <xdr:row>80</xdr:row>
      <xdr:rowOff>83820</xdr:rowOff>
    </xdr:to>
    <xdr:sp macro="" textlink="">
      <xdr:nvSpPr>
        <xdr:cNvPr id="36" name="Line 31">
          <a:extLst>
            <a:ext uri="{FF2B5EF4-FFF2-40B4-BE49-F238E27FC236}">
              <a16:creationId xmlns:a16="http://schemas.microsoft.com/office/drawing/2014/main" id="{B45F54BF-EF21-472D-8E6B-D15A4B3238AC}"/>
            </a:ext>
          </a:extLst>
        </xdr:cNvPr>
        <xdr:cNvSpPr>
          <a:spLocks noChangeShapeType="1"/>
        </xdr:cNvSpPr>
      </xdr:nvSpPr>
      <xdr:spPr bwMode="auto">
        <a:xfrm>
          <a:off x="3208020" y="228066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57"/>
  <sheetViews>
    <sheetView zoomScale="98" zoomScaleNormal="98" workbookViewId="0"/>
  </sheetViews>
  <sheetFormatPr defaultColWidth="9" defaultRowHeight="12" x14ac:dyDescent="0.2"/>
  <cols>
    <col min="1" max="1" width="24.6640625" style="76" customWidth="1"/>
    <col min="2" max="2" width="6.88671875" style="77" customWidth="1"/>
    <col min="3" max="21" width="9" style="76"/>
    <col min="22" max="22" width="1.21875" style="31" customWidth="1"/>
    <col min="23" max="38" width="10" style="31" customWidth="1"/>
    <col min="39" max="16384" width="9" style="31"/>
  </cols>
  <sheetData>
    <row r="1" spans="1:38" ht="14.4" x14ac:dyDescent="0.2">
      <c r="A1" s="75" t="s">
        <v>308</v>
      </c>
    </row>
    <row r="2" spans="1:38" ht="14.4" x14ac:dyDescent="0.2">
      <c r="A2" s="153" t="str">
        <f>BS!A2</f>
        <v>３１　輸送用機械器具製造業</v>
      </c>
    </row>
    <row r="3" spans="1:38" x14ac:dyDescent="0.2">
      <c r="A3" s="78"/>
      <c r="B3" s="79"/>
      <c r="C3" s="111" t="s">
        <v>534</v>
      </c>
      <c r="D3" s="111" t="s">
        <v>527</v>
      </c>
      <c r="E3" s="111" t="s">
        <v>528</v>
      </c>
      <c r="F3" s="111" t="s">
        <v>529</v>
      </c>
      <c r="G3" s="111" t="s">
        <v>530</v>
      </c>
      <c r="H3" s="111" t="s">
        <v>531</v>
      </c>
      <c r="I3" s="111" t="s">
        <v>510</v>
      </c>
      <c r="J3" s="111" t="s">
        <v>511</v>
      </c>
      <c r="K3" s="111" t="s">
        <v>515</v>
      </c>
      <c r="L3" s="111" t="s">
        <v>517</v>
      </c>
      <c r="M3" s="111" t="s">
        <v>535</v>
      </c>
      <c r="N3" s="111" t="s">
        <v>536</v>
      </c>
      <c r="O3" s="111" t="s">
        <v>539</v>
      </c>
      <c r="P3" s="111" t="s">
        <v>554</v>
      </c>
      <c r="Q3" s="111" t="s">
        <v>557</v>
      </c>
      <c r="R3" s="111" t="s">
        <v>559</v>
      </c>
      <c r="S3" s="111" t="s">
        <v>563</v>
      </c>
      <c r="T3" s="111" t="s">
        <v>576</v>
      </c>
      <c r="U3" s="111" t="s">
        <v>580</v>
      </c>
      <c r="W3" s="268"/>
      <c r="X3" s="269"/>
      <c r="Y3" s="269"/>
      <c r="Z3" s="269"/>
      <c r="AA3" s="269"/>
      <c r="AB3" s="269"/>
      <c r="AC3" s="269"/>
      <c r="AD3" s="270"/>
      <c r="AE3" s="268"/>
      <c r="AF3" s="269"/>
      <c r="AG3" s="269"/>
      <c r="AH3" s="269"/>
      <c r="AI3" s="269"/>
      <c r="AJ3" s="269"/>
      <c r="AK3" s="269"/>
      <c r="AL3" s="270"/>
    </row>
    <row r="4" spans="1:38" x14ac:dyDescent="0.2">
      <c r="A4" s="191" t="s">
        <v>322</v>
      </c>
      <c r="B4" s="189"/>
      <c r="C4" s="190"/>
      <c r="D4" s="190"/>
      <c r="E4" s="190"/>
      <c r="F4" s="190"/>
      <c r="G4" s="190"/>
      <c r="H4" s="190"/>
      <c r="I4" s="190"/>
      <c r="J4" s="190"/>
      <c r="K4" s="190"/>
      <c r="L4" s="190"/>
      <c r="M4" s="190"/>
      <c r="N4" s="190"/>
      <c r="O4" s="190"/>
      <c r="P4" s="190"/>
      <c r="Q4" s="190"/>
      <c r="R4" s="190"/>
      <c r="S4" s="190"/>
      <c r="T4" s="190"/>
      <c r="U4" s="192"/>
      <c r="W4" s="271"/>
      <c r="X4" s="272"/>
      <c r="Y4" s="272"/>
      <c r="Z4" s="272"/>
      <c r="AA4" s="272"/>
      <c r="AB4" s="272"/>
      <c r="AC4" s="272"/>
      <c r="AD4" s="273"/>
      <c r="AE4" s="271"/>
      <c r="AF4" s="272"/>
      <c r="AG4" s="272"/>
      <c r="AH4" s="272"/>
      <c r="AI4" s="272"/>
      <c r="AJ4" s="272"/>
      <c r="AK4" s="272"/>
      <c r="AL4" s="273"/>
    </row>
    <row r="5" spans="1:38" x14ac:dyDescent="0.2">
      <c r="A5" s="80" t="s">
        <v>310</v>
      </c>
      <c r="B5" s="81" t="s">
        <v>254</v>
      </c>
      <c r="C5" s="82">
        <f>+PL!K6</f>
        <v>1029049.49522639</v>
      </c>
      <c r="D5" s="82">
        <f>+PL!L6</f>
        <v>792640.34494420025</v>
      </c>
      <c r="E5" s="82">
        <f>+PL!M6</f>
        <v>833050.73016966193</v>
      </c>
      <c r="F5" s="82">
        <f>+PL!N6</f>
        <v>828064.26946642785</v>
      </c>
      <c r="G5" s="82">
        <f>+PL!O6</f>
        <v>801705.25557250518</v>
      </c>
      <c r="H5" s="82">
        <f>+PL!P6</f>
        <v>921991.9329220308</v>
      </c>
      <c r="I5" s="82">
        <f>+PL!Q6</f>
        <v>659762.64689240814</v>
      </c>
      <c r="J5" s="82">
        <f>+PL!R6</f>
        <v>597586.81870825472</v>
      </c>
      <c r="K5" s="82">
        <f>+PL!S6</f>
        <v>562143.89223713661</v>
      </c>
      <c r="L5" s="82">
        <f>+PL!T6</f>
        <v>402169.91237123299</v>
      </c>
      <c r="M5" s="82">
        <f>+PL!U6</f>
        <v>719477.8379323727</v>
      </c>
      <c r="N5" s="82">
        <f>+PL!V6</f>
        <v>757170.67634382402</v>
      </c>
      <c r="O5" s="82">
        <f>+PL!W6</f>
        <v>795826.45982916676</v>
      </c>
      <c r="P5" s="82">
        <f>+PL!X6</f>
        <v>760401.3575568971</v>
      </c>
      <c r="Q5" s="82">
        <f>+PL!Y6</f>
        <v>761109.14219733421</v>
      </c>
      <c r="R5" s="82">
        <f>+PL!Z6</f>
        <v>866085.58623589599</v>
      </c>
      <c r="S5" s="82">
        <f>+PL!AA6</f>
        <v>852533.48523351655</v>
      </c>
      <c r="T5" s="82">
        <f>+PL!AB6</f>
        <v>882915.58282472275</v>
      </c>
      <c r="U5" s="82">
        <f>+PL!AC6</f>
        <v>863588.18974490231</v>
      </c>
      <c r="W5" s="271"/>
      <c r="X5" s="272"/>
      <c r="Y5" s="272"/>
      <c r="Z5" s="272"/>
      <c r="AA5" s="272"/>
      <c r="AB5" s="272"/>
      <c r="AC5" s="272"/>
      <c r="AD5" s="273"/>
      <c r="AE5" s="271"/>
      <c r="AF5" s="272"/>
      <c r="AG5" s="272"/>
      <c r="AH5" s="272"/>
      <c r="AI5" s="272"/>
      <c r="AJ5" s="272"/>
      <c r="AK5" s="272"/>
      <c r="AL5" s="273"/>
    </row>
    <row r="6" spans="1:38" x14ac:dyDescent="0.2">
      <c r="A6" s="83" t="s">
        <v>345</v>
      </c>
      <c r="B6" s="84" t="s">
        <v>254</v>
      </c>
      <c r="C6" s="85">
        <f>PL!K9+PL!K10+PL!K12</f>
        <v>635793.81983174302</v>
      </c>
      <c r="D6" s="85">
        <f>PL!L9+PL!L10+PL!L12</f>
        <v>485517.33175515727</v>
      </c>
      <c r="E6" s="85">
        <f>PL!M9+PL!M10+PL!M12</f>
        <v>486759.77619867399</v>
      </c>
      <c r="F6" s="85">
        <f>PL!N9+PL!N10+PL!N12</f>
        <v>508144.09967176756</v>
      </c>
      <c r="G6" s="85">
        <f>PL!O9+PL!O10+PL!O12</f>
        <v>468889.64843161154</v>
      </c>
      <c r="H6" s="85">
        <f>PL!P9+PL!P10+PL!P12</f>
        <v>564931.42039382434</v>
      </c>
      <c r="I6" s="85">
        <f>PL!Q9+PL!Q10+PL!Q12</f>
        <v>395057.54970244813</v>
      </c>
      <c r="J6" s="85">
        <f>PL!R9+PL!R10+PL!R12</f>
        <v>329797.07442174992</v>
      </c>
      <c r="K6" s="85">
        <f>PL!S9+PL!S10+PL!S12</f>
        <v>335106.00078749686</v>
      </c>
      <c r="L6" s="85">
        <f>PL!T9+PL!T10+PL!T12</f>
        <v>209781.81950460331</v>
      </c>
      <c r="M6" s="85">
        <f>PL!U9+PL!U10+PL!U12</f>
        <v>415161.56302762032</v>
      </c>
      <c r="N6" s="85">
        <f>PL!V9+PL!V10+PL!V12</f>
        <v>444215.8509789072</v>
      </c>
      <c r="O6" s="85">
        <f>PL!W9+PL!W10+PL!W12</f>
        <v>483906.21294430626</v>
      </c>
      <c r="P6" s="85">
        <f>PL!X9+PL!X10+PL!X12</f>
        <v>422331.28975758096</v>
      </c>
      <c r="Q6" s="85">
        <f>PL!Y9+PL!Y10+PL!Y12</f>
        <v>431976.18943618046</v>
      </c>
      <c r="R6" s="85">
        <f>PL!Z9+PL!Z10+PL!Z12</f>
        <v>481138.21410023753</v>
      </c>
      <c r="S6" s="85">
        <f>PL!AA9+PL!AA10+PL!AA12</f>
        <v>483919.67299107148</v>
      </c>
      <c r="T6" s="85">
        <f>PL!AB9+PL!AB10+PL!AB12</f>
        <v>479279.45817931741</v>
      </c>
      <c r="U6" s="85">
        <f>PL!AC9+PL!AC10+PL!AC12</f>
        <v>488937.16031055379</v>
      </c>
      <c r="W6" s="271"/>
      <c r="X6" s="272"/>
      <c r="Y6" s="272"/>
      <c r="Z6" s="272"/>
      <c r="AA6" s="272"/>
      <c r="AB6" s="272"/>
      <c r="AC6" s="272"/>
      <c r="AD6" s="273"/>
      <c r="AE6" s="271"/>
      <c r="AF6" s="272"/>
      <c r="AG6" s="272"/>
      <c r="AH6" s="272"/>
      <c r="AI6" s="272"/>
      <c r="AJ6" s="272"/>
      <c r="AK6" s="272"/>
      <c r="AL6" s="273"/>
    </row>
    <row r="7" spans="1:38" x14ac:dyDescent="0.2">
      <c r="A7" s="83" t="s">
        <v>346</v>
      </c>
      <c r="B7" s="84" t="s">
        <v>254</v>
      </c>
      <c r="C7" s="85">
        <f>+PL!K11+PL!K17</f>
        <v>201253.961622081</v>
      </c>
      <c r="D7" s="85">
        <f>+PL!L11+PL!L17</f>
        <v>182534.66351031454</v>
      </c>
      <c r="E7" s="85">
        <f>+PL!M11+PL!M17</f>
        <v>177960.82364090846</v>
      </c>
      <c r="F7" s="85">
        <f>+PL!N11+PL!N17</f>
        <v>161774.60825586933</v>
      </c>
      <c r="G7" s="85">
        <f>+PL!O11+PL!O17</f>
        <v>170123.21527709399</v>
      </c>
      <c r="H7" s="85">
        <f>+PL!P11+PL!P17</f>
        <v>183662.71915277658</v>
      </c>
      <c r="I7" s="85">
        <f>+PL!Q11+PL!Q17</f>
        <v>148075.98553870659</v>
      </c>
      <c r="J7" s="85">
        <f>+PL!R11+PL!R17</f>
        <v>130496.27985510934</v>
      </c>
      <c r="K7" s="85">
        <f>+PL!S11+PL!S17</f>
        <v>117311.16946395778</v>
      </c>
      <c r="L7" s="85">
        <f>+PL!T11+PL!T17</f>
        <v>112364.92897469609</v>
      </c>
      <c r="M7" s="85">
        <f>+PL!U11+PL!U17</f>
        <v>158598.80751740537</v>
      </c>
      <c r="N7" s="85">
        <f>+PL!V11+PL!V17</f>
        <v>157730.93865008079</v>
      </c>
      <c r="O7" s="85">
        <f>+PL!W11+PL!W17</f>
        <v>158402.00802716889</v>
      </c>
      <c r="P7" s="85">
        <f>+PL!X11+PL!X17</f>
        <v>176508.02640455723</v>
      </c>
      <c r="Q7" s="85">
        <f>+PL!Y11+PL!Y17</f>
        <v>176144.20654062269</v>
      </c>
      <c r="R7" s="85">
        <f>+PL!Z11+PL!Z17</f>
        <v>172738.69494702137</v>
      </c>
      <c r="S7" s="85">
        <f>+PL!AA11+PL!AA17</f>
        <v>164876.82099931317</v>
      </c>
      <c r="T7" s="85">
        <f>+PL!AB11+PL!AB17</f>
        <v>188582.17716840026</v>
      </c>
      <c r="U7" s="85">
        <f>+PL!AC11+PL!AC17</f>
        <v>174182.48084634417</v>
      </c>
      <c r="W7" s="271"/>
      <c r="X7" s="272"/>
      <c r="Y7" s="272"/>
      <c r="Z7" s="272"/>
      <c r="AA7" s="272"/>
      <c r="AB7" s="272"/>
      <c r="AC7" s="272"/>
      <c r="AD7" s="273"/>
      <c r="AE7" s="271"/>
      <c r="AF7" s="272"/>
      <c r="AG7" s="272"/>
      <c r="AH7" s="272"/>
      <c r="AI7" s="272"/>
      <c r="AJ7" s="272"/>
      <c r="AK7" s="272"/>
      <c r="AL7" s="273"/>
    </row>
    <row r="8" spans="1:38" x14ac:dyDescent="0.2">
      <c r="A8" s="83" t="s">
        <v>347</v>
      </c>
      <c r="B8" s="84" t="s">
        <v>254</v>
      </c>
      <c r="C8" s="85">
        <f>+PL!K13+PL!K14</f>
        <v>100615.140372436</v>
      </c>
      <c r="D8" s="85">
        <f>+PL!L13+PL!L14</f>
        <v>61932.110246871824</v>
      </c>
      <c r="E8" s="85">
        <f>+PL!M13+PL!M14</f>
        <v>80565.203875693536</v>
      </c>
      <c r="F8" s="85">
        <f>+PL!N13+PL!N14</f>
        <v>85220.258468716158</v>
      </c>
      <c r="G8" s="85">
        <f>+PL!O13+PL!O14</f>
        <v>92706.625505489224</v>
      </c>
      <c r="H8" s="85">
        <f>+PL!P13+PL!P14</f>
        <v>116169.0608650099</v>
      </c>
      <c r="I8" s="85">
        <f>+PL!Q13+PL!Q14</f>
        <v>81036.236297884607</v>
      </c>
      <c r="J8" s="85">
        <f>+PL!R13+PL!R14</f>
        <v>91565.000242230468</v>
      </c>
      <c r="K8" s="85">
        <f>+PL!S13+PL!S14</f>
        <v>56265.849816370392</v>
      </c>
      <c r="L8" s="85">
        <f>+PL!T13+PL!T14</f>
        <v>32885.740944872035</v>
      </c>
      <c r="M8" s="85">
        <f>+PL!U13+PL!U14</f>
        <v>81208.847976937439</v>
      </c>
      <c r="N8" s="85">
        <f>+PL!V13+PL!V14</f>
        <v>91239.552433447476</v>
      </c>
      <c r="O8" s="85">
        <f>+PL!W13+PL!W14</f>
        <v>92277.237164275488</v>
      </c>
      <c r="P8" s="85">
        <f>+PL!X13+PL!X14</f>
        <v>100106.03456471808</v>
      </c>
      <c r="Q8" s="85">
        <f>+PL!Y13+PL!Y14</f>
        <v>79638.531720965868</v>
      </c>
      <c r="R8" s="85">
        <f>+PL!Z13+PL!Z14</f>
        <v>134538.90936524418</v>
      </c>
      <c r="S8" s="85">
        <f>+PL!AA13+PL!AA14</f>
        <v>137768.09349244513</v>
      </c>
      <c r="T8" s="85">
        <f>+PL!AB13+PL!AB14</f>
        <v>156520.32966560664</v>
      </c>
      <c r="U8" s="85">
        <f>+PL!AC13+PL!AC14</f>
        <v>128823.75061854784</v>
      </c>
      <c r="W8" s="271"/>
      <c r="X8" s="272"/>
      <c r="Y8" s="272"/>
      <c r="Z8" s="272"/>
      <c r="AA8" s="272"/>
      <c r="AB8" s="272"/>
      <c r="AC8" s="272"/>
      <c r="AD8" s="273"/>
      <c r="AE8" s="271"/>
      <c r="AF8" s="272"/>
      <c r="AG8" s="272"/>
      <c r="AH8" s="272"/>
      <c r="AI8" s="272"/>
      <c r="AJ8" s="272"/>
      <c r="AK8" s="272"/>
      <c r="AL8" s="273"/>
    </row>
    <row r="9" spans="1:38" x14ac:dyDescent="0.2">
      <c r="A9" s="83" t="s">
        <v>348</v>
      </c>
      <c r="B9" s="84" t="s">
        <v>254</v>
      </c>
      <c r="C9" s="85">
        <f>+PL!K16-PL!K17</f>
        <v>57113.376500614002</v>
      </c>
      <c r="D9" s="85">
        <f>+PL!L16-PL!L17</f>
        <v>51012.428136624949</v>
      </c>
      <c r="E9" s="85">
        <f>+PL!M16-PL!M17</f>
        <v>58109.811345457798</v>
      </c>
      <c r="F9" s="85">
        <f>+PL!N16-PL!N17</f>
        <v>46429.984761980537</v>
      </c>
      <c r="G9" s="85">
        <f>+PL!O16-PL!O17</f>
        <v>48164.804820445046</v>
      </c>
      <c r="H9" s="85">
        <f>+PL!P16-PL!P17</f>
        <v>46613.67545129692</v>
      </c>
      <c r="I9" s="85">
        <f>+PL!Q16-PL!Q17</f>
        <v>41313.402791567853</v>
      </c>
      <c r="J9" s="85">
        <f>+PL!R16-PL!R17</f>
        <v>30156.160976858366</v>
      </c>
      <c r="K9" s="85">
        <f>+PL!S16-PL!S17</f>
        <v>38631.464208560596</v>
      </c>
      <c r="L9" s="85">
        <f>+PL!T16-PL!T17</f>
        <v>36208.141116190243</v>
      </c>
      <c r="M9" s="85">
        <f>+PL!U16-PL!U17</f>
        <v>40067.208417853493</v>
      </c>
      <c r="N9" s="85">
        <f>+PL!V16-PL!V17</f>
        <v>41209.374011391723</v>
      </c>
      <c r="O9" s="85">
        <f>+PL!W16-PL!W17</f>
        <v>42542.692447179747</v>
      </c>
      <c r="P9" s="85">
        <f>+PL!X16-PL!X17</f>
        <v>38075.733338394843</v>
      </c>
      <c r="Q9" s="85">
        <f>+PL!Y16-PL!Y17</f>
        <v>43824.015570129617</v>
      </c>
      <c r="R9" s="85">
        <f>+PL!Z16-PL!Z17</f>
        <v>52217.737934365738</v>
      </c>
      <c r="S9" s="85">
        <f>+PL!AA16-PL!AA17</f>
        <v>51052.196085164833</v>
      </c>
      <c r="T9" s="85">
        <f>+PL!AB16-PL!AB17</f>
        <v>52088.995615920227</v>
      </c>
      <c r="U9" s="85">
        <f>+PL!AC16-PL!AC17</f>
        <v>52605.782271137279</v>
      </c>
      <c r="W9" s="271"/>
      <c r="X9" s="272"/>
      <c r="Y9" s="272"/>
      <c r="Z9" s="272"/>
      <c r="AA9" s="272"/>
      <c r="AB9" s="272"/>
      <c r="AC9" s="272"/>
      <c r="AD9" s="273"/>
      <c r="AE9" s="271"/>
      <c r="AF9" s="272"/>
      <c r="AG9" s="272"/>
      <c r="AH9" s="272"/>
      <c r="AI9" s="272"/>
      <c r="AJ9" s="272"/>
      <c r="AK9" s="272"/>
      <c r="AL9" s="273"/>
    </row>
    <row r="10" spans="1:38" x14ac:dyDescent="0.2">
      <c r="A10" s="83" t="s">
        <v>69</v>
      </c>
      <c r="B10" s="84" t="s">
        <v>254</v>
      </c>
      <c r="C10" s="85">
        <f>+PL!K42</f>
        <v>34273.196899514995</v>
      </c>
      <c r="D10" s="85">
        <f>+PL!L42</f>
        <v>11643.895840378827</v>
      </c>
      <c r="E10" s="85">
        <f>+PL!M42</f>
        <v>29655.115108928643</v>
      </c>
      <c r="F10" s="85">
        <f>+PL!N42</f>
        <v>26495.318308094866</v>
      </c>
      <c r="G10" s="85">
        <f>+PL!O42</f>
        <v>21820.961537866504</v>
      </c>
      <c r="H10" s="85">
        <f>+PL!P42</f>
        <v>10615.057059120038</v>
      </c>
      <c r="I10" s="85">
        <f>+PL!Q42</f>
        <v>-5720.5274381988838</v>
      </c>
      <c r="J10" s="85">
        <f>+PL!R42</f>
        <v>15572.303212306466</v>
      </c>
      <c r="K10" s="85">
        <f>+PL!S42</f>
        <v>14829.407960750677</v>
      </c>
      <c r="L10" s="85">
        <f>+PL!T42</f>
        <v>10929.281830871134</v>
      </c>
      <c r="M10" s="85">
        <f>+PL!U42</f>
        <v>24441.410992555953</v>
      </c>
      <c r="N10" s="85">
        <f>+PL!V42</f>
        <v>22774.960269996802</v>
      </c>
      <c r="O10" s="85">
        <f>+PL!W42</f>
        <v>18698.309246235993</v>
      </c>
      <c r="P10" s="85">
        <f>+PL!X42</f>
        <v>23380.273491645799</v>
      </c>
      <c r="Q10" s="85">
        <f>+PL!Y42</f>
        <v>29526.198929435017</v>
      </c>
      <c r="R10" s="85">
        <f>+PL!Z42</f>
        <v>25452.029889026253</v>
      </c>
      <c r="S10" s="85">
        <f>+PL!AA42</f>
        <v>14916.701579670329</v>
      </c>
      <c r="T10" s="85">
        <f>+PL!AB42</f>
        <v>6444.6221954783796</v>
      </c>
      <c r="U10" s="85">
        <f>+PL!AC42</f>
        <v>19039.015698319257</v>
      </c>
      <c r="W10" s="271"/>
      <c r="X10" s="272"/>
      <c r="Y10" s="272"/>
      <c r="Z10" s="272"/>
      <c r="AA10" s="272"/>
      <c r="AB10" s="272"/>
      <c r="AC10" s="272"/>
      <c r="AD10" s="273"/>
      <c r="AE10" s="271"/>
      <c r="AF10" s="272"/>
      <c r="AG10" s="272"/>
      <c r="AH10" s="272"/>
      <c r="AI10" s="272"/>
      <c r="AJ10" s="272"/>
      <c r="AK10" s="272"/>
      <c r="AL10" s="273"/>
    </row>
    <row r="11" spans="1:38" x14ac:dyDescent="0.2">
      <c r="A11" s="86" t="s">
        <v>311</v>
      </c>
      <c r="B11" s="84" t="s">
        <v>254</v>
      </c>
      <c r="C11" s="87">
        <f>+PL!K34</f>
        <v>36680.219302391604</v>
      </c>
      <c r="D11" s="87">
        <f>+PL!L34</f>
        <v>23439.972945552923</v>
      </c>
      <c r="E11" s="87">
        <f>+PL!M34</f>
        <v>35253.252258014058</v>
      </c>
      <c r="F11" s="87">
        <f>+PL!N34</f>
        <v>29271.720821107461</v>
      </c>
      <c r="G11" s="87">
        <f>+PL!O34</f>
        <v>29607.704240969095</v>
      </c>
      <c r="H11" s="87">
        <f>+PL!P34</f>
        <v>13705.028982010861</v>
      </c>
      <c r="I11" s="87">
        <f>+PL!Q34</f>
        <v>2357.4660602179861</v>
      </c>
      <c r="J11" s="87">
        <f>+PL!R34</f>
        <v>18598.183865541032</v>
      </c>
      <c r="K11" s="87">
        <f>+PL!S34</f>
        <v>20601.110010521905</v>
      </c>
      <c r="L11" s="87">
        <f>+PL!T34</f>
        <v>15208.823254356255</v>
      </c>
      <c r="M11" s="87">
        <f>+PL!U34</f>
        <v>26669.231257427666</v>
      </c>
      <c r="N11" s="87">
        <f>+PL!V34</f>
        <v>28909.500117482617</v>
      </c>
      <c r="O11" s="87">
        <f>+PL!W34</f>
        <v>25667.52029935893</v>
      </c>
      <c r="P11" s="87">
        <f>+PL!X34</f>
        <v>27611.826477772567</v>
      </c>
      <c r="Q11" s="87">
        <f>+PL!Y34</f>
        <v>34772.061526559577</v>
      </c>
      <c r="R11" s="87">
        <f>+PL!Z34</f>
        <v>33208.697255198298</v>
      </c>
      <c r="S11" s="87">
        <f>+PL!AA34</f>
        <v>25361.665436126372</v>
      </c>
      <c r="T11" s="87">
        <f>+PL!AB34</f>
        <v>22049.530043840798</v>
      </c>
      <c r="U11" s="87">
        <f>+PL!AC34</f>
        <v>31664.228478798741</v>
      </c>
      <c r="W11" s="271"/>
      <c r="X11" s="272"/>
      <c r="Y11" s="272"/>
      <c r="Z11" s="272"/>
      <c r="AA11" s="272"/>
      <c r="AB11" s="272"/>
      <c r="AC11" s="272"/>
      <c r="AD11" s="273"/>
      <c r="AE11" s="271"/>
      <c r="AF11" s="272"/>
      <c r="AG11" s="272"/>
      <c r="AH11" s="272"/>
      <c r="AI11" s="272"/>
      <c r="AJ11" s="272"/>
      <c r="AK11" s="272"/>
      <c r="AL11" s="273"/>
    </row>
    <row r="12" spans="1:38" x14ac:dyDescent="0.2">
      <c r="A12" s="88" t="s">
        <v>312</v>
      </c>
      <c r="B12" s="89" t="s">
        <v>254</v>
      </c>
      <c r="C12" s="90">
        <f>+PL!K38</f>
        <v>18320.843179884701</v>
      </c>
      <c r="D12" s="90">
        <f>+PL!L38</f>
        <v>13954.599256002704</v>
      </c>
      <c r="E12" s="90">
        <f>+PL!M38</f>
        <v>16791.532730697661</v>
      </c>
      <c r="F12" s="90">
        <f>+PL!N38</f>
        <v>17066.42728697725</v>
      </c>
      <c r="G12" s="90">
        <f>+PL!O38</f>
        <v>14347.263632501921</v>
      </c>
      <c r="H12" s="90">
        <f>+PL!P38</f>
        <v>3336.344587106295</v>
      </c>
      <c r="I12" s="90">
        <f>+PL!Q38</f>
        <v>-3787.4927325674339</v>
      </c>
      <c r="J12" s="90">
        <f>+PL!R38</f>
        <v>8943.8958575843117</v>
      </c>
      <c r="K12" s="90">
        <f>+PL!S38</f>
        <v>9741.340224918873</v>
      </c>
      <c r="L12" s="90">
        <f>+PL!T38</f>
        <v>6788.3790503388864</v>
      </c>
      <c r="M12" s="90">
        <f>+PL!U38</f>
        <v>13634.560437288017</v>
      </c>
      <c r="N12" s="90">
        <f>+PL!V38</f>
        <v>14688.782980817279</v>
      </c>
      <c r="O12" s="90">
        <f>+PL!W38</f>
        <v>15268.957590105378</v>
      </c>
      <c r="P12" s="90">
        <f>+PL!X38</f>
        <v>17681.423167918401</v>
      </c>
      <c r="Q12" s="90">
        <f>+PL!Y38</f>
        <v>21167.97179714057</v>
      </c>
      <c r="R12" s="90">
        <f>+PL!Z38</f>
        <v>20386.951280725621</v>
      </c>
      <c r="S12" s="90">
        <f>+PL!AA38</f>
        <v>20336.771033653848</v>
      </c>
      <c r="T12" s="90">
        <f>+PL!AB38</f>
        <v>8776.397833748817</v>
      </c>
      <c r="U12" s="90">
        <f>+PL!AC38</f>
        <v>20806.53212183261</v>
      </c>
      <c r="W12" s="271"/>
      <c r="X12" s="272"/>
      <c r="Y12" s="272"/>
      <c r="Z12" s="272"/>
      <c r="AA12" s="272"/>
      <c r="AB12" s="272"/>
      <c r="AC12" s="272"/>
      <c r="AD12" s="273"/>
      <c r="AE12" s="271"/>
      <c r="AF12" s="272"/>
      <c r="AG12" s="272"/>
      <c r="AH12" s="272"/>
      <c r="AI12" s="272"/>
      <c r="AJ12" s="272"/>
      <c r="AK12" s="272"/>
      <c r="AL12" s="273"/>
    </row>
    <row r="13" spans="1:38" x14ac:dyDescent="0.2">
      <c r="A13" s="78" t="s">
        <v>317</v>
      </c>
      <c r="B13" s="79" t="s">
        <v>318</v>
      </c>
      <c r="C13" s="102">
        <f>+PL!K5</f>
        <v>48.160412137252997</v>
      </c>
      <c r="D13" s="102">
        <f>+PL!L5</f>
        <v>38.315776124450458</v>
      </c>
      <c r="E13" s="102">
        <f>+PL!M5</f>
        <v>44.019508482865284</v>
      </c>
      <c r="F13" s="102">
        <f>+PL!N5</f>
        <v>43.014104643464172</v>
      </c>
      <c r="G13" s="102">
        <f>+PL!O5</f>
        <v>37.965076794494827</v>
      </c>
      <c r="H13" s="102">
        <f>+PL!P5</f>
        <v>32.937291479925882</v>
      </c>
      <c r="I13" s="102">
        <f>+PL!Q5</f>
        <v>37.163617331832747</v>
      </c>
      <c r="J13" s="102">
        <f>+PL!R5</f>
        <v>30.345849549710508</v>
      </c>
      <c r="K13" s="102">
        <f>+PL!S5</f>
        <v>31.238261648634641</v>
      </c>
      <c r="L13" s="102">
        <f>+PL!T5</f>
        <v>30.078817816632025</v>
      </c>
      <c r="M13" s="102">
        <f>+PL!U5</f>
        <v>34.362096789145831</v>
      </c>
      <c r="N13" s="102">
        <f>+PL!V5</f>
        <v>35.008334185759139</v>
      </c>
      <c r="O13" s="102">
        <f>+PL!W5</f>
        <v>35.220515816685051</v>
      </c>
      <c r="P13" s="102">
        <f>+PL!X5</f>
        <v>34.977176696166516</v>
      </c>
      <c r="Q13" s="102">
        <f>+PL!Y5</f>
        <v>37.679255544149747</v>
      </c>
      <c r="R13" s="102">
        <f>+PL!Z5</f>
        <v>39.554207210656429</v>
      </c>
      <c r="S13" s="102">
        <f>+PL!AA5</f>
        <v>38.318938873626372</v>
      </c>
      <c r="T13" s="102">
        <f>+PL!AB5</f>
        <v>40.571305768073586</v>
      </c>
      <c r="U13" s="102">
        <f>+PL!AC5</f>
        <v>39.521201262690894</v>
      </c>
      <c r="W13" s="271"/>
      <c r="X13" s="272"/>
      <c r="Y13" s="272"/>
      <c r="Z13" s="272"/>
      <c r="AA13" s="272"/>
      <c r="AB13" s="272"/>
      <c r="AC13" s="272"/>
      <c r="AD13" s="273"/>
      <c r="AE13" s="271"/>
      <c r="AF13" s="272"/>
      <c r="AG13" s="272"/>
      <c r="AH13" s="272"/>
      <c r="AI13" s="272"/>
      <c r="AJ13" s="272"/>
      <c r="AK13" s="272"/>
      <c r="AL13" s="273"/>
    </row>
    <row r="14" spans="1:38" x14ac:dyDescent="0.2">
      <c r="A14" s="191" t="s">
        <v>323</v>
      </c>
      <c r="B14" s="189"/>
      <c r="C14" s="193"/>
      <c r="D14" s="193"/>
      <c r="E14" s="193"/>
      <c r="F14" s="193"/>
      <c r="G14" s="193"/>
      <c r="H14" s="193"/>
      <c r="I14" s="193"/>
      <c r="J14" s="193"/>
      <c r="K14" s="193"/>
      <c r="L14" s="193"/>
      <c r="M14" s="193"/>
      <c r="N14" s="190"/>
      <c r="O14" s="190"/>
      <c r="P14" s="192"/>
      <c r="Q14" s="192"/>
      <c r="R14" s="192"/>
      <c r="S14" s="192"/>
      <c r="T14" s="192"/>
      <c r="U14" s="192"/>
      <c r="W14" s="271"/>
      <c r="X14" s="272"/>
      <c r="Y14" s="272"/>
      <c r="Z14" s="272"/>
      <c r="AA14" s="272"/>
      <c r="AB14" s="272"/>
      <c r="AC14" s="272"/>
      <c r="AD14" s="273"/>
      <c r="AE14" s="271"/>
      <c r="AF14" s="272"/>
      <c r="AG14" s="272"/>
      <c r="AH14" s="272"/>
      <c r="AI14" s="272"/>
      <c r="AJ14" s="272"/>
      <c r="AK14" s="272"/>
      <c r="AL14" s="273"/>
    </row>
    <row r="15" spans="1:38" x14ac:dyDescent="0.2">
      <c r="A15" s="80" t="s">
        <v>319</v>
      </c>
      <c r="B15" s="81" t="s">
        <v>254</v>
      </c>
      <c r="C15" s="82">
        <f>+BS!K9</f>
        <v>390947.06493997504</v>
      </c>
      <c r="D15" s="82">
        <f>+BS!L9</f>
        <v>301965.4210348326</v>
      </c>
      <c r="E15" s="82">
        <f>+BS!M9</f>
        <v>370021.89614982513</v>
      </c>
      <c r="F15" s="82">
        <f>+BS!N9</f>
        <v>341836.69423232094</v>
      </c>
      <c r="G15" s="82">
        <f>+BS!O9</f>
        <v>352637.97440373432</v>
      </c>
      <c r="H15" s="82">
        <f>+BS!P9</f>
        <v>296573.21714922198</v>
      </c>
      <c r="I15" s="82">
        <f>+BS!Q9</f>
        <v>309756.55278427625</v>
      </c>
      <c r="J15" s="82">
        <f>+BS!R9</f>
        <v>258716.35833419982</v>
      </c>
      <c r="K15" s="82">
        <f>+BS!S9</f>
        <v>267997.19119345682</v>
      </c>
      <c r="L15" s="82">
        <f>+BS!T9</f>
        <v>185642.07613785306</v>
      </c>
      <c r="M15" s="82">
        <f>+BS!U9</f>
        <v>293638.26315598952</v>
      </c>
      <c r="N15" s="82">
        <f>+BS!V9</f>
        <v>325955.03250365512</v>
      </c>
      <c r="O15" s="82">
        <f>+BS!W9</f>
        <v>303150.5169793407</v>
      </c>
      <c r="P15" s="82">
        <f>+BS!X9</f>
        <v>329079.77436831244</v>
      </c>
      <c r="Q15" s="82">
        <f>+BS!Y9</f>
        <v>354005.64275153837</v>
      </c>
      <c r="R15" s="82">
        <f>+BS!Z9</f>
        <v>384914.80772028764</v>
      </c>
      <c r="S15" s="82">
        <f>+BS!AA9</f>
        <v>473910.76373626379</v>
      </c>
      <c r="T15" s="82">
        <f>+BS!AB9</f>
        <v>443628.72620992007</v>
      </c>
      <c r="U15" s="82">
        <f>+BS!AC9</f>
        <v>428019.4423683986</v>
      </c>
      <c r="W15" s="271"/>
      <c r="X15" s="272"/>
      <c r="Y15" s="272"/>
      <c r="Z15" s="272"/>
      <c r="AA15" s="272"/>
      <c r="AB15" s="272"/>
      <c r="AC15" s="272"/>
      <c r="AD15" s="273"/>
      <c r="AE15" s="271"/>
      <c r="AF15" s="272"/>
      <c r="AG15" s="272"/>
      <c r="AH15" s="272"/>
      <c r="AI15" s="272"/>
      <c r="AJ15" s="272"/>
      <c r="AK15" s="272"/>
      <c r="AL15" s="273"/>
    </row>
    <row r="16" spans="1:38" x14ac:dyDescent="0.2">
      <c r="A16" s="86" t="s">
        <v>320</v>
      </c>
      <c r="B16" s="84" t="s">
        <v>254</v>
      </c>
      <c r="C16" s="87">
        <f>+BS!K15</f>
        <v>340922.58247471403</v>
      </c>
      <c r="D16" s="87">
        <f>+BS!L15</f>
        <v>290894.91038214409</v>
      </c>
      <c r="E16" s="87">
        <f>+BS!M15</f>
        <v>314912.03655108716</v>
      </c>
      <c r="F16" s="87">
        <f>+BS!N15</f>
        <v>227991.84271681667</v>
      </c>
      <c r="G16" s="87">
        <f>+BS!O15</f>
        <v>283619.64463044232</v>
      </c>
      <c r="H16" s="87">
        <f>+BS!P15</f>
        <v>344632.65972943947</v>
      </c>
      <c r="I16" s="87">
        <f>+BS!Q15</f>
        <v>299696.02276924497</v>
      </c>
      <c r="J16" s="87">
        <f>+BS!R15</f>
        <v>190051.90290246147</v>
      </c>
      <c r="K16" s="87">
        <f>+BS!S15</f>
        <v>194638.81078006912</v>
      </c>
      <c r="L16" s="87">
        <f>+BS!T15</f>
        <v>175738.48785882795</v>
      </c>
      <c r="M16" s="87">
        <f>+BS!U15</f>
        <v>282533.72091865877</v>
      </c>
      <c r="N16" s="87">
        <f>+BS!V15</f>
        <v>279050.50936653023</v>
      </c>
      <c r="O16" s="87">
        <f>+BS!W15</f>
        <v>289570.37651678827</v>
      </c>
      <c r="P16" s="87">
        <f>+BS!X15</f>
        <v>261550.16193262357</v>
      </c>
      <c r="Q16" s="87">
        <f>+BS!Y15</f>
        <v>328032.95488321257</v>
      </c>
      <c r="R16" s="87">
        <f>+BS!Z15</f>
        <v>344403.41255524522</v>
      </c>
      <c r="S16" s="87">
        <f>+BS!AA15</f>
        <v>508259.97982486262</v>
      </c>
      <c r="T16" s="87">
        <f>+BS!AB15</f>
        <v>423793.72242757672</v>
      </c>
      <c r="U16" s="87">
        <f>+BS!AC15</f>
        <v>358953.73500554566</v>
      </c>
      <c r="W16" s="271"/>
      <c r="X16" s="272"/>
      <c r="Y16" s="272"/>
      <c r="Z16" s="272"/>
      <c r="AA16" s="272"/>
      <c r="AB16" s="272"/>
      <c r="AC16" s="272"/>
      <c r="AD16" s="273"/>
      <c r="AE16" s="271"/>
      <c r="AF16" s="272"/>
      <c r="AG16" s="272"/>
      <c r="AH16" s="272"/>
      <c r="AI16" s="272"/>
      <c r="AJ16" s="272"/>
      <c r="AK16" s="272"/>
      <c r="AL16" s="273"/>
    </row>
    <row r="17" spans="1:38" x14ac:dyDescent="0.2">
      <c r="A17" s="86" t="s">
        <v>321</v>
      </c>
      <c r="B17" s="84" t="s">
        <v>254</v>
      </c>
      <c r="C17" s="87">
        <f>+BS!K30</f>
        <v>520728.51876358798</v>
      </c>
      <c r="D17" s="87">
        <f>+BS!L30</f>
        <v>446311.88704768347</v>
      </c>
      <c r="E17" s="87">
        <f>+BS!M30</f>
        <v>458771.15654686326</v>
      </c>
      <c r="F17" s="87">
        <f>+BS!N30</f>
        <v>374702.80721825256</v>
      </c>
      <c r="G17" s="87">
        <f>+BS!O30</f>
        <v>442059.43592262862</v>
      </c>
      <c r="H17" s="87">
        <f>+BS!P30</f>
        <v>429457.43187975901</v>
      </c>
      <c r="I17" s="87">
        <f>+BS!Q30</f>
        <v>380578.66135242622</v>
      </c>
      <c r="J17" s="87">
        <f>+BS!R30</f>
        <v>287220.64009497169</v>
      </c>
      <c r="K17" s="87">
        <f>+BS!S30</f>
        <v>296725.01619133825</v>
      </c>
      <c r="L17" s="87">
        <f>+BS!T30</f>
        <v>237957.02805191869</v>
      </c>
      <c r="M17" s="87">
        <f>+BS!U30</f>
        <v>363454.12242493301</v>
      </c>
      <c r="N17" s="87">
        <f>+BS!V30</f>
        <v>376325.98483355221</v>
      </c>
      <c r="O17" s="87">
        <f>+BS!W30</f>
        <v>376063.90148686041</v>
      </c>
      <c r="P17" s="87">
        <f>+BS!X30</f>
        <v>344464.14810541505</v>
      </c>
      <c r="Q17" s="87">
        <f>+BS!Y30</f>
        <v>399056.14283469913</v>
      </c>
      <c r="R17" s="87">
        <f>+BS!Z30</f>
        <v>411314.77763462864</v>
      </c>
      <c r="S17" s="87">
        <f>+BS!AA30</f>
        <v>517350.40873969777</v>
      </c>
      <c r="T17" s="87">
        <f>+BS!AB30</f>
        <v>498369.84079773061</v>
      </c>
      <c r="U17" s="87">
        <f>+BS!AC30</f>
        <v>460032.87031823228</v>
      </c>
      <c r="W17" s="271"/>
      <c r="X17" s="272"/>
      <c r="Y17" s="272"/>
      <c r="Z17" s="272"/>
      <c r="AA17" s="272"/>
      <c r="AB17" s="272"/>
      <c r="AC17" s="272"/>
      <c r="AD17" s="273"/>
      <c r="AE17" s="271"/>
      <c r="AF17" s="272"/>
      <c r="AG17" s="272"/>
      <c r="AH17" s="272"/>
      <c r="AI17" s="272"/>
      <c r="AJ17" s="272"/>
      <c r="AK17" s="272"/>
      <c r="AL17" s="273"/>
    </row>
    <row r="18" spans="1:38" x14ac:dyDescent="0.2">
      <c r="A18" s="93" t="s">
        <v>344</v>
      </c>
      <c r="B18" s="84" t="s">
        <v>254</v>
      </c>
      <c r="C18" s="94">
        <f>+BS!K33+BS!K34+BS!K38+BS!K39+BS!K40</f>
        <v>260591.07666131022</v>
      </c>
      <c r="D18" s="94">
        <f>+BS!L33+BS!L34+BS!L38+BS!L39+BS!L40</f>
        <v>200565.18430842072</v>
      </c>
      <c r="E18" s="94">
        <f>+BS!M33+BS!M34+BS!M38+BS!M39+BS!M40</f>
        <v>239563.12268368731</v>
      </c>
      <c r="F18" s="94">
        <f>+BS!N33+BS!N34+BS!N38+BS!N39+BS!N40</f>
        <v>175186.95064432808</v>
      </c>
      <c r="G18" s="94">
        <f>+BS!O33+BS!O34+BS!O38+BS!O39+BS!O40</f>
        <v>241031.01242685923</v>
      </c>
      <c r="H18" s="94">
        <f>+BS!P33+BS!P34+BS!P38+BS!P39+BS!P40</f>
        <v>268480.8586631426</v>
      </c>
      <c r="I18" s="94">
        <f>+BS!Q33+BS!Q34+BS!Q38+BS!Q39+BS!Q40</f>
        <v>228999.2889259434</v>
      </c>
      <c r="J18" s="94">
        <f>+BS!R33+BS!R34+BS!R38+BS!R39+BS!R40</f>
        <v>156984.90130966535</v>
      </c>
      <c r="K18" s="94">
        <f>+BS!S33+BS!S34+BS!S38+BS!S39+BS!S40</f>
        <v>169004.5396589681</v>
      </c>
      <c r="L18" s="94">
        <f>+BS!T33+BS!T34+BS!T38+BS!T39+BS!T40</f>
        <v>152480.2004169242</v>
      </c>
      <c r="M18" s="94">
        <f>+BS!U33+BS!U34+BS!U38+BS!U39+BS!U40</f>
        <v>188378.57470020265</v>
      </c>
      <c r="N18" s="94">
        <f>+BS!V33+BS!V34+BS!V38+BS!V39+BS!V40</f>
        <v>190742.54577898976</v>
      </c>
      <c r="O18" s="94">
        <f>+BS!W33+BS!W34+BS!W38+BS!W39+BS!W40</f>
        <v>193710.44784897027</v>
      </c>
      <c r="P18" s="94">
        <f>+BS!X33+BS!X34+BS!X38+BS!X39+BS!X40</f>
        <v>181863.4101061766</v>
      </c>
      <c r="Q18" s="94">
        <f>+BS!Y33+BS!Y34+BS!Y38+BS!Y39+BS!Y40</f>
        <v>199879.73152132216</v>
      </c>
      <c r="R18" s="94">
        <f>+BS!Z33+BS!Z34+BS!Z38+BS!Z39+BS!Z40</f>
        <v>223632.82679340313</v>
      </c>
      <c r="S18" s="94">
        <f>+BS!AA33+BS!AA34+BS!AA38+BS!AA39+BS!AA40</f>
        <v>279761.6334134615</v>
      </c>
      <c r="T18" s="94">
        <f>+BS!AB33+BS!AB34+BS!AB38+BS!AB39+BS!AB40</f>
        <v>285613.33688644378</v>
      </c>
      <c r="U18" s="94">
        <f>+BS!AC33+BS!AC34+BS!AC38+BS!AC39+BS!AC40</f>
        <v>260414.83312004092</v>
      </c>
      <c r="W18" s="271"/>
      <c r="X18" s="272"/>
      <c r="Y18" s="272"/>
      <c r="Z18" s="272"/>
      <c r="AA18" s="272"/>
      <c r="AB18" s="272"/>
      <c r="AC18" s="272"/>
      <c r="AD18" s="273"/>
      <c r="AE18" s="271"/>
      <c r="AF18" s="272"/>
      <c r="AG18" s="272"/>
      <c r="AH18" s="272"/>
      <c r="AI18" s="272"/>
      <c r="AJ18" s="272"/>
      <c r="AK18" s="272"/>
      <c r="AL18" s="273"/>
    </row>
    <row r="19" spans="1:38" x14ac:dyDescent="0.2">
      <c r="A19" s="88" t="s">
        <v>314</v>
      </c>
      <c r="B19" s="89" t="s">
        <v>254</v>
      </c>
      <c r="C19" s="90">
        <f>+BS!K43</f>
        <v>214410.24671519001</v>
      </c>
      <c r="D19" s="90">
        <f>+BS!L43</f>
        <v>151693.77747717281</v>
      </c>
      <c r="E19" s="90">
        <f>+BS!M43</f>
        <v>234876.05653604114</v>
      </c>
      <c r="F19" s="90">
        <f>+BS!N43</f>
        <v>196880.23819661731</v>
      </c>
      <c r="G19" s="90">
        <f>+BS!O43</f>
        <v>194715.75434787461</v>
      </c>
      <c r="H19" s="90">
        <f>+BS!P43</f>
        <v>213066.16336647802</v>
      </c>
      <c r="I19" s="90">
        <f>+BS!Q43</f>
        <v>230511.5034242344</v>
      </c>
      <c r="J19" s="90">
        <f>+BS!R43</f>
        <v>163658.89093449863</v>
      </c>
      <c r="K19" s="90">
        <f>+BS!S43</f>
        <v>169502.7581893882</v>
      </c>
      <c r="L19" s="90">
        <f>+BS!T43</f>
        <v>124469.13049434198</v>
      </c>
      <c r="M19" s="90">
        <f>+BS!U43</f>
        <v>213990.93283555479</v>
      </c>
      <c r="N19" s="90">
        <f>+BS!V43</f>
        <v>229503.14756122368</v>
      </c>
      <c r="O19" s="90">
        <f>+BS!W43</f>
        <v>220457.3063183683</v>
      </c>
      <c r="P19" s="90">
        <f>+BS!X43</f>
        <v>247024.11725563827</v>
      </c>
      <c r="Q19" s="90">
        <f>+BS!Y43</f>
        <v>284583.30241205147</v>
      </c>
      <c r="R19" s="90">
        <f>+BS!Z43</f>
        <v>319656.20687728823</v>
      </c>
      <c r="S19" s="90">
        <f>+BS!AA43</f>
        <v>465821.04275412089</v>
      </c>
      <c r="T19" s="90">
        <f>+BS!AB43</f>
        <v>370889.41554199264</v>
      </c>
      <c r="U19" s="90">
        <f>+BS!AC43</f>
        <v>328240.62742086849</v>
      </c>
      <c r="W19" s="271"/>
      <c r="X19" s="272"/>
      <c r="Y19" s="272"/>
      <c r="Z19" s="272"/>
      <c r="AA19" s="272"/>
      <c r="AB19" s="272"/>
      <c r="AC19" s="272"/>
      <c r="AD19" s="273"/>
      <c r="AE19" s="271"/>
      <c r="AF19" s="272"/>
      <c r="AG19" s="272"/>
      <c r="AH19" s="272"/>
      <c r="AI19" s="272"/>
      <c r="AJ19" s="272"/>
      <c r="AK19" s="272"/>
      <c r="AL19" s="273"/>
    </row>
    <row r="20" spans="1:38" x14ac:dyDescent="0.2">
      <c r="A20" s="78" t="s">
        <v>313</v>
      </c>
      <c r="B20" s="79" t="s">
        <v>254</v>
      </c>
      <c r="C20" s="92">
        <f>+BS!K29</f>
        <v>735138.67095188599</v>
      </c>
      <c r="D20" s="92">
        <f>+BS!L29</f>
        <v>598005.66452485626</v>
      </c>
      <c r="E20" s="92">
        <f>+BS!M29</f>
        <v>693647.21308290353</v>
      </c>
      <c r="F20" s="92">
        <f>+BS!N29</f>
        <v>571583.04541486991</v>
      </c>
      <c r="G20" s="92">
        <f>+BS!O29</f>
        <v>636775.19027050328</v>
      </c>
      <c r="H20" s="92">
        <f>+BS!P29</f>
        <v>642523.59524623782</v>
      </c>
      <c r="I20" s="92">
        <f>+BS!Q29</f>
        <v>611090.16477666062</v>
      </c>
      <c r="J20" s="92">
        <f>+BS!R29</f>
        <v>450879.5310294705</v>
      </c>
      <c r="K20" s="92">
        <f>+BS!S29</f>
        <v>466227.77438072674</v>
      </c>
      <c r="L20" s="92">
        <f>+BS!T29</f>
        <v>362426.15854626079</v>
      </c>
      <c r="M20" s="92">
        <f>+BS!U29</f>
        <v>577445.05526048853</v>
      </c>
      <c r="N20" s="92">
        <f>+BS!V29</f>
        <v>605829.1323947754</v>
      </c>
      <c r="O20" s="92">
        <f>+BS!W29</f>
        <v>596521.20780522877</v>
      </c>
      <c r="P20" s="92">
        <f>+BS!X29</f>
        <v>591488.26536105329</v>
      </c>
      <c r="Q20" s="92">
        <f>+BS!Y29</f>
        <v>683639.44524674956</v>
      </c>
      <c r="R20" s="92">
        <f>+BS!Z29</f>
        <v>730970.98451191629</v>
      </c>
      <c r="S20" s="92">
        <f>+BS!AA29</f>
        <v>983171.45149381866</v>
      </c>
      <c r="T20" s="92">
        <f>+BS!AB29</f>
        <v>869259.25642568548</v>
      </c>
      <c r="U20" s="92">
        <f>+BS!AC29</f>
        <v>788273.49773910071</v>
      </c>
      <c r="W20" s="274"/>
      <c r="X20" s="275"/>
      <c r="Y20" s="275"/>
      <c r="Z20" s="275"/>
      <c r="AA20" s="275"/>
      <c r="AB20" s="275"/>
      <c r="AC20" s="275"/>
      <c r="AD20" s="276"/>
      <c r="AE20" s="274"/>
      <c r="AF20" s="275"/>
      <c r="AG20" s="275"/>
      <c r="AH20" s="275"/>
      <c r="AI20" s="275"/>
      <c r="AJ20" s="275"/>
      <c r="AK20" s="275"/>
      <c r="AL20" s="276"/>
    </row>
    <row r="21" spans="1:38" x14ac:dyDescent="0.2">
      <c r="A21" s="191" t="s">
        <v>324</v>
      </c>
      <c r="B21" s="189"/>
      <c r="C21" s="194"/>
      <c r="D21" s="194"/>
      <c r="E21" s="194"/>
      <c r="F21" s="194"/>
      <c r="G21" s="194"/>
      <c r="H21" s="194"/>
      <c r="I21" s="194"/>
      <c r="J21" s="194"/>
      <c r="K21" s="194"/>
      <c r="L21" s="194"/>
      <c r="M21" s="194"/>
      <c r="N21" s="190"/>
      <c r="O21" s="190"/>
      <c r="P21" s="192"/>
      <c r="Q21" s="192"/>
      <c r="R21" s="192"/>
      <c r="S21" s="192"/>
      <c r="T21" s="192"/>
      <c r="U21" s="192"/>
      <c r="W21" s="268"/>
      <c r="X21" s="269"/>
      <c r="Y21" s="269"/>
      <c r="Z21" s="269"/>
      <c r="AA21" s="269"/>
      <c r="AB21" s="269"/>
      <c r="AC21" s="269"/>
      <c r="AD21" s="270"/>
      <c r="AE21" s="268"/>
      <c r="AF21" s="269"/>
      <c r="AG21" s="269"/>
      <c r="AH21" s="269"/>
      <c r="AI21" s="269"/>
      <c r="AJ21" s="269"/>
      <c r="AK21" s="269"/>
      <c r="AL21" s="270"/>
    </row>
    <row r="22" spans="1:38" x14ac:dyDescent="0.2">
      <c r="A22" s="80" t="s">
        <v>311</v>
      </c>
      <c r="B22" s="81" t="s">
        <v>254</v>
      </c>
      <c r="C22" s="96"/>
      <c r="D22" s="96">
        <f>+D11</f>
        <v>23439.972945552923</v>
      </c>
      <c r="E22" s="96">
        <f t="shared" ref="E22:K22" si="0">+E11</f>
        <v>35253.252258014058</v>
      </c>
      <c r="F22" s="96">
        <f t="shared" si="0"/>
        <v>29271.720821107461</v>
      </c>
      <c r="G22" s="96">
        <f t="shared" si="0"/>
        <v>29607.704240969095</v>
      </c>
      <c r="H22" s="96">
        <f t="shared" si="0"/>
        <v>13705.028982010861</v>
      </c>
      <c r="I22" s="96">
        <f t="shared" si="0"/>
        <v>2357.4660602179861</v>
      </c>
      <c r="J22" s="96">
        <f t="shared" si="0"/>
        <v>18598.183865541032</v>
      </c>
      <c r="K22" s="96">
        <f t="shared" si="0"/>
        <v>20601.110010521905</v>
      </c>
      <c r="L22" s="96">
        <f>+L11</f>
        <v>15208.823254356255</v>
      </c>
      <c r="M22" s="96">
        <f>+M11</f>
        <v>26669.231257427666</v>
      </c>
      <c r="N22" s="96">
        <f>+N11</f>
        <v>28909.500117482617</v>
      </c>
      <c r="O22" s="96">
        <f>+O11</f>
        <v>25667.52029935893</v>
      </c>
      <c r="P22" s="96">
        <f t="shared" ref="P22:Q22" si="1">+P11</f>
        <v>27611.826477772567</v>
      </c>
      <c r="Q22" s="96">
        <f t="shared" si="1"/>
        <v>34772.061526559577</v>
      </c>
      <c r="R22" s="96">
        <f t="shared" ref="R22:U22" si="2">+R11</f>
        <v>33208.697255198298</v>
      </c>
      <c r="S22" s="96">
        <f t="shared" ref="S22:T22" si="3">+S11</f>
        <v>25361.665436126372</v>
      </c>
      <c r="T22" s="96">
        <f t="shared" si="3"/>
        <v>22049.530043840798</v>
      </c>
      <c r="U22" s="96">
        <f t="shared" si="2"/>
        <v>31664.228478798741</v>
      </c>
      <c r="W22" s="271"/>
      <c r="X22" s="272"/>
      <c r="Y22" s="272"/>
      <c r="Z22" s="272"/>
      <c r="AA22" s="272"/>
      <c r="AB22" s="272"/>
      <c r="AC22" s="272"/>
      <c r="AD22" s="273"/>
      <c r="AE22" s="271"/>
      <c r="AF22" s="272"/>
      <c r="AG22" s="272"/>
      <c r="AH22" s="272"/>
      <c r="AI22" s="272"/>
      <c r="AJ22" s="272"/>
      <c r="AK22" s="272"/>
      <c r="AL22" s="273"/>
    </row>
    <row r="23" spans="1:38" x14ac:dyDescent="0.2">
      <c r="A23" s="86" t="s">
        <v>325</v>
      </c>
      <c r="B23" s="84" t="s">
        <v>254</v>
      </c>
      <c r="C23" s="97"/>
      <c r="D23" s="97">
        <f>+PL!L37-PL!L38</f>
        <v>7433.5475143726762</v>
      </c>
      <c r="E23" s="97">
        <f>+PL!M37-PL!M38</f>
        <v>13009.805540069035</v>
      </c>
      <c r="F23" s="97">
        <f>+PL!N37-PL!N38</f>
        <v>12421.674758648729</v>
      </c>
      <c r="G23" s="97">
        <f>+PL!O37-PL!O38</f>
        <v>10000.669838430944</v>
      </c>
      <c r="H23" s="97">
        <f>+PL!P37-PL!P38</f>
        <v>7813.038237253134</v>
      </c>
      <c r="I23" s="97">
        <f>+PL!Q37-PL!Q38</f>
        <v>3686.9278612211228</v>
      </c>
      <c r="J23" s="97">
        <f>+PL!R37-PL!R38</f>
        <v>6522.5718352256627</v>
      </c>
      <c r="K23" s="97">
        <f>+PL!S37-PL!S38</f>
        <v>6627.4800173911881</v>
      </c>
      <c r="L23" s="97">
        <f>+PL!T37-PL!T38</f>
        <v>4428.1658411948356</v>
      </c>
      <c r="M23" s="97">
        <f>+PL!U37-PL!U38</f>
        <v>9676.5093137443382</v>
      </c>
      <c r="N23" s="97">
        <f>+PL!V37-PL!V38</f>
        <v>9849.1324481869997</v>
      </c>
      <c r="O23" s="97">
        <f>+PL!W37-PL!W38</f>
        <v>6903.3291582444017</v>
      </c>
      <c r="P23" s="97">
        <f>+PL!X37-PL!X38</f>
        <v>7004.0833815768528</v>
      </c>
      <c r="Q23" s="97">
        <f>+PL!Y37-PL!Y38</f>
        <v>8468.6966260208246</v>
      </c>
      <c r="R23" s="97">
        <f>+PL!Z37-PL!Z38</f>
        <v>8681.3888075915856</v>
      </c>
      <c r="S23" s="97">
        <f>+PL!AA37-PL!AA38</f>
        <v>8209.9540693681338</v>
      </c>
      <c r="T23" s="97">
        <f>+PL!AB37-PL!AB38</f>
        <v>9099.5593570016335</v>
      </c>
      <c r="U23" s="97">
        <f>+PL!AC37-PL!AC38</f>
        <v>9875.152887978842</v>
      </c>
      <c r="W23" s="271"/>
      <c r="X23" s="272"/>
      <c r="Y23" s="272"/>
      <c r="Z23" s="272"/>
      <c r="AA23" s="272"/>
      <c r="AB23" s="272"/>
      <c r="AC23" s="272"/>
      <c r="AD23" s="273"/>
      <c r="AE23" s="271"/>
      <c r="AF23" s="272"/>
      <c r="AG23" s="272"/>
      <c r="AH23" s="272"/>
      <c r="AI23" s="272"/>
      <c r="AJ23" s="272"/>
      <c r="AK23" s="272"/>
      <c r="AL23" s="273"/>
    </row>
    <row r="24" spans="1:38" x14ac:dyDescent="0.2">
      <c r="A24" s="86" t="s">
        <v>326</v>
      </c>
      <c r="B24" s="84" t="s">
        <v>254</v>
      </c>
      <c r="C24" s="97"/>
      <c r="D24" s="97">
        <f>+PL!L13+PL!L24</f>
        <v>33735.71187013865</v>
      </c>
      <c r="E24" s="97">
        <f>+PL!M13+PL!M24</f>
        <v>32639.902535389629</v>
      </c>
      <c r="F24" s="97">
        <f>+PL!N13+PL!N24</f>
        <v>17789.149582699822</v>
      </c>
      <c r="G24" s="97">
        <f>+PL!O13+PL!O24</f>
        <v>24241.605029083086</v>
      </c>
      <c r="H24" s="97">
        <f>+PL!P13+PL!P24</f>
        <v>38295.732123616544</v>
      </c>
      <c r="I24" s="97">
        <f>+PL!Q13+PL!Q24</f>
        <v>32126.616652854336</v>
      </c>
      <c r="J24" s="97">
        <f>+PL!R13+PL!R24</f>
        <v>20152.913751072734</v>
      </c>
      <c r="K24" s="97">
        <f>+PL!S13+PL!S24</f>
        <v>17388.435064257006</v>
      </c>
      <c r="L24" s="97">
        <f>+PL!T13+PL!T24</f>
        <v>14199.123646729287</v>
      </c>
      <c r="M24" s="97">
        <f>+PL!U13+PL!U24</f>
        <v>25983.596815976995</v>
      </c>
      <c r="N24" s="97">
        <f>+PL!V13+PL!V24</f>
        <v>27042.779048650773</v>
      </c>
      <c r="O24" s="97">
        <f>+PL!W13+PL!W24</f>
        <v>29187.344918070201</v>
      </c>
      <c r="P24" s="97">
        <f>+PL!X13+PL!X24</f>
        <v>28925.842509297196</v>
      </c>
      <c r="Q24" s="97">
        <f>+PL!Y13+PL!Y24</f>
        <v>27692.156888672707</v>
      </c>
      <c r="R24" s="97">
        <f>+PL!Z13+PL!Z24</f>
        <v>30396.100768773515</v>
      </c>
      <c r="S24" s="97">
        <f>+PL!AA13+PL!AA24</f>
        <v>29984.620793269234</v>
      </c>
      <c r="T24" s="97">
        <f>+PL!AB13+PL!AB24</f>
        <v>33659.13900111751</v>
      </c>
      <c r="U24" s="97">
        <f>+PL!AC13+PL!AC24</f>
        <v>29404.865284532036</v>
      </c>
      <c r="W24" s="271"/>
      <c r="X24" s="272"/>
      <c r="Y24" s="272"/>
      <c r="Z24" s="272"/>
      <c r="AA24" s="272"/>
      <c r="AB24" s="272"/>
      <c r="AC24" s="272"/>
      <c r="AD24" s="273"/>
      <c r="AE24" s="271"/>
      <c r="AF24" s="272"/>
      <c r="AG24" s="272"/>
      <c r="AH24" s="272"/>
      <c r="AI24" s="272"/>
      <c r="AJ24" s="272"/>
      <c r="AK24" s="272"/>
      <c r="AL24" s="273"/>
    </row>
    <row r="25" spans="1:38" x14ac:dyDescent="0.2">
      <c r="A25" s="86" t="s">
        <v>327</v>
      </c>
      <c r="B25" s="84" t="s">
        <v>254</v>
      </c>
      <c r="C25" s="97"/>
      <c r="D25" s="97">
        <f>-(BS!L11-BS!K11)</f>
        <v>50795.719976051972</v>
      </c>
      <c r="E25" s="97">
        <f>-(BS!M11-BS!L11)</f>
        <v>-52004.531330329162</v>
      </c>
      <c r="F25" s="97">
        <f>-(BS!N11-BS!M11)</f>
        <v>6658.7933677138353</v>
      </c>
      <c r="G25" s="97">
        <f>-(BS!O11-BS!N11)</f>
        <v>46987.956052386202</v>
      </c>
      <c r="H25" s="97">
        <f>-(BS!P11-BS!O11)</f>
        <v>18623.182857417385</v>
      </c>
      <c r="I25" s="97">
        <f>-(BS!Q11-BS!P11)</f>
        <v>-2094.8455360373773</v>
      </c>
      <c r="J25" s="97">
        <f>-(BS!R11-BS!Q11)</f>
        <v>20750.917436837932</v>
      </c>
      <c r="K25" s="97">
        <f>-(BS!S11-BS!R11)</f>
        <v>-29000.371524222035</v>
      </c>
      <c r="L25" s="97">
        <f>-(BS!T11-BS!S11)</f>
        <v>51009.18908264699</v>
      </c>
      <c r="M25" s="97">
        <f>-(BS!U11-BS!T11)</f>
        <v>-57265.703545961631</v>
      </c>
      <c r="N25" s="97">
        <f>-(BS!V11-BS!U11)</f>
        <v>15383.728594445813</v>
      </c>
      <c r="O25" s="97">
        <f>-(BS!W11-BS!V11)</f>
        <v>-5842.1822057501995</v>
      </c>
      <c r="P25" s="97">
        <f>-(BS!X11-BS!W11)</f>
        <v>15435.001739654064</v>
      </c>
      <c r="Q25" s="97">
        <f>-(BS!Y11-BS!X11)</f>
        <v>-10658.102334764044</v>
      </c>
      <c r="R25" s="97">
        <f>-(BS!Z11-BS!Y11)</f>
        <v>-14002.597954439756</v>
      </c>
      <c r="S25" s="97">
        <f>-(BS!AA11-BS!Z11)</f>
        <v>-22405.216651450479</v>
      </c>
      <c r="T25" s="97">
        <f>-(BS!AB11-BS!AA11)</f>
        <v>21063.68650300501</v>
      </c>
      <c r="U25" s="97">
        <f>-(BS!AC11-BS!AB11)</f>
        <v>4884.7024312133872</v>
      </c>
      <c r="W25" s="271"/>
      <c r="X25" s="272"/>
      <c r="Y25" s="272"/>
      <c r="Z25" s="272"/>
      <c r="AA25" s="272"/>
      <c r="AB25" s="272"/>
      <c r="AC25" s="272"/>
      <c r="AD25" s="273"/>
      <c r="AE25" s="271"/>
      <c r="AF25" s="272"/>
      <c r="AG25" s="272"/>
      <c r="AH25" s="272"/>
      <c r="AI25" s="272"/>
      <c r="AJ25" s="272"/>
      <c r="AK25" s="272"/>
      <c r="AL25" s="273"/>
    </row>
    <row r="26" spans="1:38" x14ac:dyDescent="0.2">
      <c r="A26" s="86" t="s">
        <v>328</v>
      </c>
      <c r="B26" s="84" t="s">
        <v>254</v>
      </c>
      <c r="C26" s="97"/>
      <c r="D26" s="97">
        <f>-(BS!L13-BS!K13)</f>
        <v>-11555.347150094123</v>
      </c>
      <c r="E26" s="97">
        <f>-(BS!M13-BS!L13)</f>
        <v>23717.382059490781</v>
      </c>
      <c r="F26" s="97">
        <f>-(BS!N13-BS!M13)</f>
        <v>2046.4417382306347</v>
      </c>
      <c r="G26" s="97">
        <f>-(BS!O13-BS!N13)</f>
        <v>-21911.265011151991</v>
      </c>
      <c r="H26" s="97">
        <f>-(BS!P13-BS!O13)</f>
        <v>29154.7679419657</v>
      </c>
      <c r="I26" s="97">
        <f>-(BS!Q13-BS!P13)</f>
        <v>11251.359039900111</v>
      </c>
      <c r="J26" s="97">
        <f>-(BS!R13-BS!Q13)</f>
        <v>-1683.2524488967974</v>
      </c>
      <c r="K26" s="97">
        <f>-(BS!S13-BS!R13)</f>
        <v>1595.1656491646936</v>
      </c>
      <c r="L26" s="97">
        <f>-(BS!T13-BS!S13)</f>
        <v>9138.6627871753299</v>
      </c>
      <c r="M26" s="97">
        <f>-(BS!U13-BS!T13)</f>
        <v>-13930.154437415709</v>
      </c>
      <c r="N26" s="97">
        <f>-(BS!V13-BS!U13)</f>
        <v>-21844.777385094822</v>
      </c>
      <c r="O26" s="97">
        <f>-(BS!W13-BS!V13)</f>
        <v>14930.183024903192</v>
      </c>
      <c r="P26" s="97">
        <f>-(BS!X13-BS!W13)</f>
        <v>13358.086008285318</v>
      </c>
      <c r="Q26" s="97">
        <f>-(BS!Y13-BS!X13)</f>
        <v>-2077.9336277381008</v>
      </c>
      <c r="R26" s="97">
        <f>-(BS!Z13-BS!Y13)</f>
        <v>-36389.381208514904</v>
      </c>
      <c r="S26" s="97">
        <f>-(BS!AA13-BS!Z13)</f>
        <v>-9094.9744600980339</v>
      </c>
      <c r="T26" s="97">
        <f>-(BS!AB13-BS!AA13)</f>
        <v>9641.8075430469908</v>
      </c>
      <c r="U26" s="97">
        <f>-(BS!AC13-BS!AB13)</f>
        <v>-9010.9468020601635</v>
      </c>
      <c r="W26" s="271"/>
      <c r="X26" s="272"/>
      <c r="Y26" s="272"/>
      <c r="Z26" s="272"/>
      <c r="AA26" s="272"/>
      <c r="AB26" s="272"/>
      <c r="AC26" s="272"/>
      <c r="AD26" s="273"/>
      <c r="AE26" s="271"/>
      <c r="AF26" s="272"/>
      <c r="AG26" s="272"/>
      <c r="AH26" s="272"/>
      <c r="AI26" s="272"/>
      <c r="AJ26" s="272"/>
      <c r="AK26" s="272"/>
      <c r="AL26" s="273"/>
    </row>
    <row r="27" spans="1:38" x14ac:dyDescent="0.2">
      <c r="A27" s="86" t="s">
        <v>329</v>
      </c>
      <c r="B27" s="84" t="s">
        <v>254</v>
      </c>
      <c r="C27" s="97"/>
      <c r="D27" s="97">
        <f>-((BS!L12+BS!L14)-(BS!K12+BS!K14))</f>
        <v>5809.7031551875152</v>
      </c>
      <c r="E27" s="97">
        <f>-((BS!M12+BS!M14)-(BS!L12+BS!L14))</f>
        <v>-21070.438189128345</v>
      </c>
      <c r="F27" s="97">
        <f>-((BS!N12+BS!N14)-(BS!M12+BS!M14))</f>
        <v>23220.65550093809</v>
      </c>
      <c r="G27" s="97">
        <f>-((BS!O12+BS!O14)-(BS!N12+BS!N14))</f>
        <v>-2444.3971168374919</v>
      </c>
      <c r="H27" s="97">
        <f>-((BS!P12+BS!P14)-(BS!O12+BS!O14))</f>
        <v>-6083.2167921312575</v>
      </c>
      <c r="I27" s="97">
        <f>-((BS!Q12+BS!Q14)-(BS!P12+BS!P14))</f>
        <v>-9523.2859643180491</v>
      </c>
      <c r="J27" s="97">
        <f>-((BS!R12+BS!R14)-(BS!Q12+BS!Q14))</f>
        <v>-446.24310563107429</v>
      </c>
      <c r="K27" s="97">
        <f>-((BS!S12+BS!S14)-(BS!R12+BS!R14))</f>
        <v>13823.076231618674</v>
      </c>
      <c r="L27" s="97">
        <f>-((BS!T12+BS!T14)-(BS!S12+BS!S14))</f>
        <v>10261.40162785018</v>
      </c>
      <c r="M27" s="97">
        <f>-((BS!U12+BS!U14)-(BS!T12+BS!T14))</f>
        <v>-20764.469744971218</v>
      </c>
      <c r="N27" s="97">
        <f>-((BS!V12+BS!V14)-(BS!U12+BS!U14))</f>
        <v>9232.1815500007724</v>
      </c>
      <c r="O27" s="97">
        <f>-((BS!W12+BS!W14)-(BS!V12+BS!V14))</f>
        <v>-21653.310272342344</v>
      </c>
      <c r="P27" s="97">
        <f>-((BS!X12+BS!X14)-(BS!W12+BS!W14))</f>
        <v>11355.4119221008</v>
      </c>
      <c r="Q27" s="97">
        <f>-((BS!Y12+BS!Y14)-(BS!X12+BS!X14))</f>
        <v>-4108.4934953049888</v>
      </c>
      <c r="R27" s="97">
        <f>-((BS!Z12+BS!Z14)-(BS!Y12+BS!Y14))</f>
        <v>1175.6907525058996</v>
      </c>
      <c r="S27" s="97">
        <f>-((BS!AA12+BS!AA14)-(BS!Z12+BS!Z14))</f>
        <v>-30661.887711184972</v>
      </c>
      <c r="T27" s="97">
        <f>-((BS!AB12+BS!AB14)-(BS!AA12+BS!AA14))</f>
        <v>14047.142899400846</v>
      </c>
      <c r="U27" s="97">
        <f>-((BS!AC12+BS!AC14)-(BS!AB12+BS!AB14))</f>
        <v>16196.82298259309</v>
      </c>
      <c r="W27" s="271"/>
      <c r="X27" s="272"/>
      <c r="Y27" s="272"/>
      <c r="Z27" s="272"/>
      <c r="AA27" s="272"/>
      <c r="AB27" s="272"/>
      <c r="AC27" s="272"/>
      <c r="AD27" s="273"/>
      <c r="AE27" s="271"/>
      <c r="AF27" s="272"/>
      <c r="AG27" s="272"/>
      <c r="AH27" s="272"/>
      <c r="AI27" s="272"/>
      <c r="AJ27" s="272"/>
      <c r="AK27" s="272"/>
      <c r="AL27" s="273"/>
    </row>
    <row r="28" spans="1:38" x14ac:dyDescent="0.2">
      <c r="A28" s="86" t="s">
        <v>330</v>
      </c>
      <c r="B28" s="84" t="s">
        <v>254</v>
      </c>
      <c r="C28" s="97"/>
      <c r="D28" s="97">
        <f>BS!L32-BS!K32</f>
        <v>-54810.729532793746</v>
      </c>
      <c r="E28" s="97">
        <f>BS!M32-BS!L32</f>
        <v>-2192.0780442988034</v>
      </c>
      <c r="F28" s="97">
        <f>BS!N32-BS!M32</f>
        <v>44928.237283900264</v>
      </c>
      <c r="G28" s="97">
        <f>BS!O32-BS!N32</f>
        <v>-36236.915165401428</v>
      </c>
      <c r="H28" s="97">
        <f>BS!P32-BS!O32</f>
        <v>-1434.4272633851651</v>
      </c>
      <c r="I28" s="97">
        <f>BS!Q32-BS!P32</f>
        <v>-13353.062663349978</v>
      </c>
      <c r="J28" s="97">
        <f>BS!R32-BS!Q32</f>
        <v>-33998.774770138116</v>
      </c>
      <c r="K28" s="97">
        <f>BS!S32-BS!R32</f>
        <v>17633.133145193569</v>
      </c>
      <c r="L28" s="97">
        <f>BS!T32-BS!S32</f>
        <v>-37524.342547996537</v>
      </c>
      <c r="M28" s="97">
        <f>BS!U32-BS!T32</f>
        <v>25848.040740822136</v>
      </c>
      <c r="N28" s="97">
        <f>BS!V32-BS!U32</f>
        <v>22845.796439147496</v>
      </c>
      <c r="O28" s="97">
        <f>BS!W32-BS!V32</f>
        <v>5181.7123815571395</v>
      </c>
      <c r="P28" s="97">
        <f>BS!X32-BS!W32</f>
        <v>-15755.950458794847</v>
      </c>
      <c r="Q28" s="97">
        <f>BS!Y32-BS!X32</f>
        <v>10543.224093498313</v>
      </c>
      <c r="R28" s="97">
        <f>BS!Z32-BS!Y32</f>
        <v>12598.195342838517</v>
      </c>
      <c r="S28" s="97">
        <f>BS!AA32-BS!Z32</f>
        <v>24382.092270288442</v>
      </c>
      <c r="T28" s="97">
        <f>BS!AB32-BS!AA32</f>
        <v>-19945.263081236248</v>
      </c>
      <c r="U28" s="97">
        <f>BS!AC32-BS!AB32</f>
        <v>-2929.3958957932628</v>
      </c>
      <c r="W28" s="271"/>
      <c r="X28" s="272"/>
      <c r="Y28" s="272"/>
      <c r="Z28" s="272"/>
      <c r="AA28" s="272"/>
      <c r="AB28" s="272"/>
      <c r="AC28" s="272"/>
      <c r="AD28" s="273"/>
      <c r="AE28" s="271"/>
      <c r="AF28" s="272"/>
      <c r="AG28" s="272"/>
      <c r="AH28" s="272"/>
      <c r="AI28" s="272"/>
      <c r="AJ28" s="272"/>
      <c r="AK28" s="272"/>
      <c r="AL28" s="273"/>
    </row>
    <row r="29" spans="1:38" x14ac:dyDescent="0.2">
      <c r="A29" s="88" t="s">
        <v>331</v>
      </c>
      <c r="B29" s="89" t="s">
        <v>254</v>
      </c>
      <c r="C29" s="98"/>
      <c r="D29" s="98">
        <f>(BS!L36+BS!L42)-(BS!K36+BS!K42)</f>
        <v>40419.990169778641</v>
      </c>
      <c r="E29" s="98">
        <f>(BS!M36+BS!M42)-(BS!L36+BS!L42)</f>
        <v>-24346.59083178846</v>
      </c>
      <c r="F29" s="98">
        <f>(BS!N36+BS!N42)-(BS!M36+BS!M42)</f>
        <v>-64620.414573151655</v>
      </c>
      <c r="G29" s="98">
        <f>(BS!O36+BS!O42)-(BS!N36+BS!N42)</f>
        <v>37749.482087246557</v>
      </c>
      <c r="H29" s="98">
        <f>(BS!P36+BS!P42)-(BS!O36+BS!O42)</f>
        <v>-38617.423015768014</v>
      </c>
      <c r="I29" s="98">
        <f>(BS!Q36+BS!Q42)-(BS!P36+BS!P42)</f>
        <v>3468.8528903688421</v>
      </c>
      <c r="J29" s="98">
        <f>(BS!R36+BS!R42)-(BS!Q36+BS!Q42)</f>
        <v>12376.192202801351</v>
      </c>
      <c r="K29" s="98">
        <f>(BS!S36+BS!S42)-(BS!R36+BS!R42)</f>
        <v>-20552.735908668597</v>
      </c>
      <c r="L29" s="98">
        <f>(BS!T36+BS!T42)-(BS!S36+BS!S42)</f>
        <v>-5014.6450574680202</v>
      </c>
      <c r="M29" s="98">
        <f>(BS!U36+BS!U42)-(BS!T36+BS!T42)</f>
        <v>63938.364976351695</v>
      </c>
      <c r="N29" s="98">
        <f>(BS!V36+BS!V42)-(BS!U36+BS!U42)</f>
        <v>-13952.119570034454</v>
      </c>
      <c r="O29" s="98">
        <f>(BS!W36+BS!W42)-(BS!V36+BS!V42)</f>
        <v>-6792.122896916786</v>
      </c>
      <c r="P29" s="98">
        <f>(BS!X36+BS!X42)-(BS!W36+BS!W42)</f>
        <v>-4808.5217770804302</v>
      </c>
      <c r="Q29" s="98">
        <f>(BS!Y36+BS!Y42)-(BS!X36+BS!X42)</f>
        <v>23188.621972830122</v>
      </c>
      <c r="R29" s="98">
        <f>(BS!Z36+BS!Z42)-(BS!Y36+BS!Y42)</f>
        <v>-19164.480910351864</v>
      </c>
      <c r="S29" s="98">
        <f>(BS!AA36+BS!AA42)-(BS!Z36+BS!Z42)</f>
        <v>25524.732214722229</v>
      </c>
      <c r="T29" s="98">
        <f>(BS!AB36+BS!AB42)-(BS!AA36+BS!AA42)</f>
        <v>-4887.0082477508404</v>
      </c>
      <c r="U29" s="98">
        <f>(BS!AC36+BS!AC42)-(BS!AB36+BS!AB42)</f>
        <v>-10209.070903264597</v>
      </c>
      <c r="W29" s="271"/>
      <c r="X29" s="272"/>
      <c r="Y29" s="272"/>
      <c r="Z29" s="272"/>
      <c r="AA29" s="272"/>
      <c r="AB29" s="272"/>
      <c r="AC29" s="272"/>
      <c r="AD29" s="273"/>
      <c r="AE29" s="271"/>
      <c r="AF29" s="272"/>
      <c r="AG29" s="272"/>
      <c r="AH29" s="272"/>
      <c r="AI29" s="272"/>
      <c r="AJ29" s="272"/>
      <c r="AK29" s="272"/>
      <c r="AL29" s="273"/>
    </row>
    <row r="30" spans="1:38" x14ac:dyDescent="0.2">
      <c r="A30" s="80" t="s">
        <v>333</v>
      </c>
      <c r="B30" s="81" t="s">
        <v>254</v>
      </c>
      <c r="C30" s="96"/>
      <c r="D30" s="96">
        <f>-(BS!L15-BS!K15)</f>
        <v>50027.672092569934</v>
      </c>
      <c r="E30" s="96">
        <f>-(BS!M15-BS!L15)</f>
        <v>-24017.126168943068</v>
      </c>
      <c r="F30" s="96">
        <f>-(BS!N15-BS!M15)</f>
        <v>86920.193834270496</v>
      </c>
      <c r="G30" s="96">
        <f>-(BS!O15-BS!N15)</f>
        <v>-55627.801913625648</v>
      </c>
      <c r="H30" s="96">
        <f>-(BS!P15-BS!O15)</f>
        <v>-61013.015098997159</v>
      </c>
      <c r="I30" s="96">
        <f>-(BS!Q15-BS!P15)</f>
        <v>44936.636960194504</v>
      </c>
      <c r="J30" s="96">
        <f>-(BS!R15-BS!Q15)</f>
        <v>109644.1198667835</v>
      </c>
      <c r="K30" s="96">
        <f>-(BS!S15-BS!R15)</f>
        <v>-4586.9078776076494</v>
      </c>
      <c r="L30" s="96">
        <f>-(BS!T15-BS!S15)</f>
        <v>18900.322921241168</v>
      </c>
      <c r="M30" s="96">
        <f>-(BS!U15-BS!T15)</f>
        <v>-106795.23305983082</v>
      </c>
      <c r="N30" s="96">
        <f>-(BS!V15-BS!U15)</f>
        <v>3483.211552128545</v>
      </c>
      <c r="O30" s="96">
        <f>-(BS!W15-BS!V15)</f>
        <v>-10519.86715025804</v>
      </c>
      <c r="P30" s="96">
        <f>-(BS!X15-BS!W15)</f>
        <v>28020.2145841647</v>
      </c>
      <c r="Q30" s="96">
        <f>-(BS!Y15-BS!X15)</f>
        <v>-66482.792950589006</v>
      </c>
      <c r="R30" s="96">
        <f>-(BS!Z15-BS!Y15)</f>
        <v>-16370.457672032644</v>
      </c>
      <c r="S30" s="96">
        <f>-(BS!AA15-BS!Z15)</f>
        <v>-163856.5672696174</v>
      </c>
      <c r="T30" s="96">
        <f>-(BS!AB15-BS!AA15)</f>
        <v>84466.257397285895</v>
      </c>
      <c r="U30" s="96">
        <f>-(BS!AC15-BS!AB15)</f>
        <v>64839.987422031059</v>
      </c>
      <c r="W30" s="271"/>
      <c r="X30" s="272"/>
      <c r="Y30" s="272"/>
      <c r="Z30" s="272"/>
      <c r="AA30" s="272"/>
      <c r="AB30" s="272"/>
      <c r="AC30" s="272"/>
      <c r="AD30" s="273"/>
      <c r="AE30" s="271"/>
      <c r="AF30" s="272"/>
      <c r="AG30" s="272"/>
      <c r="AH30" s="272"/>
      <c r="AI30" s="272"/>
      <c r="AJ30" s="272"/>
      <c r="AK30" s="272"/>
      <c r="AL30" s="273"/>
    </row>
    <row r="31" spans="1:38" x14ac:dyDescent="0.2">
      <c r="A31" s="88" t="s">
        <v>334</v>
      </c>
      <c r="B31" s="89" t="s">
        <v>254</v>
      </c>
      <c r="C31" s="98"/>
      <c r="D31" s="98">
        <f>-(PL!L13+PL!L24)</f>
        <v>-33735.71187013865</v>
      </c>
      <c r="E31" s="98">
        <f>-(PL!M13+PL!M24)</f>
        <v>-32639.902535389629</v>
      </c>
      <c r="F31" s="98">
        <f>-(PL!N13+PL!N24)</f>
        <v>-17789.149582699822</v>
      </c>
      <c r="G31" s="98">
        <f>-(PL!O13+PL!O24)</f>
        <v>-24241.605029083086</v>
      </c>
      <c r="H31" s="98">
        <f>-(PL!P13+PL!P24)</f>
        <v>-38295.732123616544</v>
      </c>
      <c r="I31" s="98">
        <f>-(PL!Q13+PL!Q24)</f>
        <v>-32126.616652854336</v>
      </c>
      <c r="J31" s="98">
        <f>-(PL!R13+PL!R24)</f>
        <v>-20152.913751072734</v>
      </c>
      <c r="K31" s="98">
        <f>-(PL!S13+PL!S24)</f>
        <v>-17388.435064257006</v>
      </c>
      <c r="L31" s="98">
        <f>-(PL!T13+PL!T24)</f>
        <v>-14199.123646729287</v>
      </c>
      <c r="M31" s="98">
        <f>-(PL!U13+PL!U24)</f>
        <v>-25983.596815976995</v>
      </c>
      <c r="N31" s="98">
        <f>-(PL!V13+PL!V24)</f>
        <v>-27042.779048650773</v>
      </c>
      <c r="O31" s="98">
        <f>-(PL!W13+PL!W24)</f>
        <v>-29187.344918070201</v>
      </c>
      <c r="P31" s="98">
        <f>-(PL!X13+PL!X24)</f>
        <v>-28925.842509297196</v>
      </c>
      <c r="Q31" s="98">
        <f>-(PL!Y13+PL!Y24)</f>
        <v>-27692.156888672707</v>
      </c>
      <c r="R31" s="98">
        <f>-(PL!Z13+PL!Z24)</f>
        <v>-30396.100768773515</v>
      </c>
      <c r="S31" s="98">
        <f>-(PL!AA13+PL!AA24)</f>
        <v>-29984.620793269234</v>
      </c>
      <c r="T31" s="98">
        <f>-(PL!AB13+PL!AB24)</f>
        <v>-33659.13900111751</v>
      </c>
      <c r="U31" s="98">
        <f>-(PL!AC13+PL!AC24)</f>
        <v>-29404.865284532036</v>
      </c>
      <c r="W31" s="271"/>
      <c r="X31" s="272"/>
      <c r="Y31" s="272"/>
      <c r="Z31" s="272"/>
      <c r="AA31" s="272"/>
      <c r="AB31" s="272"/>
      <c r="AC31" s="272"/>
      <c r="AD31" s="273"/>
      <c r="AE31" s="271"/>
      <c r="AF31" s="272"/>
      <c r="AG31" s="272"/>
      <c r="AH31" s="272"/>
      <c r="AI31" s="272"/>
      <c r="AJ31" s="272"/>
      <c r="AK31" s="272"/>
      <c r="AL31" s="273"/>
    </row>
    <row r="32" spans="1:38" x14ac:dyDescent="0.2">
      <c r="A32" s="80" t="s">
        <v>336</v>
      </c>
      <c r="B32" s="81" t="s">
        <v>254</v>
      </c>
      <c r="C32" s="96"/>
      <c r="D32" s="96">
        <f>(BS!L33+BS!L34+BS!L38+BS!L39+BS!L40)-(BS!K33+BS!K34+BS!K38+BS!K39+BS!K40)</f>
        <v>-60025.892352889496</v>
      </c>
      <c r="E32" s="96">
        <f>(BS!M33+BS!M34+BS!M38+BS!M39+BS!M40)-(BS!L33+BS!L34+BS!L38+BS!L39+BS!L40)</f>
        <v>38997.938375266589</v>
      </c>
      <c r="F32" s="96">
        <f>(BS!N33+BS!N34+BS!N38+BS!N39+BS!N40)-(BS!M33+BS!M34+BS!M38+BS!M39+BS!M40)</f>
        <v>-64376.172039359226</v>
      </c>
      <c r="G32" s="96">
        <f>(BS!O33+BS!O34+BS!O38+BS!O39+BS!O40)-(BS!N33+BS!N34+BS!N38+BS!N39+BS!N40)</f>
        <v>65844.061782531149</v>
      </c>
      <c r="H32" s="96">
        <f>(BS!P33+BS!P34+BS!P38+BS!P39+BS!P40)-(BS!O33+BS!O34+BS!O38+BS!O39+BS!O40)</f>
        <v>27449.846236283367</v>
      </c>
      <c r="I32" s="96">
        <f>(BS!Q33+BS!Q34+BS!Q38+BS!Q39+BS!Q40)-(BS!P33+BS!P34+BS!P38+BS!P39+BS!P40)</f>
        <v>-39481.569737199199</v>
      </c>
      <c r="J32" s="96">
        <f>(BS!R33+BS!R34+BS!R38+BS!R39+BS!R40)-(BS!Q33+BS!Q34+BS!Q38+BS!Q39+BS!Q40)</f>
        <v>-72014.387616278051</v>
      </c>
      <c r="K32" s="96">
        <f>(BS!S33+BS!S34+BS!S38+BS!S39+BS!S40)-(BS!R33+BS!R34+BS!R38+BS!R39+BS!R40)</f>
        <v>12019.638349302753</v>
      </c>
      <c r="L32" s="96">
        <f>(BS!T33+BS!T34+BS!T38+BS!T39+BS!T40)-(BS!S33+BS!S34+BS!S38+BS!S39+BS!S40)</f>
        <v>-16524.339242043905</v>
      </c>
      <c r="M32" s="96">
        <f>(BS!U33+BS!U34+BS!U38+BS!U39+BS!U40)-(BS!T33+BS!T34+BS!T38+BS!T39+BS!T40)</f>
        <v>35898.374283278448</v>
      </c>
      <c r="N32" s="96">
        <f>(BS!V33+BS!V34+BS!V38+BS!V39+BS!V40)-(BS!U33+BS!U34+BS!U38+BS!U39+BS!U40)</f>
        <v>2363.9710787871154</v>
      </c>
      <c r="O32" s="96">
        <f>(BS!W33+BS!W34+BS!W38+BS!W39+BS!W40)-(BS!V33+BS!V34+BS!V38+BS!V39+BS!V40)</f>
        <v>2967.9020699805114</v>
      </c>
      <c r="P32" s="96">
        <f>(BS!X33+BS!X34+BS!X38+BS!X39+BS!X40)-(BS!W33+BS!W34+BS!W38+BS!W39+BS!W40)</f>
        <v>-11847.037742793676</v>
      </c>
      <c r="Q32" s="96">
        <f>(BS!Y33+BS!Y34+BS!Y38+BS!Y39+BS!Y40)-(BS!X33+BS!X34+BS!X38+BS!X39+BS!X40)</f>
        <v>18016.321415145561</v>
      </c>
      <c r="R32" s="96">
        <f>(BS!Z33+BS!Z34+BS!Z38+BS!Z39+BS!Z40)-(BS!Y33+BS!Y34+BS!Y38+BS!Y39+BS!Y40)</f>
        <v>23753.095272080973</v>
      </c>
      <c r="S32" s="96">
        <f>(BS!AA33+BS!AA34+BS!AA38+BS!AA39+BS!AA40)-(BS!Z33+BS!Z34+BS!Z38+BS!Z39+BS!Z40)</f>
        <v>56128.806620058371</v>
      </c>
      <c r="T32" s="96">
        <f>(BS!AB33+BS!AB34+BS!AB38+BS!AB39+BS!AB40)-(BS!AA33+BS!AA34+BS!AA38+BS!AA39+BS!AA40)</f>
        <v>5851.7034729822772</v>
      </c>
      <c r="U32" s="96">
        <f>(BS!AC33+BS!AC34+BS!AC38+BS!AC39+BS!AC40)-(BS!AB33+BS!AB34+BS!AB38+BS!AB39+BS!AB40)</f>
        <v>-25198.503766402864</v>
      </c>
      <c r="W32" s="271"/>
      <c r="X32" s="272"/>
      <c r="Y32" s="272"/>
      <c r="Z32" s="272"/>
      <c r="AA32" s="272"/>
      <c r="AB32" s="272"/>
      <c r="AC32" s="272"/>
      <c r="AD32" s="273"/>
      <c r="AE32" s="271"/>
      <c r="AF32" s="272"/>
      <c r="AG32" s="272"/>
      <c r="AH32" s="272"/>
      <c r="AI32" s="272"/>
      <c r="AJ32" s="272"/>
      <c r="AK32" s="272"/>
      <c r="AL32" s="273"/>
    </row>
    <row r="33" spans="1:38" x14ac:dyDescent="0.2">
      <c r="A33" s="88" t="s">
        <v>337</v>
      </c>
      <c r="B33" s="89" t="s">
        <v>254</v>
      </c>
      <c r="C33" s="98"/>
      <c r="D33" s="98">
        <f>(BS!L45+BS!L46)-(BS!K45+BS!K46)</f>
        <v>16091.352314133066</v>
      </c>
      <c r="E33" s="98">
        <f>(BS!M45+BS!M46)-(BS!L45+BS!L46)</f>
        <v>-10429.251620799987</v>
      </c>
      <c r="F33" s="98">
        <f>(BS!N45+BS!N46)-(BS!M45+BS!M46)</f>
        <v>-16371.055408715321</v>
      </c>
      <c r="G33" s="98">
        <f>(BS!O45+BS!O46)-(BS!N45+BS!N46)</f>
        <v>-7837.5450950806207</v>
      </c>
      <c r="H33" s="98">
        <f>(BS!P45+BS!P46)-(BS!O45+BS!O46)</f>
        <v>5238.6503108508423</v>
      </c>
      <c r="I33" s="98">
        <f>(BS!Q45+BS!Q46)-(BS!P45+BS!P46)</f>
        <v>2122.7469754122649</v>
      </c>
      <c r="J33" s="98">
        <f>(BS!R45+BS!R46)-(BS!Q45+BS!Q46)</f>
        <v>-6437.553462701766</v>
      </c>
      <c r="K33" s="98">
        <f>(BS!S45+BS!S46)-(BS!R45+BS!R46)</f>
        <v>8784.6962013414632</v>
      </c>
      <c r="L33" s="98">
        <f>(BS!T45+BS!T46)-(BS!S45+BS!S46)</f>
        <v>-5749.4166567748944</v>
      </c>
      <c r="M33" s="98">
        <f>(BS!U45+BS!U46)-(BS!T45+BS!T46)</f>
        <v>51858.889457434649</v>
      </c>
      <c r="N33" s="98">
        <f>(BS!V45+BS!V46)-(BS!U45+BS!U46)</f>
        <v>-50432.898338325787</v>
      </c>
      <c r="O33" s="98">
        <f>(BS!W45+BS!W46)-(BS!V45+BS!V46)</f>
        <v>17693.319172158303</v>
      </c>
      <c r="P33" s="98">
        <f>(BS!X45+BS!X46)-(BS!W45+BS!W46)</f>
        <v>3582.9748907836329</v>
      </c>
      <c r="Q33" s="98">
        <f>(BS!Y45+BS!Y46)-(BS!X45+BS!X46)</f>
        <v>-6768.0651148344696</v>
      </c>
      <c r="R33" s="98">
        <f>(BS!Z45+BS!Z46)-(BS!Y45+BS!Y46)</f>
        <v>-1634.6632636001887</v>
      </c>
      <c r="S33" s="98">
        <f>(BS!AA45+BS!AA46)-(BS!Z45+BS!Z46)</f>
        <v>33056.348671313281</v>
      </c>
      <c r="T33" s="98">
        <f>(BS!AB45+BS!AB46)-(BS!AA45+BS!AA46)</f>
        <v>-29242.964295352576</v>
      </c>
      <c r="U33" s="98">
        <f>(BS!AC45+BS!AC46)-(BS!AB45+BS!AB46)</f>
        <v>5422.2782122087519</v>
      </c>
      <c r="W33" s="271"/>
      <c r="X33" s="272"/>
      <c r="Y33" s="272"/>
      <c r="Z33" s="272"/>
      <c r="AA33" s="272"/>
      <c r="AB33" s="272"/>
      <c r="AC33" s="272"/>
      <c r="AD33" s="273"/>
      <c r="AE33" s="271"/>
      <c r="AF33" s="272"/>
      <c r="AG33" s="272"/>
      <c r="AH33" s="272"/>
      <c r="AI33" s="272"/>
      <c r="AJ33" s="272"/>
      <c r="AK33" s="272"/>
      <c r="AL33" s="273"/>
    </row>
    <row r="34" spans="1:38" x14ac:dyDescent="0.2">
      <c r="A34" s="99" t="s">
        <v>332</v>
      </c>
      <c r="B34" s="79" t="s">
        <v>254</v>
      </c>
      <c r="C34" s="100"/>
      <c r="D34" s="100">
        <f>SUM(D22:D29)</f>
        <v>95268.568948194501</v>
      </c>
      <c r="E34" s="100">
        <f t="shared" ref="E34:K34" si="4">SUM(E22:E29)</f>
        <v>5006.7039974187392</v>
      </c>
      <c r="F34" s="100">
        <f t="shared" si="4"/>
        <v>71716.258480087214</v>
      </c>
      <c r="G34" s="100">
        <f t="shared" si="4"/>
        <v>87994.839954724972</v>
      </c>
      <c r="H34" s="100">
        <f t="shared" si="4"/>
        <v>61456.683070979198</v>
      </c>
      <c r="I34" s="100">
        <f t="shared" si="4"/>
        <v>27920.028340856996</v>
      </c>
      <c r="J34" s="100">
        <f t="shared" si="4"/>
        <v>42272.508766812716</v>
      </c>
      <c r="K34" s="100">
        <f t="shared" si="4"/>
        <v>28115.292685256405</v>
      </c>
      <c r="L34" s="100">
        <f>SUM(L22:L29)</f>
        <v>61706.378634488326</v>
      </c>
      <c r="M34" s="100">
        <f>SUM(M22:M29)</f>
        <v>60155.415375974277</v>
      </c>
      <c r="N34" s="100">
        <f>SUM(N22:N29)</f>
        <v>77466.221242785192</v>
      </c>
      <c r="O34" s="100">
        <f>SUM(O22:O29)</f>
        <v>47582.47440712453</v>
      </c>
      <c r="P34" s="100">
        <f t="shared" ref="P34:Q34" si="5">SUM(P22:P29)</f>
        <v>83125.779802811521</v>
      </c>
      <c r="Q34" s="100">
        <f t="shared" si="5"/>
        <v>87820.231649774403</v>
      </c>
      <c r="R34" s="100">
        <f t="shared" ref="R34:U34" si="6">SUM(R22:R29)</f>
        <v>16503.612853601284</v>
      </c>
      <c r="S34" s="100">
        <f t="shared" ref="S34:T34" si="7">SUM(S22:S29)</f>
        <v>51300.985961040926</v>
      </c>
      <c r="T34" s="100">
        <f t="shared" si="7"/>
        <v>84728.594018425691</v>
      </c>
      <c r="U34" s="100">
        <f t="shared" si="6"/>
        <v>69876.358463998069</v>
      </c>
      <c r="W34" s="271"/>
      <c r="X34" s="272"/>
      <c r="Y34" s="272"/>
      <c r="Z34" s="272"/>
      <c r="AA34" s="272"/>
      <c r="AB34" s="272"/>
      <c r="AC34" s="272"/>
      <c r="AD34" s="273"/>
      <c r="AE34" s="271"/>
      <c r="AF34" s="272"/>
      <c r="AG34" s="272"/>
      <c r="AH34" s="272"/>
      <c r="AI34" s="272"/>
      <c r="AJ34" s="272"/>
      <c r="AK34" s="272"/>
      <c r="AL34" s="273"/>
    </row>
    <row r="35" spans="1:38" x14ac:dyDescent="0.2">
      <c r="A35" s="99" t="s">
        <v>335</v>
      </c>
      <c r="B35" s="79" t="s">
        <v>254</v>
      </c>
      <c r="C35" s="100"/>
      <c r="D35" s="100">
        <f>SUM(D30:D31)</f>
        <v>16291.960222431284</v>
      </c>
      <c r="E35" s="100">
        <f t="shared" ref="E35:K35" si="8">SUM(E30:E31)</f>
        <v>-56657.028704332697</v>
      </c>
      <c r="F35" s="100">
        <f t="shared" si="8"/>
        <v>69131.044251570682</v>
      </c>
      <c r="G35" s="100">
        <f t="shared" si="8"/>
        <v>-79869.406942708738</v>
      </c>
      <c r="H35" s="100">
        <f t="shared" si="8"/>
        <v>-99308.747222613703</v>
      </c>
      <c r="I35" s="100">
        <f t="shared" si="8"/>
        <v>12810.020307340168</v>
      </c>
      <c r="J35" s="100">
        <f t="shared" si="8"/>
        <v>89491.206115710767</v>
      </c>
      <c r="K35" s="100">
        <f t="shared" si="8"/>
        <v>-21975.342941864656</v>
      </c>
      <c r="L35" s="100">
        <f>SUM(L30:L31)</f>
        <v>4701.1992745118805</v>
      </c>
      <c r="M35" s="100">
        <f>SUM(M30:M31)</f>
        <v>-132778.8298758078</v>
      </c>
      <c r="N35" s="100">
        <f>SUM(N30:N31)</f>
        <v>-23559.567496522228</v>
      </c>
      <c r="O35" s="100">
        <f>SUM(O30:O31)</f>
        <v>-39707.212068328241</v>
      </c>
      <c r="P35" s="100">
        <f t="shared" ref="P35:Q35" si="9">SUM(P30:P31)</f>
        <v>-905.62792513249588</v>
      </c>
      <c r="Q35" s="100">
        <f t="shared" si="9"/>
        <v>-94174.94983926171</v>
      </c>
      <c r="R35" s="100">
        <f t="shared" ref="R35:U35" si="10">SUM(R30:R31)</f>
        <v>-46766.558440806155</v>
      </c>
      <c r="S35" s="100">
        <f t="shared" ref="S35:T35" si="11">SUM(S30:S31)</f>
        <v>-193841.18806288665</v>
      </c>
      <c r="T35" s="100">
        <f t="shared" si="11"/>
        <v>50807.118396168386</v>
      </c>
      <c r="U35" s="100">
        <f t="shared" si="10"/>
        <v>35435.122137499027</v>
      </c>
      <c r="W35" s="271"/>
      <c r="X35" s="272"/>
      <c r="Y35" s="272"/>
      <c r="Z35" s="272"/>
      <c r="AA35" s="272"/>
      <c r="AB35" s="272"/>
      <c r="AC35" s="272"/>
      <c r="AD35" s="273"/>
      <c r="AE35" s="271"/>
      <c r="AF35" s="272"/>
      <c r="AG35" s="272"/>
      <c r="AH35" s="272"/>
      <c r="AI35" s="272"/>
      <c r="AJ35" s="272"/>
      <c r="AK35" s="272"/>
      <c r="AL35" s="273"/>
    </row>
    <row r="36" spans="1:38" x14ac:dyDescent="0.2">
      <c r="A36" s="99" t="s">
        <v>357</v>
      </c>
      <c r="B36" s="79" t="s">
        <v>254</v>
      </c>
      <c r="C36" s="100"/>
      <c r="D36" s="100">
        <f t="shared" ref="D36:K36" si="12">+D34+D35</f>
        <v>111560.52917062578</v>
      </c>
      <c r="E36" s="100">
        <f t="shared" si="12"/>
        <v>-51650.324706913962</v>
      </c>
      <c r="F36" s="100">
        <f t="shared" si="12"/>
        <v>140847.3027316579</v>
      </c>
      <c r="G36" s="100">
        <f t="shared" si="12"/>
        <v>8125.433012016234</v>
      </c>
      <c r="H36" s="100">
        <f t="shared" si="12"/>
        <v>-37852.064151634506</v>
      </c>
      <c r="I36" s="100">
        <f t="shared" si="12"/>
        <v>40730.04864819716</v>
      </c>
      <c r="J36" s="100">
        <f t="shared" si="12"/>
        <v>131763.71488252349</v>
      </c>
      <c r="K36" s="100">
        <f t="shared" si="12"/>
        <v>6139.9497433917495</v>
      </c>
      <c r="L36" s="100">
        <f>+L34+L35</f>
        <v>66407.577909000203</v>
      </c>
      <c r="M36" s="100">
        <f>+M34+M35</f>
        <v>-72623.414499833525</v>
      </c>
      <c r="N36" s="100">
        <f>+N34+N35</f>
        <v>53906.653746262964</v>
      </c>
      <c r="O36" s="100">
        <f>+O34+O35</f>
        <v>7875.2623387962885</v>
      </c>
      <c r="P36" s="100">
        <f t="shared" ref="P36:Q36" si="13">+P34+P35</f>
        <v>82220.151877679018</v>
      </c>
      <c r="Q36" s="100">
        <f t="shared" si="13"/>
        <v>-6354.7181894873065</v>
      </c>
      <c r="R36" s="100">
        <f t="shared" ref="R36:U36" si="14">+R34+R35</f>
        <v>-30262.945587204871</v>
      </c>
      <c r="S36" s="100">
        <f t="shared" ref="S36:T36" si="15">+S34+S35</f>
        <v>-142540.20210184573</v>
      </c>
      <c r="T36" s="100">
        <f t="shared" si="15"/>
        <v>135535.71241459408</v>
      </c>
      <c r="U36" s="100">
        <f t="shared" si="14"/>
        <v>105311.4806014971</v>
      </c>
      <c r="W36" s="271"/>
      <c r="X36" s="272"/>
      <c r="Y36" s="272"/>
      <c r="Z36" s="272"/>
      <c r="AA36" s="272"/>
      <c r="AB36" s="272"/>
      <c r="AC36" s="272"/>
      <c r="AD36" s="273"/>
      <c r="AE36" s="271"/>
      <c r="AF36" s="272"/>
      <c r="AG36" s="272"/>
      <c r="AH36" s="272"/>
      <c r="AI36" s="272"/>
      <c r="AJ36" s="272"/>
      <c r="AK36" s="272"/>
      <c r="AL36" s="273"/>
    </row>
    <row r="37" spans="1:38" x14ac:dyDescent="0.2">
      <c r="A37" s="99" t="s">
        <v>338</v>
      </c>
      <c r="B37" s="79" t="s">
        <v>254</v>
      </c>
      <c r="C37" s="100"/>
      <c r="D37" s="100">
        <f>SUM(D32:D33)</f>
        <v>-43934.54003875643</v>
      </c>
      <c r="E37" s="100">
        <f t="shared" ref="E37:K37" si="16">SUM(E32:E33)</f>
        <v>28568.686754466602</v>
      </c>
      <c r="F37" s="100">
        <f t="shared" si="16"/>
        <v>-80747.227448074555</v>
      </c>
      <c r="G37" s="100">
        <f t="shared" si="16"/>
        <v>58006.51668745053</v>
      </c>
      <c r="H37" s="100">
        <f t="shared" si="16"/>
        <v>32688.496547134208</v>
      </c>
      <c r="I37" s="100">
        <f t="shared" si="16"/>
        <v>-37358.822761786934</v>
      </c>
      <c r="J37" s="100">
        <f t="shared" si="16"/>
        <v>-78451.941078979813</v>
      </c>
      <c r="K37" s="100">
        <f t="shared" si="16"/>
        <v>20804.334550644217</v>
      </c>
      <c r="L37" s="100">
        <f>SUM(L32:L33)</f>
        <v>-22273.755898818799</v>
      </c>
      <c r="M37" s="100">
        <f>SUM(M32:M33)</f>
        <v>87757.263740713097</v>
      </c>
      <c r="N37" s="100">
        <f>SUM(N32:N33)</f>
        <v>-48068.927259538672</v>
      </c>
      <c r="O37" s="100">
        <f>SUM(O32:O33)</f>
        <v>20661.221242138814</v>
      </c>
      <c r="P37" s="100">
        <f t="shared" ref="P37:Q37" si="17">SUM(P32:P33)</f>
        <v>-8264.0628520100436</v>
      </c>
      <c r="Q37" s="100">
        <f t="shared" si="17"/>
        <v>11248.256300311092</v>
      </c>
      <c r="R37" s="100">
        <f t="shared" ref="R37:U37" si="18">SUM(R32:R33)</f>
        <v>22118.432008480784</v>
      </c>
      <c r="S37" s="100">
        <f t="shared" ref="S37:T37" si="19">SUM(S32:S33)</f>
        <v>89185.155291371659</v>
      </c>
      <c r="T37" s="100">
        <f t="shared" si="19"/>
        <v>-23391.260822370299</v>
      </c>
      <c r="U37" s="100">
        <f t="shared" si="18"/>
        <v>-19776.225554194112</v>
      </c>
      <c r="W37" s="271"/>
      <c r="X37" s="272"/>
      <c r="Y37" s="272"/>
      <c r="Z37" s="272"/>
      <c r="AA37" s="272"/>
      <c r="AB37" s="272"/>
      <c r="AC37" s="272"/>
      <c r="AD37" s="273"/>
      <c r="AE37" s="271"/>
      <c r="AF37" s="272"/>
      <c r="AG37" s="272"/>
      <c r="AH37" s="272"/>
      <c r="AI37" s="272"/>
      <c r="AJ37" s="272"/>
      <c r="AK37" s="272"/>
      <c r="AL37" s="273"/>
    </row>
    <row r="38" spans="1:38" x14ac:dyDescent="0.2">
      <c r="A38" s="78" t="s">
        <v>339</v>
      </c>
      <c r="B38" s="79" t="s">
        <v>254</v>
      </c>
      <c r="C38" s="100"/>
      <c r="D38" s="100">
        <f>+BS!K10</f>
        <v>109946.02514415399</v>
      </c>
      <c r="E38" s="100">
        <f>+BS!L10</f>
        <v>66014.457220155557</v>
      </c>
      <c r="F38" s="100">
        <f>+BS!M10</f>
        <v>84713.34487518153</v>
      </c>
      <c r="G38" s="100">
        <f>+BS!N10</f>
        <v>88454.033564559621</v>
      </c>
      <c r="H38" s="100">
        <f>+BS!O10</f>
        <v>121887.60766036999</v>
      </c>
      <c r="I38" s="100">
        <f>+BS!P10</f>
        <v>107517.58441310909</v>
      </c>
      <c r="J38" s="100">
        <f>+BS!Q10</f>
        <v>120334.14758770882</v>
      </c>
      <c r="K38" s="100">
        <f>+BS!R10</f>
        <v>87915.375019941843</v>
      </c>
      <c r="L38" s="100">
        <f>+BS!S10</f>
        <v>83614.078235760331</v>
      </c>
      <c r="M38" s="100">
        <f>+BS!T10</f>
        <v>71668.216677829056</v>
      </c>
      <c r="N38" s="100">
        <f>+BS!U10</f>
        <v>87704.0759676171</v>
      </c>
      <c r="O38" s="100">
        <f>+BS!V10</f>
        <v>122791.9780746343</v>
      </c>
      <c r="P38" s="100">
        <f>+BS!W10</f>
        <v>87422.153097130446</v>
      </c>
      <c r="Q38" s="100">
        <f>+BS!X10</f>
        <v>153499.91015614261</v>
      </c>
      <c r="R38" s="100">
        <f>+BS!Y10</f>
        <v>161581.24908156093</v>
      </c>
      <c r="S38" s="100">
        <f>+BS!Z10</f>
        <v>143274.12563986171</v>
      </c>
      <c r="T38" s="100">
        <f>+BS!AA10</f>
        <v>170108.0028331044</v>
      </c>
      <c r="U38" s="100">
        <f>+BS!AB10</f>
        <v>184578.60225221352</v>
      </c>
      <c r="W38" s="274"/>
      <c r="X38" s="275"/>
      <c r="Y38" s="275"/>
      <c r="Z38" s="275"/>
      <c r="AA38" s="275"/>
      <c r="AB38" s="275"/>
      <c r="AC38" s="275"/>
      <c r="AD38" s="276"/>
      <c r="AE38" s="274"/>
      <c r="AF38" s="275"/>
      <c r="AG38" s="275"/>
      <c r="AH38" s="275"/>
      <c r="AI38" s="275"/>
      <c r="AJ38" s="275"/>
      <c r="AK38" s="275"/>
      <c r="AL38" s="276"/>
    </row>
    <row r="39" spans="1:38" x14ac:dyDescent="0.2">
      <c r="A39" s="78" t="s">
        <v>340</v>
      </c>
      <c r="B39" s="79" t="s">
        <v>254</v>
      </c>
      <c r="C39" s="100"/>
      <c r="D39" s="100">
        <f>D41-(D34+D35+D37)</f>
        <v>-111557.55705586779</v>
      </c>
      <c r="E39" s="100">
        <f t="shared" ref="E39:K39" si="20">E41-(E34+E35+E37)</f>
        <v>41780.525607473333</v>
      </c>
      <c r="F39" s="100">
        <f t="shared" si="20"/>
        <v>-56359.386594205251</v>
      </c>
      <c r="G39" s="100">
        <f t="shared" si="20"/>
        <v>-32698.375603656386</v>
      </c>
      <c r="H39" s="100">
        <f t="shared" si="20"/>
        <v>-9206.4556427606076</v>
      </c>
      <c r="I39" s="100">
        <f t="shared" si="20"/>
        <v>9445.337288189512</v>
      </c>
      <c r="J39" s="100">
        <f t="shared" si="20"/>
        <v>-85730.546371310658</v>
      </c>
      <c r="K39" s="100">
        <f t="shared" si="20"/>
        <v>-31245.581078217478</v>
      </c>
      <c r="L39" s="100">
        <f>L41-(L34+L35+L37)</f>
        <v>-56079.683568112683</v>
      </c>
      <c r="M39" s="100">
        <f>M41-(M34+M35+M37)</f>
        <v>902.01004890847253</v>
      </c>
      <c r="N39" s="100">
        <f>N41-(N34+N35+N37)</f>
        <v>29250.17562029291</v>
      </c>
      <c r="O39" s="100">
        <f>O41-(O34+O35+O37)</f>
        <v>-63906.308558438963</v>
      </c>
      <c r="P39" s="100">
        <f t="shared" ref="P39:Q39" si="21">P41-(P34+P35+P37)</f>
        <v>-7878.3319666568132</v>
      </c>
      <c r="Q39" s="100">
        <f t="shared" si="21"/>
        <v>3187.8008145945423</v>
      </c>
      <c r="R39" s="100">
        <f t="shared" ref="R39:U39" si="22">R41-(R34+R35+R37)</f>
        <v>-10162.609862975136</v>
      </c>
      <c r="S39" s="100">
        <f t="shared" ref="S39:T39" si="23">S41-(S34+S35+S37)</f>
        <v>80188.924003716762</v>
      </c>
      <c r="T39" s="100">
        <f t="shared" si="23"/>
        <v>-97673.852173114661</v>
      </c>
      <c r="U39" s="100">
        <f t="shared" si="22"/>
        <v>-89073.960277078149</v>
      </c>
      <c r="W39" s="268"/>
      <c r="X39" s="269"/>
      <c r="Y39" s="269"/>
      <c r="Z39" s="269"/>
      <c r="AA39" s="269"/>
      <c r="AB39" s="269"/>
      <c r="AC39" s="269"/>
      <c r="AD39" s="270"/>
      <c r="AE39" s="268"/>
      <c r="AF39" s="269"/>
      <c r="AG39" s="269"/>
      <c r="AH39" s="269"/>
      <c r="AI39" s="269"/>
      <c r="AJ39" s="269"/>
      <c r="AK39" s="269"/>
      <c r="AL39" s="270"/>
    </row>
    <row r="40" spans="1:38" x14ac:dyDescent="0.2">
      <c r="A40" s="78" t="s">
        <v>341</v>
      </c>
      <c r="B40" s="79" t="s">
        <v>254</v>
      </c>
      <c r="C40" s="100"/>
      <c r="D40" s="100">
        <f>+BS!L10</f>
        <v>66014.457220155557</v>
      </c>
      <c r="E40" s="100">
        <f>+BS!M10</f>
        <v>84713.34487518153</v>
      </c>
      <c r="F40" s="100">
        <f>+BS!N10</f>
        <v>88454.033564559621</v>
      </c>
      <c r="G40" s="100">
        <f>+BS!O10</f>
        <v>121887.60766036999</v>
      </c>
      <c r="H40" s="100">
        <f>+BS!P10</f>
        <v>107517.58441310909</v>
      </c>
      <c r="I40" s="100">
        <f>+BS!Q10</f>
        <v>120334.14758770882</v>
      </c>
      <c r="J40" s="100">
        <f>+BS!R10</f>
        <v>87915.375019941843</v>
      </c>
      <c r="K40" s="100">
        <f>+BS!S10</f>
        <v>83614.078235760331</v>
      </c>
      <c r="L40" s="100">
        <f>+BS!T10</f>
        <v>71668.216677829056</v>
      </c>
      <c r="M40" s="100">
        <f>+BS!U10</f>
        <v>87704.0759676171</v>
      </c>
      <c r="N40" s="100">
        <f>+BS!V10</f>
        <v>122791.9780746343</v>
      </c>
      <c r="O40" s="100">
        <f>+BS!W10</f>
        <v>87422.153097130446</v>
      </c>
      <c r="P40" s="100">
        <f>+BS!X10</f>
        <v>153499.91015614261</v>
      </c>
      <c r="Q40" s="100">
        <f>+BS!Y10</f>
        <v>161581.24908156093</v>
      </c>
      <c r="R40" s="100">
        <f>+BS!Z10</f>
        <v>143274.12563986171</v>
      </c>
      <c r="S40" s="100">
        <f>+BS!AA10</f>
        <v>170108.0028331044</v>
      </c>
      <c r="T40" s="100">
        <f>+BS!AB10</f>
        <v>184578.60225221352</v>
      </c>
      <c r="U40" s="100">
        <f>+BS!AC10</f>
        <v>181039.89702243835</v>
      </c>
      <c r="W40" s="271"/>
      <c r="X40" s="272"/>
      <c r="Y40" s="272"/>
      <c r="Z40" s="272"/>
      <c r="AA40" s="272"/>
      <c r="AB40" s="272"/>
      <c r="AC40" s="272"/>
      <c r="AD40" s="273"/>
      <c r="AE40" s="271"/>
      <c r="AF40" s="272"/>
      <c r="AG40" s="272"/>
      <c r="AH40" s="272"/>
      <c r="AI40" s="272"/>
      <c r="AJ40" s="272"/>
      <c r="AK40" s="272"/>
      <c r="AL40" s="273"/>
    </row>
    <row r="41" spans="1:38" x14ac:dyDescent="0.2">
      <c r="A41" s="78" t="s">
        <v>342</v>
      </c>
      <c r="B41" s="79" t="s">
        <v>254</v>
      </c>
      <c r="C41" s="100"/>
      <c r="D41" s="100">
        <f t="shared" ref="D41:K41" si="24">+D40-D38</f>
        <v>-43931.567923998431</v>
      </c>
      <c r="E41" s="100">
        <f t="shared" si="24"/>
        <v>18698.887655025974</v>
      </c>
      <c r="F41" s="100">
        <f t="shared" si="24"/>
        <v>3740.6886893780902</v>
      </c>
      <c r="G41" s="100">
        <f t="shared" si="24"/>
        <v>33433.574095810371</v>
      </c>
      <c r="H41" s="100">
        <f t="shared" si="24"/>
        <v>-14370.023247260906</v>
      </c>
      <c r="I41" s="100">
        <f t="shared" si="24"/>
        <v>12816.563174599738</v>
      </c>
      <c r="J41" s="100">
        <f t="shared" si="24"/>
        <v>-32418.772567766981</v>
      </c>
      <c r="K41" s="100">
        <f t="shared" si="24"/>
        <v>-4301.2967841815116</v>
      </c>
      <c r="L41" s="100">
        <f>+L40-L38</f>
        <v>-11945.861557931275</v>
      </c>
      <c r="M41" s="100">
        <f>+M40-M38</f>
        <v>16035.859289788044</v>
      </c>
      <c r="N41" s="100">
        <f>+N40-N38</f>
        <v>35087.902107017202</v>
      </c>
      <c r="O41" s="100">
        <f>+O40-O38</f>
        <v>-35369.824977503857</v>
      </c>
      <c r="P41" s="100">
        <f t="shared" ref="P41:Q41" si="25">+P40-P38</f>
        <v>66077.757059012161</v>
      </c>
      <c r="Q41" s="100">
        <f t="shared" si="25"/>
        <v>8081.3389254183276</v>
      </c>
      <c r="R41" s="100">
        <f t="shared" ref="R41:U41" si="26">+R40-R38</f>
        <v>-18307.123441699223</v>
      </c>
      <c r="S41" s="100">
        <f t="shared" ref="S41:T41" si="27">+S40-S38</f>
        <v>26833.87719324269</v>
      </c>
      <c r="T41" s="100">
        <f t="shared" si="27"/>
        <v>14470.599419109116</v>
      </c>
      <c r="U41" s="100">
        <f t="shared" si="26"/>
        <v>-3538.7052297751652</v>
      </c>
      <c r="W41" s="271"/>
      <c r="X41" s="272"/>
      <c r="Y41" s="272"/>
      <c r="Z41" s="272"/>
      <c r="AA41" s="272"/>
      <c r="AB41" s="272"/>
      <c r="AC41" s="272"/>
      <c r="AD41" s="273"/>
      <c r="AE41" s="271"/>
      <c r="AF41" s="272"/>
      <c r="AG41" s="272"/>
      <c r="AH41" s="272"/>
      <c r="AI41" s="272"/>
      <c r="AJ41" s="272"/>
      <c r="AK41" s="272"/>
      <c r="AL41" s="273"/>
    </row>
    <row r="42" spans="1:38" x14ac:dyDescent="0.2">
      <c r="A42" s="191" t="s">
        <v>309</v>
      </c>
      <c r="B42" s="189"/>
      <c r="C42" s="194"/>
      <c r="D42" s="194"/>
      <c r="E42" s="194"/>
      <c r="F42" s="194"/>
      <c r="G42" s="194"/>
      <c r="H42" s="194"/>
      <c r="I42" s="194"/>
      <c r="J42" s="194"/>
      <c r="K42" s="194"/>
      <c r="L42" s="194"/>
      <c r="M42" s="194"/>
      <c r="N42" s="190"/>
      <c r="O42" s="190"/>
      <c r="P42" s="192"/>
      <c r="Q42" s="192"/>
      <c r="R42" s="192"/>
      <c r="S42" s="192"/>
      <c r="T42" s="192"/>
      <c r="U42" s="192"/>
      <c r="W42" s="271"/>
      <c r="X42" s="272"/>
      <c r="Y42" s="272"/>
      <c r="Z42" s="272"/>
      <c r="AA42" s="272"/>
      <c r="AB42" s="272"/>
      <c r="AC42" s="272"/>
      <c r="AD42" s="273"/>
      <c r="AE42" s="271"/>
      <c r="AF42" s="272"/>
      <c r="AG42" s="272"/>
      <c r="AH42" s="272"/>
      <c r="AI42" s="272"/>
      <c r="AJ42" s="272"/>
      <c r="AK42" s="272"/>
      <c r="AL42" s="273"/>
    </row>
    <row r="43" spans="1:38" x14ac:dyDescent="0.2">
      <c r="A43" s="78" t="s">
        <v>343</v>
      </c>
      <c r="B43" s="79" t="s">
        <v>352</v>
      </c>
      <c r="C43" s="101">
        <f t="shared" ref="C43:K43" si="28">+C12/C20*100</f>
        <v>2.4921615341173884</v>
      </c>
      <c r="D43" s="101">
        <f>+D12/D20*100</f>
        <v>2.3335229219091582</v>
      </c>
      <c r="E43" s="101">
        <f t="shared" si="28"/>
        <v>2.4207597773035046</v>
      </c>
      <c r="F43" s="101">
        <f t="shared" si="28"/>
        <v>2.9858176207081142</v>
      </c>
      <c r="G43" s="101">
        <f t="shared" si="28"/>
        <v>2.2531128491999159</v>
      </c>
      <c r="H43" s="101">
        <f t="shared" si="28"/>
        <v>0.51925635288579386</v>
      </c>
      <c r="I43" s="101">
        <f t="shared" si="28"/>
        <v>-0.61979278196232723</v>
      </c>
      <c r="J43" s="101">
        <f t="shared" si="28"/>
        <v>1.9836553318717229</v>
      </c>
      <c r="K43" s="101">
        <f t="shared" si="28"/>
        <v>2.0893950897408331</v>
      </c>
      <c r="L43" s="101">
        <f>+L12/L20*100</f>
        <v>1.8730378286070664</v>
      </c>
      <c r="M43" s="101">
        <f>+M12/M20*100</f>
        <v>2.3611874953431533</v>
      </c>
      <c r="N43" s="101">
        <f>+N12/N20*100</f>
        <v>2.4245752136009284</v>
      </c>
      <c r="O43" s="101">
        <f>+O12/O20*100</f>
        <v>2.559667182041057</v>
      </c>
      <c r="P43" s="101">
        <f t="shared" ref="P43:Q43" si="29">+P12/P20*100</f>
        <v>2.9893108964935076</v>
      </c>
      <c r="Q43" s="101">
        <f t="shared" si="29"/>
        <v>3.0963648958992271</v>
      </c>
      <c r="R43" s="101">
        <f t="shared" ref="R43:U43" si="30">+R12/R20*100</f>
        <v>2.7890233282431027</v>
      </c>
      <c r="S43" s="101">
        <f t="shared" ref="S43:T43" si="31">+S12/S20*100</f>
        <v>2.0684867326806944</v>
      </c>
      <c r="T43" s="101">
        <f t="shared" si="31"/>
        <v>1.0096409982260715</v>
      </c>
      <c r="U43" s="101">
        <f t="shared" si="30"/>
        <v>2.6395067424579413</v>
      </c>
      <c r="W43" s="271"/>
      <c r="X43" s="272"/>
      <c r="Y43" s="272"/>
      <c r="Z43" s="272"/>
      <c r="AA43" s="272"/>
      <c r="AB43" s="272"/>
      <c r="AC43" s="272"/>
      <c r="AD43" s="273"/>
      <c r="AE43" s="271"/>
      <c r="AF43" s="272"/>
      <c r="AG43" s="272"/>
      <c r="AH43" s="272"/>
      <c r="AI43" s="272"/>
      <c r="AJ43" s="272"/>
      <c r="AK43" s="272"/>
      <c r="AL43" s="273"/>
    </row>
    <row r="44" spans="1:38" x14ac:dyDescent="0.2">
      <c r="A44" s="78" t="s">
        <v>315</v>
      </c>
      <c r="B44" s="79" t="s">
        <v>353</v>
      </c>
      <c r="C44" s="102">
        <f t="shared" ref="C44:K44" si="32">+C19/C20*100</f>
        <v>29.165959455998053</v>
      </c>
      <c r="D44" s="102">
        <f>+D19/D20*100</f>
        <v>25.366612136977114</v>
      </c>
      <c r="E44" s="102">
        <f t="shared" si="32"/>
        <v>33.861025043571992</v>
      </c>
      <c r="F44" s="102">
        <f t="shared" si="32"/>
        <v>34.44473025852551</v>
      </c>
      <c r="G44" s="102">
        <f t="shared" si="32"/>
        <v>30.578414065591815</v>
      </c>
      <c r="H44" s="102">
        <f t="shared" si="32"/>
        <v>33.160830970701319</v>
      </c>
      <c r="I44" s="102">
        <f t="shared" si="32"/>
        <v>37.721357127140323</v>
      </c>
      <c r="J44" s="102">
        <f t="shared" si="32"/>
        <v>36.297698092620109</v>
      </c>
      <c r="K44" s="102">
        <f t="shared" si="32"/>
        <v>36.356212028451651</v>
      </c>
      <c r="L44" s="102">
        <f>+L19/L20*100</f>
        <v>34.343307611570893</v>
      </c>
      <c r="M44" s="102">
        <f>+M19/M20*100</f>
        <v>37.058232793944754</v>
      </c>
      <c r="N44" s="102">
        <f>+N19/N20*100</f>
        <v>37.882487864857737</v>
      </c>
      <c r="O44" s="102">
        <f>+O19/O20*100</f>
        <v>36.957161528169877</v>
      </c>
      <c r="P44" s="102">
        <f t="shared" ref="P44:Q44" si="33">+P19/P20*100</f>
        <v>41.763147592598656</v>
      </c>
      <c r="Q44" s="102">
        <f t="shared" si="33"/>
        <v>41.627689038530441</v>
      </c>
      <c r="R44" s="102">
        <f t="shared" ref="R44:U44" si="34">+R19/R20*100</f>
        <v>43.730355055163919</v>
      </c>
      <c r="S44" s="102">
        <f t="shared" ref="S44:T44" si="35">+S19/S20*100</f>
        <v>47.37943133380837</v>
      </c>
      <c r="T44" s="102">
        <f t="shared" si="35"/>
        <v>42.667295493298049</v>
      </c>
      <c r="U44" s="102">
        <f t="shared" si="34"/>
        <v>41.640449458508641</v>
      </c>
      <c r="W44" s="271"/>
      <c r="X44" s="272"/>
      <c r="Y44" s="272"/>
      <c r="Z44" s="272"/>
      <c r="AA44" s="272"/>
      <c r="AB44" s="272"/>
      <c r="AC44" s="272"/>
      <c r="AD44" s="273"/>
      <c r="AE44" s="271"/>
      <c r="AF44" s="272"/>
      <c r="AG44" s="272"/>
      <c r="AH44" s="272"/>
      <c r="AI44" s="272"/>
      <c r="AJ44" s="272"/>
      <c r="AK44" s="272"/>
      <c r="AL44" s="273"/>
    </row>
    <row r="45" spans="1:38" x14ac:dyDescent="0.2">
      <c r="A45" s="78" t="s">
        <v>316</v>
      </c>
      <c r="B45" s="79" t="s">
        <v>353</v>
      </c>
      <c r="C45" s="102">
        <f t="shared" ref="C45:K45" si="36">+C12/C19*100</f>
        <v>8.5447610179848521</v>
      </c>
      <c r="D45" s="102">
        <f>+D12/D19*100</f>
        <v>9.1991902951343025</v>
      </c>
      <c r="E45" s="102">
        <f t="shared" si="36"/>
        <v>7.1491036499589056</v>
      </c>
      <c r="F45" s="102">
        <f t="shared" si="36"/>
        <v>8.6684308406482202</v>
      </c>
      <c r="G45" s="102">
        <f t="shared" si="36"/>
        <v>7.3683116605292431</v>
      </c>
      <c r="H45" s="102">
        <f t="shared" si="36"/>
        <v>1.5658725601435437</v>
      </c>
      <c r="I45" s="102">
        <f t="shared" si="36"/>
        <v>-1.6430818750060014</v>
      </c>
      <c r="J45" s="102">
        <f t="shared" si="36"/>
        <v>5.4649617912686059</v>
      </c>
      <c r="K45" s="102">
        <f t="shared" si="36"/>
        <v>5.7470098592936845</v>
      </c>
      <c r="L45" s="102">
        <f>+L12/L19*100</f>
        <v>5.4538655676135432</v>
      </c>
      <c r="M45" s="102">
        <f>+M12/M19*100</f>
        <v>6.3715598864956311</v>
      </c>
      <c r="N45" s="102">
        <f>+N12/N19*100</f>
        <v>6.4002533895090945</v>
      </c>
      <c r="O45" s="102">
        <f>+O12/O19*100</f>
        <v>6.9260383541360468</v>
      </c>
      <c r="P45" s="102">
        <f t="shared" ref="P45:Q45" si="37">+P12/P19*100</f>
        <v>7.1577720282349588</v>
      </c>
      <c r="Q45" s="102">
        <f t="shared" si="37"/>
        <v>7.4382339433573712</v>
      </c>
      <c r="R45" s="102">
        <f t="shared" ref="R45:U45" si="38">+R12/R19*100</f>
        <v>6.3777742593785769</v>
      </c>
      <c r="S45" s="102">
        <f t="shared" ref="S45:T45" si="39">+S12/S19*100</f>
        <v>4.3657905433843647</v>
      </c>
      <c r="T45" s="102">
        <f t="shared" si="39"/>
        <v>2.3663112146038423</v>
      </c>
      <c r="U45" s="102">
        <f t="shared" si="38"/>
        <v>6.3388046401564351</v>
      </c>
      <c r="W45" s="271"/>
      <c r="X45" s="272"/>
      <c r="Y45" s="272"/>
      <c r="Z45" s="272"/>
      <c r="AA45" s="272"/>
      <c r="AB45" s="272"/>
      <c r="AC45" s="272"/>
      <c r="AD45" s="273"/>
      <c r="AE45" s="271"/>
      <c r="AF45" s="272"/>
      <c r="AG45" s="272"/>
      <c r="AH45" s="272"/>
      <c r="AI45" s="272"/>
      <c r="AJ45" s="272"/>
      <c r="AK45" s="272"/>
      <c r="AL45" s="273"/>
    </row>
    <row r="46" spans="1:38" x14ac:dyDescent="0.2">
      <c r="A46" s="78" t="s">
        <v>349</v>
      </c>
      <c r="B46" s="79" t="s">
        <v>354</v>
      </c>
      <c r="C46" s="101">
        <f t="shared" ref="C46:K46" si="40">+C18/C20*100</f>
        <v>35.447880373901</v>
      </c>
      <c r="D46" s="101">
        <f>+D18/D20*100</f>
        <v>33.539010783079995</v>
      </c>
      <c r="E46" s="101">
        <f t="shared" si="40"/>
        <v>34.536738296540257</v>
      </c>
      <c r="F46" s="101">
        <f t="shared" si="40"/>
        <v>30.649430918156927</v>
      </c>
      <c r="G46" s="101">
        <f t="shared" si="40"/>
        <v>37.851822135920344</v>
      </c>
      <c r="H46" s="101">
        <f t="shared" si="40"/>
        <v>41.785369541215253</v>
      </c>
      <c r="I46" s="101">
        <f t="shared" si="40"/>
        <v>37.473895363646932</v>
      </c>
      <c r="J46" s="101">
        <f t="shared" si="40"/>
        <v>34.817482388528404</v>
      </c>
      <c r="K46" s="101">
        <f t="shared" si="40"/>
        <v>36.249350413207502</v>
      </c>
      <c r="L46" s="101">
        <f>+L18/L20*100</f>
        <v>42.072073668341829</v>
      </c>
      <c r="M46" s="101">
        <f>+M18/M20*100</f>
        <v>32.622770423624821</v>
      </c>
      <c r="N46" s="101">
        <f>+N18/N20*100</f>
        <v>31.484544994560697</v>
      </c>
      <c r="O46" s="101">
        <f>+O18/O20*100</f>
        <v>32.473354729781718</v>
      </c>
      <c r="P46" s="101">
        <f t="shared" ref="P46:Q46" si="41">+P18/P20*100</f>
        <v>30.746748626562258</v>
      </c>
      <c r="Q46" s="101">
        <f t="shared" si="41"/>
        <v>29.237594891731057</v>
      </c>
      <c r="R46" s="101">
        <f t="shared" ref="R46:U46" si="42">+R18/R20*100</f>
        <v>30.593940324830697</v>
      </c>
      <c r="S46" s="101">
        <f t="shared" ref="S46:T46" si="43">+S18/S20*100</f>
        <v>28.455020026099731</v>
      </c>
      <c r="T46" s="101">
        <f t="shared" si="43"/>
        <v>32.85709467861863</v>
      </c>
      <c r="U46" s="101">
        <f t="shared" si="42"/>
        <v>33.036101539244171</v>
      </c>
      <c r="W46" s="271"/>
      <c r="X46" s="272"/>
      <c r="Y46" s="272"/>
      <c r="Z46" s="272"/>
      <c r="AA46" s="272"/>
      <c r="AB46" s="272"/>
      <c r="AC46" s="272"/>
      <c r="AD46" s="273"/>
      <c r="AE46" s="271"/>
      <c r="AF46" s="272"/>
      <c r="AG46" s="272"/>
      <c r="AH46" s="272"/>
      <c r="AI46" s="272"/>
      <c r="AJ46" s="272"/>
      <c r="AK46" s="272"/>
      <c r="AL46" s="273"/>
    </row>
    <row r="47" spans="1:38" x14ac:dyDescent="0.2">
      <c r="A47" s="78" t="s">
        <v>350</v>
      </c>
      <c r="B47" s="79" t="s">
        <v>254</v>
      </c>
      <c r="C47" s="100">
        <f t="shared" ref="C47:K47" si="44">+C5/C13</f>
        <v>21367.123941831895</v>
      </c>
      <c r="D47" s="100">
        <f>+D5/D13</f>
        <v>20687.049177072324</v>
      </c>
      <c r="E47" s="100">
        <f t="shared" si="44"/>
        <v>18924.580461727084</v>
      </c>
      <c r="F47" s="100">
        <f t="shared" si="44"/>
        <v>19250.993978140355</v>
      </c>
      <c r="G47" s="100">
        <f t="shared" si="44"/>
        <v>21116.913839319757</v>
      </c>
      <c r="H47" s="100">
        <f t="shared" si="44"/>
        <v>27992.342159766002</v>
      </c>
      <c r="I47" s="100">
        <f t="shared" si="44"/>
        <v>17752.917887443749</v>
      </c>
      <c r="J47" s="100">
        <f t="shared" si="44"/>
        <v>19692.538768088485</v>
      </c>
      <c r="K47" s="100">
        <f t="shared" si="44"/>
        <v>17995.364100604707</v>
      </c>
      <c r="L47" s="100">
        <f>+L5/L13</f>
        <v>13370.535864240446</v>
      </c>
      <c r="M47" s="100">
        <f>+M5/M13</f>
        <v>20938.1238388118</v>
      </c>
      <c r="N47" s="100">
        <f>+N5/N13</f>
        <v>21628.297774072027</v>
      </c>
      <c r="O47" s="100">
        <f>+O5/O13</f>
        <v>22595.536759633687</v>
      </c>
      <c r="P47" s="100">
        <f t="shared" ref="P47:Q47" si="45">+P5/P13</f>
        <v>21739.929559272769</v>
      </c>
      <c r="Q47" s="100">
        <f t="shared" si="45"/>
        <v>20199.68630498878</v>
      </c>
      <c r="R47" s="100">
        <f t="shared" ref="R47:U47" si="46">+R5/R13</f>
        <v>21896.168506761551</v>
      </c>
      <c r="S47" s="100">
        <f t="shared" ref="S47:T47" si="47">+S5/S13</f>
        <v>22248.358391267626</v>
      </c>
      <c r="T47" s="100">
        <f t="shared" si="47"/>
        <v>21762.069672391655</v>
      </c>
      <c r="U47" s="100">
        <f t="shared" si="46"/>
        <v>21851.263680088425</v>
      </c>
      <c r="W47" s="271"/>
      <c r="X47" s="272"/>
      <c r="Y47" s="272"/>
      <c r="Z47" s="272"/>
      <c r="AA47" s="272"/>
      <c r="AB47" s="272"/>
      <c r="AC47" s="272"/>
      <c r="AD47" s="273"/>
      <c r="AE47" s="271"/>
      <c r="AF47" s="272"/>
      <c r="AG47" s="272"/>
      <c r="AH47" s="272"/>
      <c r="AI47" s="272"/>
      <c r="AJ47" s="272"/>
      <c r="AK47" s="272"/>
      <c r="AL47" s="273"/>
    </row>
    <row r="48" spans="1:38" x14ac:dyDescent="0.2">
      <c r="A48" s="78" t="s">
        <v>185</v>
      </c>
      <c r="B48" s="79" t="s">
        <v>254</v>
      </c>
      <c r="C48" s="100">
        <f>+PL!K47</f>
        <v>393255.67539464694</v>
      </c>
      <c r="D48" s="100">
        <f>+PL!L47</f>
        <v>307123.01318904298</v>
      </c>
      <c r="E48" s="100">
        <f>+PL!M47</f>
        <v>346290.95397098799</v>
      </c>
      <c r="F48" s="100">
        <f>+PL!N47</f>
        <v>319920.16979466018</v>
      </c>
      <c r="G48" s="100">
        <f>+PL!O47</f>
        <v>332815.60714089364</v>
      </c>
      <c r="H48" s="100">
        <f>+PL!P47</f>
        <v>357060.51252820645</v>
      </c>
      <c r="I48" s="100">
        <f>+PL!Q47</f>
        <v>264705.09718996001</v>
      </c>
      <c r="J48" s="100">
        <f>+PL!R47</f>
        <v>267789.74428650487</v>
      </c>
      <c r="K48" s="100">
        <f>+PL!S47</f>
        <v>227037.89144963975</v>
      </c>
      <c r="L48" s="100">
        <f>+PL!T47</f>
        <v>192388.09286662968</v>
      </c>
      <c r="M48" s="100">
        <f>+PL!U47</f>
        <v>304316.2749047525</v>
      </c>
      <c r="N48" s="100">
        <f>+PL!V47</f>
        <v>312954.82536491682</v>
      </c>
      <c r="O48" s="100">
        <f>+PL!W47</f>
        <v>311920.24688486045</v>
      </c>
      <c r="P48" s="100">
        <f>+PL!X47</f>
        <v>338070.06779931602</v>
      </c>
      <c r="Q48" s="100">
        <f>+PL!Y47</f>
        <v>329132.95276115369</v>
      </c>
      <c r="R48" s="100">
        <f>+PL!Z47</f>
        <v>384947.37213565846</v>
      </c>
      <c r="S48" s="100">
        <f>+PL!AA47</f>
        <v>368613.81224244507</v>
      </c>
      <c r="T48" s="100">
        <f>+PL!AB47</f>
        <v>403636.12464540533</v>
      </c>
      <c r="U48" s="100">
        <f>+PL!AC47</f>
        <v>374651.02943434851</v>
      </c>
      <c r="W48" s="271"/>
      <c r="X48" s="272"/>
      <c r="Y48" s="272"/>
      <c r="Z48" s="272"/>
      <c r="AA48" s="272"/>
      <c r="AB48" s="272"/>
      <c r="AC48" s="272"/>
      <c r="AD48" s="273"/>
      <c r="AE48" s="271"/>
      <c r="AF48" s="272"/>
      <c r="AG48" s="272"/>
      <c r="AH48" s="272"/>
      <c r="AI48" s="272"/>
      <c r="AJ48" s="272"/>
      <c r="AK48" s="272"/>
      <c r="AL48" s="273"/>
    </row>
    <row r="49" spans="1:38" x14ac:dyDescent="0.2">
      <c r="A49" s="78" t="s">
        <v>351</v>
      </c>
      <c r="B49" s="79" t="s">
        <v>355</v>
      </c>
      <c r="C49" s="103">
        <f t="shared" ref="C49:K49" si="48">+C7/C48*100</f>
        <v>51.176365457438102</v>
      </c>
      <c r="D49" s="103">
        <f t="shared" si="48"/>
        <v>59.433730352847</v>
      </c>
      <c r="E49" s="103">
        <f t="shared" si="48"/>
        <v>51.390549363243807</v>
      </c>
      <c r="F49" s="103">
        <f t="shared" si="48"/>
        <v>50.567180043603969</v>
      </c>
      <c r="G49" s="103">
        <f t="shared" si="48"/>
        <v>51.11635741441485</v>
      </c>
      <c r="H49" s="103">
        <f t="shared" si="48"/>
        <v>51.437421027694263</v>
      </c>
      <c r="I49" s="103">
        <f t="shared" si="48"/>
        <v>55.939982686635979</v>
      </c>
      <c r="J49" s="103">
        <f t="shared" si="48"/>
        <v>48.730872872970451</v>
      </c>
      <c r="K49" s="103">
        <f t="shared" si="48"/>
        <v>51.670304333309524</v>
      </c>
      <c r="L49" s="103">
        <f>+L7/L48*100</f>
        <v>58.405344790538308</v>
      </c>
      <c r="M49" s="103">
        <f>+M7/M48*100</f>
        <v>52.116439571641372</v>
      </c>
      <c r="N49" s="103">
        <f>+N7/N48*100</f>
        <v>50.400545339462568</v>
      </c>
      <c r="O49" s="103">
        <f>+O7/O48*100</f>
        <v>50.782855428310825</v>
      </c>
      <c r="P49" s="103">
        <f t="shared" ref="P49:Q49" si="49">+P7/P48*100</f>
        <v>52.210486291656942</v>
      </c>
      <c r="Q49" s="103">
        <f t="shared" si="49"/>
        <v>53.517645396159288</v>
      </c>
      <c r="R49" s="103">
        <f t="shared" ref="R49:U49" si="50">+R7/R48*100</f>
        <v>44.873327485957461</v>
      </c>
      <c r="S49" s="103">
        <f t="shared" ref="S49:T49" si="51">+S7/S48*100</f>
        <v>44.72887762840265</v>
      </c>
      <c r="T49" s="103">
        <f t="shared" si="51"/>
        <v>46.720837321998829</v>
      </c>
      <c r="U49" s="103">
        <f t="shared" si="50"/>
        <v>46.491926395965457</v>
      </c>
      <c r="W49" s="271"/>
      <c r="X49" s="272"/>
      <c r="Y49" s="272"/>
      <c r="Z49" s="272"/>
      <c r="AA49" s="272"/>
      <c r="AB49" s="272"/>
      <c r="AC49" s="272"/>
      <c r="AD49" s="273"/>
      <c r="AE49" s="271"/>
      <c r="AF49" s="272"/>
      <c r="AG49" s="272"/>
      <c r="AH49" s="272"/>
      <c r="AI49" s="272"/>
      <c r="AJ49" s="272"/>
      <c r="AK49" s="272"/>
      <c r="AL49" s="273"/>
    </row>
    <row r="50" spans="1:38" ht="12.6" thickBot="1" x14ac:dyDescent="0.25">
      <c r="A50" s="76" t="s">
        <v>356</v>
      </c>
      <c r="W50" s="271"/>
      <c r="X50" s="272"/>
      <c r="Y50" s="272"/>
      <c r="Z50" s="272"/>
      <c r="AA50" s="272"/>
      <c r="AB50" s="272"/>
      <c r="AC50" s="272"/>
      <c r="AD50" s="273"/>
      <c r="AE50" s="271"/>
      <c r="AF50" s="272"/>
      <c r="AG50" s="272"/>
      <c r="AH50" s="272"/>
      <c r="AI50" s="272"/>
      <c r="AJ50" s="272"/>
      <c r="AK50" s="272"/>
      <c r="AL50" s="273"/>
    </row>
    <row r="51" spans="1:38" x14ac:dyDescent="0.2">
      <c r="A51" s="277"/>
      <c r="B51" s="278"/>
      <c r="C51" s="278"/>
      <c r="D51" s="278"/>
      <c r="E51" s="278"/>
      <c r="F51" s="278"/>
      <c r="G51" s="278"/>
      <c r="H51" s="278"/>
      <c r="I51" s="278"/>
      <c r="J51" s="278"/>
      <c r="K51" s="278"/>
      <c r="L51" s="278"/>
      <c r="M51" s="278"/>
      <c r="N51" s="278"/>
      <c r="O51" s="278"/>
      <c r="P51" s="278"/>
      <c r="Q51" s="278"/>
      <c r="R51" s="278"/>
      <c r="S51" s="278"/>
      <c r="T51" s="278"/>
      <c r="U51" s="279"/>
      <c r="W51" s="271"/>
      <c r="X51" s="272"/>
      <c r="Y51" s="272"/>
      <c r="Z51" s="272"/>
      <c r="AA51" s="272"/>
      <c r="AB51" s="272"/>
      <c r="AC51" s="272"/>
      <c r="AD51" s="273"/>
      <c r="AE51" s="271"/>
      <c r="AF51" s="272"/>
      <c r="AG51" s="272"/>
      <c r="AH51" s="272"/>
      <c r="AI51" s="272"/>
      <c r="AJ51" s="272"/>
      <c r="AK51" s="272"/>
      <c r="AL51" s="273"/>
    </row>
    <row r="52" spans="1:38" x14ac:dyDescent="0.2">
      <c r="A52" s="280"/>
      <c r="B52" s="281"/>
      <c r="C52" s="281"/>
      <c r="D52" s="281"/>
      <c r="E52" s="281"/>
      <c r="F52" s="281"/>
      <c r="G52" s="281"/>
      <c r="H52" s="281"/>
      <c r="I52" s="281"/>
      <c r="J52" s="281"/>
      <c r="K52" s="281"/>
      <c r="L52" s="281"/>
      <c r="M52" s="281"/>
      <c r="N52" s="281"/>
      <c r="O52" s="281"/>
      <c r="P52" s="281"/>
      <c r="Q52" s="281"/>
      <c r="R52" s="281"/>
      <c r="S52" s="281"/>
      <c r="T52" s="281"/>
      <c r="U52" s="282"/>
      <c r="W52" s="271"/>
      <c r="X52" s="272"/>
      <c r="Y52" s="272"/>
      <c r="Z52" s="272"/>
      <c r="AA52" s="272"/>
      <c r="AB52" s="272"/>
      <c r="AC52" s="272"/>
      <c r="AD52" s="273"/>
      <c r="AE52" s="271"/>
      <c r="AF52" s="272"/>
      <c r="AG52" s="272"/>
      <c r="AH52" s="272"/>
      <c r="AI52" s="272"/>
      <c r="AJ52" s="272"/>
      <c r="AK52" s="272"/>
      <c r="AL52" s="273"/>
    </row>
    <row r="53" spans="1:38" x14ac:dyDescent="0.2">
      <c r="A53" s="280"/>
      <c r="B53" s="281"/>
      <c r="C53" s="281"/>
      <c r="D53" s="281"/>
      <c r="E53" s="281"/>
      <c r="F53" s="281"/>
      <c r="G53" s="281"/>
      <c r="H53" s="281"/>
      <c r="I53" s="281"/>
      <c r="J53" s="281"/>
      <c r="K53" s="281"/>
      <c r="L53" s="281"/>
      <c r="M53" s="281"/>
      <c r="N53" s="281"/>
      <c r="O53" s="281"/>
      <c r="P53" s="281"/>
      <c r="Q53" s="281"/>
      <c r="R53" s="281"/>
      <c r="S53" s="281"/>
      <c r="T53" s="281"/>
      <c r="U53" s="282"/>
      <c r="W53" s="271"/>
      <c r="X53" s="272"/>
      <c r="Y53" s="272"/>
      <c r="Z53" s="272"/>
      <c r="AA53" s="272"/>
      <c r="AB53" s="272"/>
      <c r="AC53" s="272"/>
      <c r="AD53" s="273"/>
      <c r="AE53" s="271"/>
      <c r="AF53" s="272"/>
      <c r="AG53" s="272"/>
      <c r="AH53" s="272"/>
      <c r="AI53" s="272"/>
      <c r="AJ53" s="272"/>
      <c r="AK53" s="272"/>
      <c r="AL53" s="273"/>
    </row>
    <row r="54" spans="1:38" x14ac:dyDescent="0.2">
      <c r="A54" s="280"/>
      <c r="B54" s="281"/>
      <c r="C54" s="281"/>
      <c r="D54" s="281"/>
      <c r="E54" s="281"/>
      <c r="F54" s="281"/>
      <c r="G54" s="281"/>
      <c r="H54" s="281"/>
      <c r="I54" s="281"/>
      <c r="J54" s="281"/>
      <c r="K54" s="281"/>
      <c r="L54" s="281"/>
      <c r="M54" s="281"/>
      <c r="N54" s="281"/>
      <c r="O54" s="281"/>
      <c r="P54" s="281"/>
      <c r="Q54" s="281"/>
      <c r="R54" s="281"/>
      <c r="S54" s="281"/>
      <c r="T54" s="281"/>
      <c r="U54" s="282"/>
      <c r="W54" s="271"/>
      <c r="X54" s="272"/>
      <c r="Y54" s="272"/>
      <c r="Z54" s="272"/>
      <c r="AA54" s="272"/>
      <c r="AB54" s="272"/>
      <c r="AC54" s="272"/>
      <c r="AD54" s="273"/>
      <c r="AE54" s="271"/>
      <c r="AF54" s="272"/>
      <c r="AG54" s="272"/>
      <c r="AH54" s="272"/>
      <c r="AI54" s="272"/>
      <c r="AJ54" s="272"/>
      <c r="AK54" s="272"/>
      <c r="AL54" s="273"/>
    </row>
    <row r="55" spans="1:38" x14ac:dyDescent="0.2">
      <c r="A55" s="280"/>
      <c r="B55" s="281"/>
      <c r="C55" s="281"/>
      <c r="D55" s="281"/>
      <c r="E55" s="281"/>
      <c r="F55" s="281"/>
      <c r="G55" s="281"/>
      <c r="H55" s="281"/>
      <c r="I55" s="281"/>
      <c r="J55" s="281"/>
      <c r="K55" s="281"/>
      <c r="L55" s="281"/>
      <c r="M55" s="281"/>
      <c r="N55" s="281"/>
      <c r="O55" s="281"/>
      <c r="P55" s="281"/>
      <c r="Q55" s="281"/>
      <c r="R55" s="281"/>
      <c r="S55" s="281"/>
      <c r="T55" s="281"/>
      <c r="U55" s="282"/>
      <c r="W55" s="271"/>
      <c r="X55" s="272"/>
      <c r="Y55" s="272"/>
      <c r="Z55" s="272"/>
      <c r="AA55" s="272"/>
      <c r="AB55" s="272"/>
      <c r="AC55" s="272"/>
      <c r="AD55" s="273"/>
      <c r="AE55" s="271"/>
      <c r="AF55" s="272"/>
      <c r="AG55" s="272"/>
      <c r="AH55" s="272"/>
      <c r="AI55" s="272"/>
      <c r="AJ55" s="272"/>
      <c r="AK55" s="272"/>
      <c r="AL55" s="273"/>
    </row>
    <row r="56" spans="1:38" ht="12.6" thickBot="1" x14ac:dyDescent="0.25">
      <c r="A56" s="283"/>
      <c r="B56" s="284"/>
      <c r="C56" s="284"/>
      <c r="D56" s="284"/>
      <c r="E56" s="284"/>
      <c r="F56" s="284"/>
      <c r="G56" s="284"/>
      <c r="H56" s="284"/>
      <c r="I56" s="284"/>
      <c r="J56" s="284"/>
      <c r="K56" s="284"/>
      <c r="L56" s="284"/>
      <c r="M56" s="284"/>
      <c r="N56" s="284"/>
      <c r="O56" s="284"/>
      <c r="P56" s="284"/>
      <c r="Q56" s="284"/>
      <c r="R56" s="284"/>
      <c r="S56" s="284"/>
      <c r="T56" s="284"/>
      <c r="U56" s="285"/>
      <c r="W56" s="274"/>
      <c r="X56" s="275"/>
      <c r="Y56" s="275"/>
      <c r="Z56" s="275"/>
      <c r="AA56" s="275"/>
      <c r="AB56" s="275"/>
      <c r="AC56" s="275"/>
      <c r="AD56" s="276"/>
      <c r="AE56" s="274"/>
      <c r="AF56" s="275"/>
      <c r="AG56" s="275"/>
      <c r="AH56" s="275"/>
      <c r="AI56" s="275"/>
      <c r="AJ56" s="275"/>
      <c r="AK56" s="275"/>
      <c r="AL56" s="276"/>
    </row>
    <row r="57" spans="1:38" x14ac:dyDescent="0.2">
      <c r="A57" s="267" t="s">
        <v>581</v>
      </c>
      <c r="B57" s="267"/>
      <c r="C57" s="267"/>
      <c r="D57" s="267"/>
      <c r="E57" s="267"/>
      <c r="F57" s="267"/>
      <c r="G57" s="267"/>
      <c r="H57" s="267"/>
      <c r="I57" s="267"/>
      <c r="J57" s="267"/>
      <c r="K57" s="267"/>
      <c r="L57" s="267"/>
      <c r="M57" s="267"/>
      <c r="N57" s="267"/>
      <c r="O57" s="267"/>
      <c r="P57" s="267"/>
      <c r="Q57" s="267"/>
      <c r="R57" s="267"/>
      <c r="S57" s="267"/>
      <c r="T57" s="267"/>
      <c r="U57" s="267"/>
    </row>
  </sheetData>
  <sheetProtection algorithmName="SHA-512" hashValue="nHwlw/a047Re4v2KxxyPciZhUHtlFV4nXRTiH0x4r0dx/1Kr6Ami+nlJHIC+VMlw+KW1KKs9PHKrw52YOoVGgA==" saltValue="Rn1cYyzMQZ2NKwS/1Nz9Rw==" spinCount="100000" sheet="1" objects="1" scenarios="1"/>
  <mergeCells count="8">
    <mergeCell ref="A57:U57"/>
    <mergeCell ref="AE39:AL56"/>
    <mergeCell ref="A51:U56"/>
    <mergeCell ref="W3:AD20"/>
    <mergeCell ref="AE3:AL20"/>
    <mergeCell ref="W39:AD56"/>
    <mergeCell ref="W21:AD38"/>
    <mergeCell ref="AE21:AL38"/>
  </mergeCells>
  <phoneticPr fontId="3"/>
  <pageMargins left="0.77" right="0.4" top="0.6" bottom="0.61" header="0.2" footer="0.2"/>
  <pageSetup paperSize="9" scale="81"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92"/>
  <sheetViews>
    <sheetView zoomScaleNormal="100" workbookViewId="0"/>
  </sheetViews>
  <sheetFormatPr defaultColWidth="9" defaultRowHeight="12" x14ac:dyDescent="0.2"/>
  <cols>
    <col min="1" max="1" width="20.77734375" style="76" customWidth="1"/>
    <col min="2" max="2" width="6.21875" style="77" customWidth="1"/>
    <col min="3" max="15" width="9.21875" style="76" customWidth="1"/>
    <col min="16" max="16" width="9.109375" style="76" customWidth="1"/>
    <col min="17" max="21" width="9.21875" style="76" customWidth="1"/>
    <col min="22" max="26" width="7" style="76" customWidth="1"/>
    <col min="27" max="32" width="7" style="31" customWidth="1"/>
    <col min="33" max="36" width="7.21875" style="31" customWidth="1"/>
    <col min="37" max="40" width="7.33203125" style="31" customWidth="1"/>
    <col min="41" max="16384" width="9" style="31"/>
  </cols>
  <sheetData>
    <row r="1" spans="1:40" ht="14.4" x14ac:dyDescent="0.2">
      <c r="A1" s="75" t="s">
        <v>384</v>
      </c>
    </row>
    <row r="2" spans="1:40" ht="15" thickBot="1" x14ac:dyDescent="0.25">
      <c r="A2" s="75" t="str">
        <f>BS!A2</f>
        <v>３１　輸送用機械器具製造業</v>
      </c>
    </row>
    <row r="3" spans="1:40" x14ac:dyDescent="0.2">
      <c r="A3" s="106"/>
      <c r="B3" s="107"/>
      <c r="C3" s="108" t="s">
        <v>532</v>
      </c>
      <c r="D3" s="108" t="s">
        <v>519</v>
      </c>
      <c r="E3" s="108" t="s">
        <v>520</v>
      </c>
      <c r="F3" s="108" t="s">
        <v>521</v>
      </c>
      <c r="G3" s="108" t="s">
        <v>522</v>
      </c>
      <c r="H3" s="108" t="s">
        <v>359</v>
      </c>
      <c r="I3" s="108" t="s">
        <v>506</v>
      </c>
      <c r="J3" s="108" t="s">
        <v>511</v>
      </c>
      <c r="K3" s="108" t="s">
        <v>515</v>
      </c>
      <c r="L3" s="108" t="s">
        <v>517</v>
      </c>
      <c r="M3" s="108" t="s">
        <v>535</v>
      </c>
      <c r="N3" s="239" t="s">
        <v>536</v>
      </c>
      <c r="O3" s="239" t="s">
        <v>539</v>
      </c>
      <c r="P3" s="239" t="s">
        <v>554</v>
      </c>
      <c r="Q3" s="239" t="s">
        <v>557</v>
      </c>
      <c r="R3" s="239" t="s">
        <v>564</v>
      </c>
      <c r="S3" s="239" t="s">
        <v>563</v>
      </c>
      <c r="T3" s="239" t="s">
        <v>576</v>
      </c>
      <c r="U3" s="109" t="s">
        <v>580</v>
      </c>
      <c r="V3" s="110" t="s">
        <v>532</v>
      </c>
      <c r="W3" s="110" t="s">
        <v>519</v>
      </c>
      <c r="X3" s="111" t="s">
        <v>520</v>
      </c>
      <c r="Y3" s="111" t="s">
        <v>521</v>
      </c>
      <c r="Z3" s="111" t="s">
        <v>522</v>
      </c>
      <c r="AA3" s="111" t="s">
        <v>359</v>
      </c>
      <c r="AB3" s="111" t="s">
        <v>506</v>
      </c>
      <c r="AC3" s="111" t="s">
        <v>511</v>
      </c>
      <c r="AD3" s="111" t="s">
        <v>515</v>
      </c>
      <c r="AE3" s="111" t="s">
        <v>517</v>
      </c>
      <c r="AF3" s="111" t="s">
        <v>535</v>
      </c>
      <c r="AG3" s="111" t="s">
        <v>536</v>
      </c>
      <c r="AH3" s="111" t="s">
        <v>539</v>
      </c>
      <c r="AI3" s="111" t="s">
        <v>554</v>
      </c>
      <c r="AJ3" s="111" t="s">
        <v>557</v>
      </c>
      <c r="AK3" s="111" t="s">
        <v>559</v>
      </c>
      <c r="AL3" s="111" t="s">
        <v>563</v>
      </c>
      <c r="AM3" s="111" t="s">
        <v>576</v>
      </c>
      <c r="AN3" s="111" t="s">
        <v>580</v>
      </c>
    </row>
    <row r="4" spans="1:40" x14ac:dyDescent="0.2">
      <c r="A4" s="195" t="s">
        <v>322</v>
      </c>
      <c r="B4" s="189"/>
      <c r="C4" s="196"/>
      <c r="D4" s="196"/>
      <c r="E4" s="196"/>
      <c r="F4" s="196"/>
      <c r="G4" s="196"/>
      <c r="H4" s="196"/>
      <c r="I4" s="196"/>
      <c r="J4" s="196"/>
      <c r="K4" s="196"/>
      <c r="L4" s="196"/>
      <c r="M4" s="196"/>
      <c r="N4" s="196"/>
      <c r="O4" s="196"/>
      <c r="P4" s="196"/>
      <c r="Q4" s="196"/>
      <c r="R4" s="196"/>
      <c r="S4" s="196"/>
      <c r="T4" s="196"/>
      <c r="U4" s="197"/>
      <c r="V4" s="200" t="s">
        <v>383</v>
      </c>
      <c r="W4" s="196"/>
      <c r="X4" s="196"/>
      <c r="Y4" s="196"/>
      <c r="Z4" s="196"/>
      <c r="AA4" s="196"/>
      <c r="AB4" s="196"/>
      <c r="AC4" s="196"/>
      <c r="AD4" s="196"/>
      <c r="AE4" s="196"/>
      <c r="AF4" s="196"/>
      <c r="AG4" s="110"/>
      <c r="AH4" s="110"/>
      <c r="AI4" s="110"/>
      <c r="AJ4" s="110"/>
      <c r="AK4" s="110"/>
      <c r="AL4" s="110"/>
      <c r="AM4" s="110"/>
      <c r="AN4" s="110"/>
    </row>
    <row r="5" spans="1:40" x14ac:dyDescent="0.2">
      <c r="A5" s="113" t="s">
        <v>310</v>
      </c>
      <c r="B5" s="81" t="s">
        <v>254</v>
      </c>
      <c r="C5" s="82">
        <f>PL!K6</f>
        <v>1029049.49522639</v>
      </c>
      <c r="D5" s="82">
        <f>PL!L6</f>
        <v>792640.34494420025</v>
      </c>
      <c r="E5" s="82">
        <f>PL!M6</f>
        <v>833050.73016966193</v>
      </c>
      <c r="F5" s="82">
        <f>PL!N6</f>
        <v>828064.26946642785</v>
      </c>
      <c r="G5" s="82">
        <f>PL!O6</f>
        <v>801705.25557250518</v>
      </c>
      <c r="H5" s="82">
        <f>PL!P6</f>
        <v>921991.9329220308</v>
      </c>
      <c r="I5" s="82">
        <f>PL!Q6</f>
        <v>659762.64689240814</v>
      </c>
      <c r="J5" s="82">
        <f>PL!R6</f>
        <v>597586.81870825472</v>
      </c>
      <c r="K5" s="82">
        <f>PL!S6</f>
        <v>562143.89223713661</v>
      </c>
      <c r="L5" s="82">
        <f>PL!T6</f>
        <v>402169.91237123299</v>
      </c>
      <c r="M5" s="82">
        <f>PL!U6</f>
        <v>719477.8379323727</v>
      </c>
      <c r="N5" s="240">
        <f>PL!V6</f>
        <v>757170.67634382402</v>
      </c>
      <c r="O5" s="240">
        <f>PL!W6</f>
        <v>795826.45982916676</v>
      </c>
      <c r="P5" s="240">
        <f>PL!X6</f>
        <v>760401.3575568971</v>
      </c>
      <c r="Q5" s="240">
        <f>PL!Y6</f>
        <v>761109.14219733421</v>
      </c>
      <c r="R5" s="240">
        <f>PL!Z6</f>
        <v>866085.58623589599</v>
      </c>
      <c r="S5" s="240">
        <f>PL!AA6</f>
        <v>852533.48523351655</v>
      </c>
      <c r="T5" s="240">
        <f>PL!AB6</f>
        <v>882915.58282472275</v>
      </c>
      <c r="U5" s="114">
        <f>PL!AC6</f>
        <v>863588.18974490231</v>
      </c>
      <c r="V5" s="115">
        <f t="shared" ref="V5:V13" si="0">+C5/C$5</f>
        <v>1</v>
      </c>
      <c r="W5" s="116">
        <f t="shared" ref="W5:W13" si="1">+D5/D$5</f>
        <v>1</v>
      </c>
      <c r="X5" s="116">
        <f t="shared" ref="X5:X13" si="2">+E5/E$5</f>
        <v>1</v>
      </c>
      <c r="Y5" s="116">
        <f t="shared" ref="Y5:Y13" si="3">+F5/F$5</f>
        <v>1</v>
      </c>
      <c r="Z5" s="116">
        <f t="shared" ref="Z5:Z13" si="4">+G5/G$5</f>
        <v>1</v>
      </c>
      <c r="AA5" s="116">
        <f t="shared" ref="AA5:AA13" si="5">+H5/H$5</f>
        <v>1</v>
      </c>
      <c r="AB5" s="116">
        <f t="shared" ref="AB5:AB13" si="6">+I5/I$5</f>
        <v>1</v>
      </c>
      <c r="AC5" s="116">
        <f t="shared" ref="AC5:AC13" si="7">+J5/J$5</f>
        <v>1</v>
      </c>
      <c r="AD5" s="116">
        <f t="shared" ref="AD5:AD13" si="8">+K5/K$5</f>
        <v>1</v>
      </c>
      <c r="AE5" s="116">
        <f t="shared" ref="AE5:AE13" si="9">+L5/L$5</f>
        <v>1</v>
      </c>
      <c r="AF5" s="116">
        <f t="shared" ref="AF5:AF13" si="10">+M5/M$5</f>
        <v>1</v>
      </c>
      <c r="AG5" s="116">
        <f t="shared" ref="AG5:AG13" si="11">+N5/N$5</f>
        <v>1</v>
      </c>
      <c r="AH5" s="116">
        <f t="shared" ref="AH5:AH13" si="12">+O5/O$5</f>
        <v>1</v>
      </c>
      <c r="AI5" s="116">
        <f t="shared" ref="AI5:AI13" si="13">+P5/P$5</f>
        <v>1</v>
      </c>
      <c r="AJ5" s="116">
        <f t="shared" ref="AJ5:AJ13" si="14">+Q5/Q$5</f>
        <v>1</v>
      </c>
      <c r="AK5" s="116">
        <f t="shared" ref="AK5:AK13" si="15">+R5/R$5</f>
        <v>1</v>
      </c>
      <c r="AL5" s="116">
        <f t="shared" ref="AL5:AL13" si="16">+S5/S$5</f>
        <v>1</v>
      </c>
      <c r="AM5" s="116">
        <f t="shared" ref="AM5:AM13" si="17">+T5/T$5</f>
        <v>1</v>
      </c>
      <c r="AN5" s="116">
        <f t="shared" ref="AN5:AN6" si="18">+U5/U$5</f>
        <v>1</v>
      </c>
    </row>
    <row r="6" spans="1:40" x14ac:dyDescent="0.2">
      <c r="A6" s="117" t="s">
        <v>371</v>
      </c>
      <c r="B6" s="84" t="s">
        <v>254</v>
      </c>
      <c r="C6" s="85">
        <f>PL!K9+PL!K10</f>
        <v>474365.05057188799</v>
      </c>
      <c r="D6" s="85">
        <f>PL!L9+PL!L10</f>
        <v>400121.40683124791</v>
      </c>
      <c r="E6" s="85">
        <f>PL!M9+PL!M10</f>
        <v>373708.3479317241</v>
      </c>
      <c r="F6" s="85">
        <f>PL!N9+PL!N10</f>
        <v>432771.6983806105</v>
      </c>
      <c r="G6" s="85">
        <f>PL!O9+PL!O10</f>
        <v>280526.02319420991</v>
      </c>
      <c r="H6" s="85">
        <f>PL!P9+PL!P10</f>
        <v>452323.83559071488</v>
      </c>
      <c r="I6" s="85">
        <f>PL!Q9+PL!Q10</f>
        <v>310561.27660357801</v>
      </c>
      <c r="J6" s="85">
        <f>PL!R9+PL!R10</f>
        <v>242650.17743117135</v>
      </c>
      <c r="K6" s="85">
        <f>PL!S9+PL!S10</f>
        <v>291669.00970146147</v>
      </c>
      <c r="L6" s="85">
        <f>PL!T9+PL!T10</f>
        <v>157618.84025295358</v>
      </c>
      <c r="M6" s="85">
        <f>PL!U9+PL!U10</f>
        <v>337238.55833123147</v>
      </c>
      <c r="N6" s="241">
        <f>PL!V9+PL!V10</f>
        <v>355161.92273166275</v>
      </c>
      <c r="O6" s="241">
        <f>PL!W9+PL!W10</f>
        <v>388051.34660712059</v>
      </c>
      <c r="P6" s="241">
        <f>PL!X9+PL!X10</f>
        <v>327155.14368564263</v>
      </c>
      <c r="Q6" s="241">
        <f>PL!Y9+PL!Y10</f>
        <v>320884.232106446</v>
      </c>
      <c r="R6" s="241">
        <f>PL!Z9+PL!Z10</f>
        <v>378604.35297796933</v>
      </c>
      <c r="S6" s="241">
        <f>PL!AA9+PL!AA10</f>
        <v>388855.87328296708</v>
      </c>
      <c r="T6" s="241">
        <f>PL!AB9+PL!AB10</f>
        <v>381046.91910942999</v>
      </c>
      <c r="U6" s="118">
        <f>PL!AC9+PL!AC10</f>
        <v>374398.91212353902</v>
      </c>
      <c r="V6" s="119">
        <f t="shared" si="0"/>
        <v>0.46097398888235991</v>
      </c>
      <c r="W6" s="120">
        <f t="shared" si="1"/>
        <v>0.5047956609619908</v>
      </c>
      <c r="X6" s="120">
        <f t="shared" si="2"/>
        <v>0.44860214918197527</v>
      </c>
      <c r="Y6" s="120">
        <f t="shared" si="3"/>
        <v>0.52263056665815522</v>
      </c>
      <c r="Z6" s="120">
        <f t="shared" si="4"/>
        <v>0.34991166796565859</v>
      </c>
      <c r="AA6" s="120">
        <f t="shared" si="5"/>
        <v>0.49059413584800432</v>
      </c>
      <c r="AB6" s="120">
        <f t="shared" si="6"/>
        <v>0.4707166707093427</v>
      </c>
      <c r="AC6" s="120">
        <f t="shared" si="7"/>
        <v>0.40605008315893687</v>
      </c>
      <c r="AD6" s="120">
        <f t="shared" si="8"/>
        <v>0.51885115844756502</v>
      </c>
      <c r="AE6" s="120">
        <f t="shared" si="9"/>
        <v>0.39192101498497872</v>
      </c>
      <c r="AF6" s="120">
        <f t="shared" si="10"/>
        <v>0.46872681902250646</v>
      </c>
      <c r="AG6" s="120">
        <f t="shared" si="11"/>
        <v>0.46906455021032417</v>
      </c>
      <c r="AH6" s="120">
        <f t="shared" si="12"/>
        <v>0.48760799771651253</v>
      </c>
      <c r="AI6" s="120">
        <f t="shared" si="13"/>
        <v>0.43024008365366867</v>
      </c>
      <c r="AJ6" s="120">
        <f t="shared" si="14"/>
        <v>0.42160081165238417</v>
      </c>
      <c r="AK6" s="120">
        <f t="shared" si="15"/>
        <v>0.43714427187666965</v>
      </c>
      <c r="AL6" s="120">
        <f t="shared" si="16"/>
        <v>0.45611800594138069</v>
      </c>
      <c r="AM6" s="120">
        <f t="shared" si="17"/>
        <v>0.43157797474855053</v>
      </c>
      <c r="AN6" s="120">
        <f t="shared" si="18"/>
        <v>0.43353871274470968</v>
      </c>
    </row>
    <row r="7" spans="1:40" x14ac:dyDescent="0.2">
      <c r="A7" s="117" t="s">
        <v>368</v>
      </c>
      <c r="B7" s="84" t="s">
        <v>254</v>
      </c>
      <c r="C7" s="85">
        <f>PL!K12</f>
        <v>161428.76925985501</v>
      </c>
      <c r="D7" s="85">
        <f>PL!L12</f>
        <v>85395.924923909362</v>
      </c>
      <c r="E7" s="85">
        <f>PL!M12</f>
        <v>113051.42826694991</v>
      </c>
      <c r="F7" s="85">
        <f>PL!N12</f>
        <v>75372.40129115709</v>
      </c>
      <c r="G7" s="85">
        <f>PL!O12</f>
        <v>188363.62523740163</v>
      </c>
      <c r="H7" s="85">
        <f>PL!P12</f>
        <v>112607.58480310949</v>
      </c>
      <c r="I7" s="85">
        <f>PL!Q12</f>
        <v>84496.273098870108</v>
      </c>
      <c r="J7" s="85">
        <f>PL!R12</f>
        <v>87146.896990578578</v>
      </c>
      <c r="K7" s="85">
        <f>PL!S12</f>
        <v>43436.991086035399</v>
      </c>
      <c r="L7" s="85">
        <f>PL!T12</f>
        <v>52162.979251649733</v>
      </c>
      <c r="M7" s="85">
        <f>PL!U12</f>
        <v>77923.00469638886</v>
      </c>
      <c r="N7" s="241">
        <f>PL!V12</f>
        <v>89053.928247244432</v>
      </c>
      <c r="O7" s="241">
        <f>PL!W12</f>
        <v>95854.866337185667</v>
      </c>
      <c r="P7" s="241">
        <f>PL!X12</f>
        <v>95176.146071938361</v>
      </c>
      <c r="Q7" s="241">
        <f>PL!Y12</f>
        <v>111091.95732973446</v>
      </c>
      <c r="R7" s="241">
        <f>PL!Z12</f>
        <v>102533.86112226818</v>
      </c>
      <c r="S7" s="241">
        <f>PL!AA12</f>
        <v>95063.799708104401</v>
      </c>
      <c r="T7" s="241">
        <f>PL!AB12</f>
        <v>98232.539069887396</v>
      </c>
      <c r="U7" s="118">
        <f>PL!AC12</f>
        <v>114538.24818701476</v>
      </c>
      <c r="V7" s="119">
        <f t="shared" si="0"/>
        <v>0.15687172483801745</v>
      </c>
      <c r="W7" s="120">
        <f t="shared" si="1"/>
        <v>0.10773603118816896</v>
      </c>
      <c r="X7" s="120">
        <f t="shared" si="2"/>
        <v>0.13570773564285271</v>
      </c>
      <c r="Y7" s="120">
        <f t="shared" si="3"/>
        <v>9.1022404987627481E-2</v>
      </c>
      <c r="Z7" s="120">
        <f t="shared" si="4"/>
        <v>0.23495371138971693</v>
      </c>
      <c r="AA7" s="120">
        <f t="shared" si="5"/>
        <v>0.12213510854289901</v>
      </c>
      <c r="AB7" s="120">
        <f t="shared" si="6"/>
        <v>0.12807071375874585</v>
      </c>
      <c r="AC7" s="120">
        <f t="shared" si="7"/>
        <v>0.1458313574903736</v>
      </c>
      <c r="AD7" s="120">
        <f t="shared" si="8"/>
        <v>7.727023576325151E-2</v>
      </c>
      <c r="AE7" s="120">
        <f t="shared" si="9"/>
        <v>0.12970383324822019</v>
      </c>
      <c r="AF7" s="120">
        <f t="shared" si="10"/>
        <v>0.10830494087256824</v>
      </c>
      <c r="AG7" s="120">
        <f t="shared" si="11"/>
        <v>0.11761407438183183</v>
      </c>
      <c r="AH7" s="120">
        <f t="shared" si="12"/>
        <v>0.12044694562902823</v>
      </c>
      <c r="AI7" s="120">
        <f t="shared" si="13"/>
        <v>0.12516567090007699</v>
      </c>
      <c r="AJ7" s="120">
        <f t="shared" si="14"/>
        <v>0.14596061349231756</v>
      </c>
      <c r="AK7" s="120">
        <f t="shared" si="15"/>
        <v>0.11838767755954895</v>
      </c>
      <c r="AL7" s="120">
        <f t="shared" si="16"/>
        <v>0.11150740862931099</v>
      </c>
      <c r="AM7" s="120">
        <f t="shared" si="17"/>
        <v>0.11125926530327035</v>
      </c>
      <c r="AN7" s="120">
        <f t="shared" ref="AN7:AN13" si="19">+U7/U$5</f>
        <v>0.13263063291873933</v>
      </c>
    </row>
    <row r="8" spans="1:40" x14ac:dyDescent="0.2">
      <c r="A8" s="117" t="s">
        <v>346</v>
      </c>
      <c r="B8" s="84" t="s">
        <v>254</v>
      </c>
      <c r="C8" s="85">
        <f>PL!K11+PL!K17+PL!K25</f>
        <v>201253.961622081</v>
      </c>
      <c r="D8" s="85">
        <f>PL!L11+PL!L17+PL!L25</f>
        <v>183157.84578965171</v>
      </c>
      <c r="E8" s="85">
        <f>PL!M11+PL!M17+PL!M25</f>
        <v>178160.26755895693</v>
      </c>
      <c r="F8" s="85">
        <f>PL!N11+PL!N17+PL!N25</f>
        <v>161938.14473606835</v>
      </c>
      <c r="G8" s="85">
        <f>PL!O11+PL!O17+PL!O25</f>
        <v>170533.42266581283</v>
      </c>
      <c r="H8" s="85">
        <f>PL!P11+PL!P17+PL!P25</f>
        <v>183985.01805743729</v>
      </c>
      <c r="I8" s="85">
        <f>PL!Q11+PL!Q17+PL!Q25</f>
        <v>148359.66055173331</v>
      </c>
      <c r="J8" s="85">
        <f>PL!R11+PL!R17+PL!R25</f>
        <v>130564.77745455202</v>
      </c>
      <c r="K8" s="85">
        <f>PL!S11+PL!S17+PL!S25</f>
        <v>117504.01221641719</v>
      </c>
      <c r="L8" s="85">
        <f>PL!T11+PL!T17+PL!T25</f>
        <v>112574.31047447416</v>
      </c>
      <c r="M8" s="85">
        <f>PL!U11+PL!U17+PL!U25</f>
        <v>158786.10710758588</v>
      </c>
      <c r="N8" s="241">
        <f>PL!V11+PL!V17+PL!V25</f>
        <v>157852.75465812717</v>
      </c>
      <c r="O8" s="241">
        <f>PL!W11+PL!W17+PL!W25</f>
        <v>158523.06431009914</v>
      </c>
      <c r="P8" s="241">
        <f>PL!X11+PL!X17+PL!X25</f>
        <v>177862.56743140126</v>
      </c>
      <c r="Q8" s="241">
        <f>PL!Y11+PL!Y17+PL!Y25</f>
        <v>176461.18555069054</v>
      </c>
      <c r="R8" s="241">
        <f>PL!Z11+PL!Z17+PL!Z25</f>
        <v>173013.86804385902</v>
      </c>
      <c r="S8" s="241">
        <f>PL!AA11+PL!AA17+PL!AA25</f>
        <v>165067.22793612635</v>
      </c>
      <c r="T8" s="241">
        <f>PL!AB11+PL!AB17+PL!AB25</f>
        <v>188752.43514140809</v>
      </c>
      <c r="U8" s="118">
        <f>PL!AC11+PL!AC17+PL!AC25</f>
        <v>174336.53698489891</v>
      </c>
      <c r="V8" s="119">
        <f t="shared" si="0"/>
        <v>0.19557267415772389</v>
      </c>
      <c r="W8" s="120">
        <f t="shared" si="1"/>
        <v>0.231073079938349</v>
      </c>
      <c r="X8" s="120">
        <f t="shared" si="2"/>
        <v>0.21386484772982817</v>
      </c>
      <c r="Y8" s="120">
        <f t="shared" si="3"/>
        <v>0.19556228991792501</v>
      </c>
      <c r="Z8" s="120">
        <f t="shared" si="4"/>
        <v>0.21271336501846097</v>
      </c>
      <c r="AA8" s="120">
        <f t="shared" si="5"/>
        <v>0.19955165711086126</v>
      </c>
      <c r="AB8" s="120">
        <f t="shared" si="6"/>
        <v>0.22486823291759847</v>
      </c>
      <c r="AC8" s="120">
        <f t="shared" si="7"/>
        <v>0.21848670915597035</v>
      </c>
      <c r="AD8" s="120">
        <f t="shared" si="8"/>
        <v>0.20902835348578139</v>
      </c>
      <c r="AE8" s="120">
        <f t="shared" si="9"/>
        <v>0.27991728623040213</v>
      </c>
      <c r="AF8" s="120">
        <f t="shared" si="10"/>
        <v>0.2206963143769704</v>
      </c>
      <c r="AG8" s="120">
        <f t="shared" si="11"/>
        <v>0.20847711036612798</v>
      </c>
      <c r="AH8" s="120">
        <f t="shared" si="12"/>
        <v>0.19919300539985554</v>
      </c>
      <c r="AI8" s="120">
        <f t="shared" si="13"/>
        <v>0.23390616766237515</v>
      </c>
      <c r="AJ8" s="120">
        <f t="shared" si="14"/>
        <v>0.23184741289697861</v>
      </c>
      <c r="AK8" s="120">
        <f t="shared" si="15"/>
        <v>0.19976532434374816</v>
      </c>
      <c r="AL8" s="120">
        <f t="shared" si="16"/>
        <v>0.19361964168587814</v>
      </c>
      <c r="AM8" s="120">
        <f t="shared" si="17"/>
        <v>0.21378310544427145</v>
      </c>
      <c r="AN8" s="120">
        <f t="shared" si="19"/>
        <v>0.20187461923998365</v>
      </c>
    </row>
    <row r="9" spans="1:40" x14ac:dyDescent="0.2">
      <c r="A9" s="117" t="s">
        <v>369</v>
      </c>
      <c r="B9" s="84" t="s">
        <v>254</v>
      </c>
      <c r="C9" s="85">
        <f>PL!K13+PL!K18+PL!K19+PL!K24+PL!K26+PL!K14*0.5</f>
        <v>80631.655638529177</v>
      </c>
      <c r="D9" s="85">
        <f>PL!L13+PL!L18+PL!L19+PL!L24+PL!L26+PL!L14*0.5</f>
        <v>59693.904294893466</v>
      </c>
      <c r="E9" s="85">
        <f>PL!M13+PL!M18+PL!M19+PL!M24+PL!M26+PL!M14*0.5</f>
        <v>66795.043900426826</v>
      </c>
      <c r="F9" s="85">
        <f>PL!N13+PL!N18+PL!N19+PL!N24+PL!N26+PL!N14*0.5</f>
        <v>60220.82811097613</v>
      </c>
      <c r="G9" s="85">
        <f>PL!O13+PL!O18+PL!O19+PL!O24+PL!O26+PL!O14*0.5</f>
        <v>68402.067452215037</v>
      </c>
      <c r="H9" s="85">
        <f>PL!P13+PL!P18+PL!P19+PL!P24+PL!P26+PL!P14*0.5</f>
        <v>87246.73085688884</v>
      </c>
      <c r="I9" s="85">
        <f>PL!Q13+PL!Q18+PL!Q19+PL!Q24+PL!Q26+PL!Q14*0.5</f>
        <v>65290.593042270499</v>
      </c>
      <c r="J9" s="85">
        <f>PL!R13+PL!R18+PL!R19+PL!R24+PL!R26+PL!R14*0.5</f>
        <v>63382.933912820707</v>
      </c>
      <c r="K9" s="85">
        <f>PL!S13+PL!S18+PL!S19+PL!S24+PL!S26+PL!S14*0.5</f>
        <v>44295.493967817391</v>
      </c>
      <c r="L9" s="85">
        <f>PL!T13+PL!T18+PL!T19+PL!T24+PL!T26+PL!T14*0.5</f>
        <v>32700.266843506761</v>
      </c>
      <c r="M9" s="85">
        <f>PL!U13+PL!U18+PL!U19+PL!U24+PL!U26+PL!U14*0.5</f>
        <v>60832.541936288028</v>
      </c>
      <c r="N9" s="241">
        <f>PL!V13+PL!V18+PL!V19+PL!V24+PL!V26+PL!V14*0.5</f>
        <v>67129.337516021886</v>
      </c>
      <c r="O9" s="241">
        <f>PL!W13+PL!W18+PL!W19+PL!W24+PL!W26+PL!W14*0.5</f>
        <v>68805.583476576605</v>
      </c>
      <c r="P9" s="241">
        <f>PL!X13+PL!X18+PL!X19+PL!X24+PL!X26+PL!X14*0.5</f>
        <v>72633.570587132213</v>
      </c>
      <c r="Q9" s="241">
        <f>PL!Y13+PL!Y18+PL!Y19+PL!Y24+PL!Y26+PL!Y14*0.5</f>
        <v>63356.466003715454</v>
      </c>
      <c r="R9" s="241">
        <f>PL!Z13+PL!Z18+PL!Z19+PL!Z24+PL!Z26+PL!Z14*0.5</f>
        <v>91152.941929756431</v>
      </c>
      <c r="S9" s="241">
        <f>PL!AA13+PL!AA18+PL!AA19+PL!AA24+PL!AA26+PL!AA14*0.5</f>
        <v>91889.397192651144</v>
      </c>
      <c r="T9" s="241">
        <f>PL!AB13+PL!AB18+PL!AB19+PL!AB24+PL!AB26+PL!AB14*0.5</f>
        <v>104112.87023983504</v>
      </c>
      <c r="U9" s="118">
        <f>PL!AC13+PL!AC18+PL!AC19+PL!AC24+PL!AC26+PL!AC14*0.5</f>
        <v>87302.622685777635</v>
      </c>
      <c r="V9" s="119">
        <f t="shared" si="0"/>
        <v>7.8355468821050517E-2</v>
      </c>
      <c r="W9" s="120">
        <f t="shared" si="1"/>
        <v>7.5310201752467901E-2</v>
      </c>
      <c r="X9" s="120">
        <f t="shared" si="2"/>
        <v>8.0181244048394412E-2</v>
      </c>
      <c r="Y9" s="120">
        <f t="shared" si="3"/>
        <v>7.272482382289007E-2</v>
      </c>
      <c r="Z9" s="120">
        <f t="shared" si="4"/>
        <v>8.5320717279529973E-2</v>
      </c>
      <c r="AA9" s="120">
        <f t="shared" si="5"/>
        <v>9.4628518690376598E-2</v>
      </c>
      <c r="AB9" s="120">
        <f t="shared" si="6"/>
        <v>9.896072981670008E-2</v>
      </c>
      <c r="AC9" s="120">
        <f t="shared" si="7"/>
        <v>0.10606481255699285</v>
      </c>
      <c r="AD9" s="120">
        <f t="shared" si="8"/>
        <v>7.8797429945448264E-2</v>
      </c>
      <c r="AE9" s="120">
        <f t="shared" si="9"/>
        <v>8.1309580447485E-2</v>
      </c>
      <c r="AF9" s="120">
        <f t="shared" si="10"/>
        <v>8.4550960056126126E-2</v>
      </c>
      <c r="AG9" s="120">
        <f t="shared" si="11"/>
        <v>8.8658131664807224E-2</v>
      </c>
      <c r="AH9" s="120">
        <f t="shared" si="12"/>
        <v>8.6458024393090055E-2</v>
      </c>
      <c r="AI9" s="120">
        <f t="shared" si="13"/>
        <v>9.5520043284111844E-2</v>
      </c>
      <c r="AJ9" s="120">
        <f t="shared" si="14"/>
        <v>8.3242287460645034E-2</v>
      </c>
      <c r="AK9" s="120">
        <f t="shared" si="15"/>
        <v>0.1052470372194014</v>
      </c>
      <c r="AL9" s="120">
        <f t="shared" si="16"/>
        <v>0.10778391556958236</v>
      </c>
      <c r="AM9" s="120">
        <f t="shared" si="17"/>
        <v>0.11791939372815853</v>
      </c>
      <c r="AN9" s="120">
        <f t="shared" si="19"/>
        <v>0.101092886311433</v>
      </c>
    </row>
    <row r="10" spans="1:40" x14ac:dyDescent="0.2">
      <c r="A10" s="117" t="s">
        <v>370</v>
      </c>
      <c r="B10" s="84" t="s">
        <v>254</v>
      </c>
      <c r="C10" s="85">
        <f>PL!K14*0.5+PL!K20+PL!K21+PL!K22+PL!K23+PL!K27</f>
        <v>77096.861234521231</v>
      </c>
      <c r="D10" s="85">
        <f>PL!L14*0.5+PL!L20+PL!L21+PL!L22+PL!L23+PL!L27</f>
        <v>52627.536354413256</v>
      </c>
      <c r="E10" s="85">
        <f>PL!M14*0.5+PL!M20+PL!M21+PL!M22+PL!M23+PL!M27</f>
        <v>71680.527402675856</v>
      </c>
      <c r="F10" s="85">
        <f>PL!N14*0.5+PL!N20+PL!N21+PL!N22+PL!N23+PL!N27</f>
        <v>71265.878639521514</v>
      </c>
      <c r="G10" s="85">
        <f>PL!O14*0.5+PL!O20+PL!O21+PL!O22+PL!O23+PL!O27</f>
        <v>72059.155485000563</v>
      </c>
      <c r="H10" s="85">
        <f>PL!P14*0.5+PL!P20+PL!P21+PL!P22+PL!P23+PL!P27</f>
        <v>75213.706554757431</v>
      </c>
      <c r="I10" s="85">
        <f>PL!Q14*0.5+PL!Q20+PL!Q21+PL!Q22+PL!Q23+PL!Q27</f>
        <v>56775.371034155229</v>
      </c>
      <c r="J10" s="85">
        <f>PL!R14*0.5+PL!R20+PL!R21+PL!R22+PL!R23+PL!R27</f>
        <v>58269.729706825427</v>
      </c>
      <c r="K10" s="85">
        <f>PL!S14*0.5+PL!S20+PL!S21+PL!S22+PL!S23+PL!S27</f>
        <v>50408.97730465424</v>
      </c>
      <c r="L10" s="85">
        <f>PL!T14*0.5+PL!T20+PL!T21+PL!T22+PL!T23+PL!T27</f>
        <v>36184.233717777519</v>
      </c>
      <c r="M10" s="85">
        <f>PL!U14*0.5+PL!U20+PL!U21+PL!U22+PL!U23+PL!U27</f>
        <v>60256.2148683224</v>
      </c>
      <c r="N10" s="241">
        <f>PL!V14*0.5+PL!V20+PL!V21+PL!V22+PL!V23+PL!V27</f>
        <v>65197.772920770884</v>
      </c>
      <c r="O10" s="241">
        <f>PL!W14*0.5+PL!W20+PL!W21+PL!W22+PL!W23+PL!W27</f>
        <v>65893.289851948241</v>
      </c>
      <c r="P10" s="241">
        <f>PL!X14*0.5+PL!X20+PL!X21+PL!X22+PL!X23+PL!X27</f>
        <v>64193.656289136678</v>
      </c>
      <c r="Q10" s="241">
        <f>PL!Y14*0.5+PL!Y20+PL!Y21+PL!Y22+PL!Y23+PL!Y27</f>
        <v>59789.102277312159</v>
      </c>
      <c r="R10" s="241">
        <f>PL!Z14*0.5+PL!Z20+PL!Z21+PL!Z22+PL!Z23+PL!Z27</f>
        <v>95328.532273015822</v>
      </c>
      <c r="S10" s="241">
        <f>PL!AA14*0.5+PL!AA20+PL!AA21+PL!AA22+PL!AA23+PL!AA27</f>
        <v>96740.485448145628</v>
      </c>
      <c r="T10" s="241">
        <f>PL!AB14*0.5+PL!AB20+PL!AB21+PL!AB22+PL!AB23+PL!AB27</f>
        <v>104326.19706868402</v>
      </c>
      <c r="U10" s="118">
        <f>PL!AC14*0.5+PL!AC20+PL!AC21+PL!AC22+PL!AC23+PL!AC27</f>
        <v>93972.85406535276</v>
      </c>
      <c r="V10" s="119">
        <f t="shared" si="0"/>
        <v>7.492045969816058E-2</v>
      </c>
      <c r="W10" s="120">
        <f t="shared" si="1"/>
        <v>6.63952279114913E-2</v>
      </c>
      <c r="X10" s="120">
        <f t="shared" si="2"/>
        <v>8.6045813066002785E-2</v>
      </c>
      <c r="Y10" s="120">
        <f t="shared" si="3"/>
        <v>8.6063221500237472E-2</v>
      </c>
      <c r="Z10" s="120">
        <f t="shared" si="4"/>
        <v>8.9882353875231177E-2</v>
      </c>
      <c r="AA10" s="120">
        <f t="shared" si="5"/>
        <v>8.1577402002190783E-2</v>
      </c>
      <c r="AB10" s="120">
        <f t="shared" si="6"/>
        <v>8.6054236779812665E-2</v>
      </c>
      <c r="AC10" s="120">
        <f t="shared" si="7"/>
        <v>9.7508391889870386E-2</v>
      </c>
      <c r="AD10" s="120">
        <f t="shared" si="8"/>
        <v>8.9672729706346349E-2</v>
      </c>
      <c r="AE10" s="120">
        <f t="shared" si="9"/>
        <v>8.9972503175167307E-2</v>
      </c>
      <c r="AF10" s="120">
        <f t="shared" si="10"/>
        <v>8.3749924864240474E-2</v>
      </c>
      <c r="AG10" s="120">
        <f t="shared" si="11"/>
        <v>8.6107102345264613E-2</v>
      </c>
      <c r="AH10" s="120">
        <f t="shared" si="12"/>
        <v>8.2798566242812524E-2</v>
      </c>
      <c r="AI10" s="120">
        <f t="shared" si="13"/>
        <v>8.4420754449183608E-2</v>
      </c>
      <c r="AJ10" s="120">
        <f t="shared" si="14"/>
        <v>7.8555228103948493E-2</v>
      </c>
      <c r="AK10" s="120">
        <f t="shared" si="15"/>
        <v>0.11006825859707953</v>
      </c>
      <c r="AL10" s="120">
        <f t="shared" si="16"/>
        <v>0.11347411817102708</v>
      </c>
      <c r="AM10" s="120">
        <f t="shared" si="17"/>
        <v>0.11816101006498485</v>
      </c>
      <c r="AN10" s="120">
        <f t="shared" si="19"/>
        <v>0.1088167429583673</v>
      </c>
    </row>
    <row r="11" spans="1:40" x14ac:dyDescent="0.2">
      <c r="A11" s="121" t="s">
        <v>69</v>
      </c>
      <c r="B11" s="122" t="s">
        <v>254</v>
      </c>
      <c r="C11" s="123">
        <f>PL!K42</f>
        <v>34273.196899514995</v>
      </c>
      <c r="D11" s="123">
        <f>PL!L42</f>
        <v>11643.895840378827</v>
      </c>
      <c r="E11" s="123">
        <f>PL!M42</f>
        <v>29655.115108928643</v>
      </c>
      <c r="F11" s="123">
        <f>PL!N42</f>
        <v>26495.318308094866</v>
      </c>
      <c r="G11" s="123">
        <f>PL!O42</f>
        <v>21820.961537866504</v>
      </c>
      <c r="H11" s="123">
        <f>PL!P42</f>
        <v>10615.057059120038</v>
      </c>
      <c r="I11" s="123">
        <f>PL!Q28</f>
        <v>-5720.5274381988838</v>
      </c>
      <c r="J11" s="123">
        <f>PL!R28</f>
        <v>15572.303212306466</v>
      </c>
      <c r="K11" s="123">
        <f>PL!S28</f>
        <v>14829.407960750677</v>
      </c>
      <c r="L11" s="123">
        <f>PL!T28</f>
        <v>10929.281830871134</v>
      </c>
      <c r="M11" s="123">
        <f>PL!U28</f>
        <v>24441.410992555953</v>
      </c>
      <c r="N11" s="242">
        <f>PL!V28</f>
        <v>22774.960269996802</v>
      </c>
      <c r="O11" s="242">
        <f>PL!W28</f>
        <v>18698.309246235993</v>
      </c>
      <c r="P11" s="242">
        <f>PL!X28</f>
        <v>23380.273491645799</v>
      </c>
      <c r="Q11" s="242">
        <f>PL!Y28</f>
        <v>29526.198929435017</v>
      </c>
      <c r="R11" s="242">
        <f>PL!Z28</f>
        <v>25452.029889026253</v>
      </c>
      <c r="S11" s="242">
        <f>PL!AA28</f>
        <v>14916.701579670329</v>
      </c>
      <c r="T11" s="242">
        <f>PL!AB28</f>
        <v>6444.6221954783796</v>
      </c>
      <c r="U11" s="124">
        <f>PL!AC28</f>
        <v>19039.015698319257</v>
      </c>
      <c r="V11" s="125">
        <f t="shared" si="0"/>
        <v>3.3305683602687083E-2</v>
      </c>
      <c r="W11" s="126">
        <f t="shared" si="1"/>
        <v>1.4690011572901359E-2</v>
      </c>
      <c r="X11" s="126">
        <f t="shared" si="2"/>
        <v>3.5598210330947053E-2</v>
      </c>
      <c r="Y11" s="126">
        <f t="shared" si="3"/>
        <v>3.1996693113165491E-2</v>
      </c>
      <c r="Z11" s="126">
        <f t="shared" si="4"/>
        <v>2.721818447140396E-2</v>
      </c>
      <c r="AA11" s="126">
        <f t="shared" si="5"/>
        <v>1.1513177805664934E-2</v>
      </c>
      <c r="AB11" s="126">
        <f t="shared" si="6"/>
        <v>-8.6705839821995378E-3</v>
      </c>
      <c r="AC11" s="126">
        <f t="shared" si="7"/>
        <v>2.6058645747855682E-2</v>
      </c>
      <c r="AD11" s="126">
        <f t="shared" si="8"/>
        <v>2.6380092651607057E-2</v>
      </c>
      <c r="AE11" s="126">
        <f t="shared" si="9"/>
        <v>2.7175781913746415E-2</v>
      </c>
      <c r="AF11" s="126">
        <f t="shared" si="10"/>
        <v>3.3971040807588185E-2</v>
      </c>
      <c r="AG11" s="126">
        <f t="shared" si="11"/>
        <v>3.0079031031644058E-2</v>
      </c>
      <c r="AH11" s="126">
        <f t="shared" si="12"/>
        <v>2.3495460618700462E-2</v>
      </c>
      <c r="AI11" s="126">
        <f t="shared" si="13"/>
        <v>3.0747280050583508E-2</v>
      </c>
      <c r="AJ11" s="126">
        <f t="shared" si="14"/>
        <v>3.8793646393725359E-2</v>
      </c>
      <c r="AK11" s="126">
        <f t="shared" si="15"/>
        <v>2.9387430403551223E-2</v>
      </c>
      <c r="AL11" s="126">
        <f t="shared" si="16"/>
        <v>1.7496909902118989E-2</v>
      </c>
      <c r="AM11" s="126">
        <f t="shared" si="17"/>
        <v>7.2992507107644648E-3</v>
      </c>
      <c r="AN11" s="126">
        <f t="shared" si="19"/>
        <v>2.204640582676709E-2</v>
      </c>
    </row>
    <row r="12" spans="1:40" x14ac:dyDescent="0.2">
      <c r="A12" s="112" t="s">
        <v>311</v>
      </c>
      <c r="B12" s="79" t="s">
        <v>254</v>
      </c>
      <c r="C12" s="92">
        <f>+PL!K34</f>
        <v>36680.219302391604</v>
      </c>
      <c r="D12" s="92">
        <f>+PL!L34</f>
        <v>23439.972945552923</v>
      </c>
      <c r="E12" s="92">
        <f>+PL!M34</f>
        <v>35253.252258014058</v>
      </c>
      <c r="F12" s="92">
        <f>+PL!N34</f>
        <v>29271.720821107461</v>
      </c>
      <c r="G12" s="92">
        <f>+PL!O34</f>
        <v>29607.704240969095</v>
      </c>
      <c r="H12" s="92">
        <f>+PL!P34</f>
        <v>13705.028982010861</v>
      </c>
      <c r="I12" s="92">
        <f>+PL!Q34</f>
        <v>2357.4660602179861</v>
      </c>
      <c r="J12" s="92">
        <f>+PL!R34</f>
        <v>18598.183865541032</v>
      </c>
      <c r="K12" s="92">
        <f>+PL!S34</f>
        <v>20601.110010521905</v>
      </c>
      <c r="L12" s="92">
        <f>+PL!T34</f>
        <v>15208.823254356255</v>
      </c>
      <c r="M12" s="92">
        <f>+PL!U34</f>
        <v>26669.231257427666</v>
      </c>
      <c r="N12" s="243">
        <f>+PL!V34</f>
        <v>28909.500117482617</v>
      </c>
      <c r="O12" s="243">
        <f>+PL!W34</f>
        <v>25667.52029935893</v>
      </c>
      <c r="P12" s="243">
        <f>+PL!X34</f>
        <v>27611.826477772567</v>
      </c>
      <c r="Q12" s="243">
        <f>+PL!Y34</f>
        <v>34772.061526559577</v>
      </c>
      <c r="R12" s="243">
        <f>+PL!Z34</f>
        <v>33208.697255198298</v>
      </c>
      <c r="S12" s="243">
        <f>+PL!AA34</f>
        <v>25361.665436126372</v>
      </c>
      <c r="T12" s="243">
        <f>+PL!AB34</f>
        <v>22049.530043840798</v>
      </c>
      <c r="U12" s="127">
        <f>+PL!AC34</f>
        <v>31664.228478798741</v>
      </c>
      <c r="V12" s="128">
        <f t="shared" si="0"/>
        <v>3.5644757101136314E-2</v>
      </c>
      <c r="W12" s="129">
        <f t="shared" si="1"/>
        <v>2.9572015978070149E-2</v>
      </c>
      <c r="X12" s="129">
        <f t="shared" si="2"/>
        <v>4.231825383651517E-2</v>
      </c>
      <c r="Y12" s="129">
        <f t="shared" si="3"/>
        <v>3.5349575993623067E-2</v>
      </c>
      <c r="Z12" s="129">
        <f t="shared" si="4"/>
        <v>3.6930909502178526E-2</v>
      </c>
      <c r="AA12" s="129">
        <f t="shared" si="5"/>
        <v>1.4864586654870266E-2</v>
      </c>
      <c r="AB12" s="129">
        <f t="shared" si="6"/>
        <v>3.5732032895800384E-3</v>
      </c>
      <c r="AC12" s="129">
        <f t="shared" si="7"/>
        <v>3.1122145407662966E-2</v>
      </c>
      <c r="AD12" s="129">
        <f t="shared" si="8"/>
        <v>3.6647396325052421E-2</v>
      </c>
      <c r="AE12" s="129">
        <f t="shared" si="9"/>
        <v>3.7816909685469885E-2</v>
      </c>
      <c r="AF12" s="129">
        <f t="shared" si="10"/>
        <v>3.7067481236210696E-2</v>
      </c>
      <c r="AG12" s="129">
        <f t="shared" si="11"/>
        <v>3.8180955788038318E-2</v>
      </c>
      <c r="AH12" s="129">
        <f t="shared" si="12"/>
        <v>3.2252660089825053E-2</v>
      </c>
      <c r="AI12" s="129">
        <f t="shared" si="13"/>
        <v>3.6312174095121219E-2</v>
      </c>
      <c r="AJ12" s="129">
        <f t="shared" si="14"/>
        <v>4.5686038438813234E-2</v>
      </c>
      <c r="AK12" s="129">
        <f t="shared" si="15"/>
        <v>3.8343436010206546E-2</v>
      </c>
      <c r="AL12" s="129">
        <f t="shared" si="16"/>
        <v>2.9748585686554686E-2</v>
      </c>
      <c r="AM12" s="129">
        <f t="shared" si="17"/>
        <v>2.4973542740402727E-2</v>
      </c>
      <c r="AN12" s="129">
        <f t="shared" si="19"/>
        <v>3.6665888735870886E-2</v>
      </c>
    </row>
    <row r="13" spans="1:40" x14ac:dyDescent="0.2">
      <c r="A13" s="112" t="s">
        <v>312</v>
      </c>
      <c r="B13" s="79" t="s">
        <v>254</v>
      </c>
      <c r="C13" s="92">
        <f>PL!K38</f>
        <v>18320.843179884701</v>
      </c>
      <c r="D13" s="92">
        <f>PL!L38</f>
        <v>13954.599256002704</v>
      </c>
      <c r="E13" s="92">
        <f>PL!M38</f>
        <v>16791.532730697661</v>
      </c>
      <c r="F13" s="92">
        <f>PL!N38</f>
        <v>17066.42728697725</v>
      </c>
      <c r="G13" s="92">
        <f>PL!O38</f>
        <v>14347.263632501921</v>
      </c>
      <c r="H13" s="92">
        <f>PL!P38</f>
        <v>3336.344587106295</v>
      </c>
      <c r="I13" s="92">
        <f>PL!Q38</f>
        <v>-3787.4927325674339</v>
      </c>
      <c r="J13" s="92">
        <f>PL!R38</f>
        <v>8943.8958575843117</v>
      </c>
      <c r="K13" s="92">
        <f>PL!S38</f>
        <v>9741.340224918873</v>
      </c>
      <c r="L13" s="92">
        <f>PL!T38</f>
        <v>6788.3790503388864</v>
      </c>
      <c r="M13" s="92">
        <f>PL!U38</f>
        <v>13634.560437288017</v>
      </c>
      <c r="N13" s="243">
        <f>PL!V38</f>
        <v>14688.782980817279</v>
      </c>
      <c r="O13" s="243">
        <f>PL!W38</f>
        <v>15268.957590105378</v>
      </c>
      <c r="P13" s="243">
        <f>PL!X38</f>
        <v>17681.423167918401</v>
      </c>
      <c r="Q13" s="243">
        <f>PL!Y38</f>
        <v>21167.97179714057</v>
      </c>
      <c r="R13" s="243">
        <f>PL!Z38</f>
        <v>20386.951280725621</v>
      </c>
      <c r="S13" s="243">
        <f>PL!AA38</f>
        <v>20336.771033653848</v>
      </c>
      <c r="T13" s="243">
        <f>PL!AB38</f>
        <v>8776.397833748817</v>
      </c>
      <c r="U13" s="127">
        <f>PL!AC38</f>
        <v>20806.53212183261</v>
      </c>
      <c r="V13" s="128">
        <f t="shared" si="0"/>
        <v>1.7803655961032401E-2</v>
      </c>
      <c r="W13" s="129">
        <f t="shared" si="1"/>
        <v>1.7605209405515524E-2</v>
      </c>
      <c r="X13" s="129">
        <f t="shared" si="2"/>
        <v>2.0156674884947091E-2</v>
      </c>
      <c r="Y13" s="129">
        <f t="shared" si="3"/>
        <v>2.0610027405208762E-2</v>
      </c>
      <c r="Z13" s="129">
        <f t="shared" si="4"/>
        <v>1.7895933116038272E-2</v>
      </c>
      <c r="AA13" s="129">
        <f t="shared" si="5"/>
        <v>3.6186266581883816E-3</v>
      </c>
      <c r="AB13" s="129">
        <f t="shared" si="6"/>
        <v>-5.7406898532482171E-3</v>
      </c>
      <c r="AC13" s="129">
        <f t="shared" si="7"/>
        <v>1.4966688651060713E-2</v>
      </c>
      <c r="AD13" s="129">
        <f t="shared" si="8"/>
        <v>1.7328908771296503E-2</v>
      </c>
      <c r="AE13" s="129">
        <f t="shared" si="9"/>
        <v>1.6879380683437858E-2</v>
      </c>
      <c r="AF13" s="129">
        <f t="shared" si="10"/>
        <v>1.8950632970809584E-2</v>
      </c>
      <c r="AG13" s="129">
        <f t="shared" si="11"/>
        <v>1.9399566623136421E-2</v>
      </c>
      <c r="AH13" s="129">
        <f t="shared" si="12"/>
        <v>1.9186290429929954E-2</v>
      </c>
      <c r="AI13" s="129">
        <f t="shared" si="13"/>
        <v>2.3252750658845828E-2</v>
      </c>
      <c r="AJ13" s="129">
        <f t="shared" si="14"/>
        <v>2.7812005694778937E-2</v>
      </c>
      <c r="AK13" s="129">
        <f t="shared" si="15"/>
        <v>2.3539187817834002E-2</v>
      </c>
      <c r="AL13" s="129">
        <f t="shared" si="16"/>
        <v>2.3854512914625779E-2</v>
      </c>
      <c r="AM13" s="129">
        <f t="shared" si="17"/>
        <v>9.9402457091881634E-3</v>
      </c>
      <c r="AN13" s="129">
        <f t="shared" si="19"/>
        <v>2.4093117957042359E-2</v>
      </c>
    </row>
    <row r="14" spans="1:40" x14ac:dyDescent="0.2">
      <c r="A14" s="112" t="s">
        <v>317</v>
      </c>
      <c r="B14" s="79" t="s">
        <v>318</v>
      </c>
      <c r="C14" s="102">
        <f>PL!K5</f>
        <v>48.160412137252997</v>
      </c>
      <c r="D14" s="102">
        <f>PL!L5</f>
        <v>38.315776124450458</v>
      </c>
      <c r="E14" s="102">
        <f>PL!M5</f>
        <v>44.019508482865284</v>
      </c>
      <c r="F14" s="102">
        <f>PL!N5</f>
        <v>43.014104643464172</v>
      </c>
      <c r="G14" s="102">
        <f>PL!O5</f>
        <v>37.965076794494827</v>
      </c>
      <c r="H14" s="102">
        <f>PL!P5</f>
        <v>32.937291479925882</v>
      </c>
      <c r="I14" s="102">
        <f>PL!Q5</f>
        <v>37.163617331832747</v>
      </c>
      <c r="J14" s="102">
        <f>PL!R5</f>
        <v>30.345849549710508</v>
      </c>
      <c r="K14" s="102">
        <f>PL!S5</f>
        <v>31.238261648634641</v>
      </c>
      <c r="L14" s="102">
        <f>PL!T5</f>
        <v>30.078817816632025</v>
      </c>
      <c r="M14" s="102">
        <f>PL!U5</f>
        <v>34.362096789145831</v>
      </c>
      <c r="N14" s="247">
        <f>PL!V5</f>
        <v>35.008334185759139</v>
      </c>
      <c r="O14" s="247">
        <f>PL!W5</f>
        <v>35.220515816685051</v>
      </c>
      <c r="P14" s="247">
        <f>PL!X5</f>
        <v>34.977176696166516</v>
      </c>
      <c r="Q14" s="247">
        <f>PL!Y5</f>
        <v>37.679255544149747</v>
      </c>
      <c r="R14" s="247">
        <f>PL!Z5</f>
        <v>39.554207210656429</v>
      </c>
      <c r="S14" s="247">
        <f>PL!AA5</f>
        <v>38.318938873626372</v>
      </c>
      <c r="T14" s="247">
        <f>PL!AB5</f>
        <v>40.571305768073586</v>
      </c>
      <c r="U14" s="144">
        <f>PL!AC5</f>
        <v>39.521201262690894</v>
      </c>
      <c r="V14" s="130"/>
      <c r="W14" s="91"/>
      <c r="X14" s="91"/>
      <c r="Y14" s="91"/>
      <c r="Z14" s="91"/>
      <c r="AA14" s="91"/>
      <c r="AB14" s="91"/>
      <c r="AC14" s="91"/>
      <c r="AD14" s="91"/>
      <c r="AE14" s="91"/>
      <c r="AF14" s="91"/>
      <c r="AG14" s="91"/>
      <c r="AH14" s="91"/>
      <c r="AI14" s="91"/>
      <c r="AJ14" s="91"/>
      <c r="AK14" s="91"/>
      <c r="AL14" s="91"/>
      <c r="AM14" s="91"/>
      <c r="AN14" s="91"/>
    </row>
    <row r="15" spans="1:40" x14ac:dyDescent="0.2">
      <c r="A15" s="195" t="s">
        <v>323</v>
      </c>
      <c r="B15" s="189"/>
      <c r="C15" s="193"/>
      <c r="D15" s="193"/>
      <c r="E15" s="193"/>
      <c r="F15" s="193"/>
      <c r="G15" s="193"/>
      <c r="H15" s="193"/>
      <c r="I15" s="193"/>
      <c r="J15" s="193"/>
      <c r="K15" s="193"/>
      <c r="L15" s="193"/>
      <c r="M15" s="193"/>
      <c r="N15" s="193"/>
      <c r="O15" s="193"/>
      <c r="P15" s="193"/>
      <c r="Q15" s="193"/>
      <c r="R15" s="193"/>
      <c r="S15" s="193"/>
      <c r="T15" s="193"/>
      <c r="U15" s="198"/>
      <c r="V15" s="200" t="s">
        <v>383</v>
      </c>
      <c r="W15" s="193"/>
      <c r="X15" s="193"/>
      <c r="Y15" s="193"/>
      <c r="Z15" s="193"/>
      <c r="AA15" s="193"/>
      <c r="AB15" s="193"/>
      <c r="AC15" s="193"/>
      <c r="AD15" s="193"/>
      <c r="AE15" s="193"/>
      <c r="AF15" s="193"/>
      <c r="AG15" s="152"/>
      <c r="AH15" s="152"/>
      <c r="AI15" s="152"/>
      <c r="AJ15" s="152"/>
      <c r="AK15" s="152"/>
      <c r="AL15" s="152"/>
      <c r="AM15" s="152"/>
      <c r="AN15" s="152"/>
    </row>
    <row r="16" spans="1:40" x14ac:dyDescent="0.2">
      <c r="A16" s="113" t="s">
        <v>372</v>
      </c>
      <c r="B16" s="81" t="s">
        <v>254</v>
      </c>
      <c r="C16" s="82">
        <f>BS!K10</f>
        <v>109946.02514415399</v>
      </c>
      <c r="D16" s="82">
        <f>BS!L10</f>
        <v>66014.457220155557</v>
      </c>
      <c r="E16" s="82">
        <f>BS!M10</f>
        <v>84713.34487518153</v>
      </c>
      <c r="F16" s="82">
        <f>BS!N10</f>
        <v>88454.033564559621</v>
      </c>
      <c r="G16" s="82">
        <f>BS!O10</f>
        <v>121887.60766036999</v>
      </c>
      <c r="H16" s="82">
        <f>BS!P10</f>
        <v>107517.58441310909</v>
      </c>
      <c r="I16" s="82">
        <f>BS!Q10</f>
        <v>120334.14758770882</v>
      </c>
      <c r="J16" s="82">
        <f>BS!R10</f>
        <v>87915.375019941843</v>
      </c>
      <c r="K16" s="82">
        <f>BS!S10</f>
        <v>83614.078235760331</v>
      </c>
      <c r="L16" s="82">
        <f>BS!T10</f>
        <v>71668.216677829056</v>
      </c>
      <c r="M16" s="82">
        <f>BS!U10</f>
        <v>87704.0759676171</v>
      </c>
      <c r="N16" s="240">
        <f>BS!V10</f>
        <v>122791.9780746343</v>
      </c>
      <c r="O16" s="240">
        <f>BS!W10</f>
        <v>87422.153097130446</v>
      </c>
      <c r="P16" s="240">
        <f>BS!X10</f>
        <v>153499.91015614261</v>
      </c>
      <c r="Q16" s="240">
        <f>BS!Y10</f>
        <v>161581.24908156093</v>
      </c>
      <c r="R16" s="240">
        <f>BS!Z10</f>
        <v>143274.12563986171</v>
      </c>
      <c r="S16" s="240">
        <f>BS!AA10</f>
        <v>170108.0028331044</v>
      </c>
      <c r="T16" s="240">
        <f>BS!AB10</f>
        <v>184578.60225221352</v>
      </c>
      <c r="U16" s="114">
        <f>BS!AC10</f>
        <v>181039.89702243835</v>
      </c>
      <c r="V16" s="115">
        <f t="shared" ref="V16:V25" si="20">+C16/C$25</f>
        <v>0.14955821192454971</v>
      </c>
      <c r="W16" s="116">
        <f t="shared" ref="W16:W25" si="21">+D16/D$25</f>
        <v>0.11039102325662276</v>
      </c>
      <c r="X16" s="116">
        <f t="shared" ref="X16:X25" si="22">+E16/E$25</f>
        <v>0.12212742050627505</v>
      </c>
      <c r="Y16" s="116">
        <f t="shared" ref="Y16:Y25" si="23">+F16/F$25</f>
        <v>0.15475272451504815</v>
      </c>
      <c r="Z16" s="116">
        <f t="shared" ref="Z16:Z25" si="24">+G16/G$25</f>
        <v>0.19141387654973163</v>
      </c>
      <c r="AA16" s="116">
        <f t="shared" ref="AA16:AA25" si="25">+H16/H$25</f>
        <v>0.16733639855187657</v>
      </c>
      <c r="AB16" s="116">
        <f t="shared" ref="AB16:AB25" si="26">+I16/I$25</f>
        <v>0.19691717282291424</v>
      </c>
      <c r="AC16" s="116">
        <f t="shared" ref="AC16:AC25" si="27">+J16/J$25</f>
        <v>0.19498639651972913</v>
      </c>
      <c r="AD16" s="116">
        <f t="shared" ref="AD16:AD25" si="28">+K16/K$25</f>
        <v>0.17934169268834713</v>
      </c>
      <c r="AE16" s="116">
        <f t="shared" ref="AE16:AE25" si="29">+L16/L$25</f>
        <v>0.19774570622964893</v>
      </c>
      <c r="AF16" s="116">
        <f t="shared" ref="AF16:AF25" si="30">+M16/M$25</f>
        <v>0.1518829803262465</v>
      </c>
      <c r="AG16" s="116">
        <f t="shared" ref="AG16:AG25" si="31">+N16/N$25</f>
        <v>0.20268417530410138</v>
      </c>
      <c r="AH16" s="116">
        <f t="shared" ref="AH16:AH25" si="32">+O16/O$25</f>
        <v>0.14655330263743918</v>
      </c>
      <c r="AI16" s="116">
        <f t="shared" ref="AI16:AI25" si="33">+P16/P$25</f>
        <v>0.25951471761226569</v>
      </c>
      <c r="AJ16" s="116">
        <f t="shared" ref="AJ16:AJ25" si="34">+Q16/Q$25</f>
        <v>0.23635448510909221</v>
      </c>
      <c r="AK16" s="116">
        <f t="shared" ref="AK16:AK25" si="35">+R16/R$25</f>
        <v>0.19600521590542841</v>
      </c>
      <c r="AL16" s="116">
        <f t="shared" ref="AL16:AL25" si="36">+S16/S$25</f>
        <v>0.17301967278916042</v>
      </c>
      <c r="AM16" s="116">
        <f t="shared" ref="AM16:AM25" si="37">+T16/T$25</f>
        <v>0.21234010554133623</v>
      </c>
      <c r="AN16" s="116">
        <f t="shared" ref="AN16" si="38">+U16/U$25</f>
        <v>0.22966634999361368</v>
      </c>
    </row>
    <row r="17" spans="1:40" x14ac:dyDescent="0.2">
      <c r="A17" s="131" t="s">
        <v>373</v>
      </c>
      <c r="B17" s="84" t="s">
        <v>254</v>
      </c>
      <c r="C17" s="85">
        <f>BS!K11+BS!K12+BS!K14</f>
        <v>212080.82049343089</v>
      </c>
      <c r="D17" s="85">
        <f>BS!L11+BS!L12+BS!L14</f>
        <v>155475.3973621914</v>
      </c>
      <c r="E17" s="85">
        <f>BS!M11+BS!M12+BS!M14</f>
        <v>228550.36688164892</v>
      </c>
      <c r="F17" s="85">
        <f>BS!N11+BS!N12+BS!N14</f>
        <v>198670.91801299699</v>
      </c>
      <c r="G17" s="85">
        <f>BS!O11+BS!O12+BS!O14</f>
        <v>154127.35907744829</v>
      </c>
      <c r="H17" s="85">
        <f>BS!P11+BS!P12+BS!P14</f>
        <v>141587.39301216215</v>
      </c>
      <c r="I17" s="85">
        <f>BS!Q11+BS!Q12+BS!Q14</f>
        <v>153205.52451251759</v>
      </c>
      <c r="J17" s="85">
        <f>BS!R11+BS!R12+BS!R14</f>
        <v>132900.85018131073</v>
      </c>
      <c r="K17" s="85">
        <f>BS!S11+BS!S12+BS!S14</f>
        <v>148078.14547391408</v>
      </c>
      <c r="L17" s="85">
        <f>BS!T11+BS!T12+BS!T14</f>
        <v>86807.554763416905</v>
      </c>
      <c r="M17" s="85">
        <f>BS!U11+BS!U12+BS!U14</f>
        <v>164837.72805434978</v>
      </c>
      <c r="N17" s="241">
        <f>BS!V11+BS!V12+BS!V14</f>
        <v>140221.81790990318</v>
      </c>
      <c r="O17" s="241">
        <f>BS!W11+BS!W12+BS!W14</f>
        <v>167717.31038799573</v>
      </c>
      <c r="P17" s="241">
        <f>BS!X11+BS!X12+BS!X14</f>
        <v>140926.89672624087</v>
      </c>
      <c r="Q17" s="241">
        <f>BS!Y11+BS!Y12+BS!Y14</f>
        <v>155693.49255630991</v>
      </c>
      <c r="R17" s="241">
        <f>BS!Z11+BS!Z12+BS!Z14</f>
        <v>168520.39975824376</v>
      </c>
      <c r="S17" s="241">
        <f>BS!AA11+BS!AA12+BS!AA14</f>
        <v>221587.5041208792</v>
      </c>
      <c r="T17" s="241">
        <f>BS!AB11+BS!AB12+BS!AB14</f>
        <v>186476.67471847334</v>
      </c>
      <c r="U17" s="118">
        <f>BS!AC11+BS!AC12+BS!AC14</f>
        <v>165395.14930466685</v>
      </c>
      <c r="V17" s="119">
        <f t="shared" si="20"/>
        <v>0.28849090501363567</v>
      </c>
      <c r="W17" s="120">
        <f t="shared" si="21"/>
        <v>0.25998984054059748</v>
      </c>
      <c r="X17" s="120">
        <f t="shared" si="22"/>
        <v>0.32949078807058219</v>
      </c>
      <c r="Y17" s="120">
        <f t="shared" si="23"/>
        <v>0.34758014536417264</v>
      </c>
      <c r="Z17" s="120">
        <f t="shared" si="24"/>
        <v>0.24204359942474313</v>
      </c>
      <c r="AA17" s="120">
        <f t="shared" si="25"/>
        <v>0.22036139070955182</v>
      </c>
      <c r="AB17" s="120">
        <f t="shared" si="26"/>
        <v>0.25070854244317725</v>
      </c>
      <c r="AC17" s="120">
        <f t="shared" si="27"/>
        <v>0.29475911199132265</v>
      </c>
      <c r="AD17" s="120">
        <f t="shared" si="28"/>
        <v>0.31760901776090206</v>
      </c>
      <c r="AE17" s="120">
        <f t="shared" si="29"/>
        <v>0.23951790652091307</v>
      </c>
      <c r="AF17" s="120">
        <f t="shared" si="30"/>
        <v>0.28546045472671094</v>
      </c>
      <c r="AG17" s="120">
        <f t="shared" si="31"/>
        <v>0.23145439928849557</v>
      </c>
      <c r="AH17" s="120">
        <f t="shared" si="32"/>
        <v>0.28115900691121348</v>
      </c>
      <c r="AI17" s="120">
        <f t="shared" si="33"/>
        <v>0.23825814471605278</v>
      </c>
      <c r="AJ17" s="120">
        <f t="shared" si="34"/>
        <v>0.2277421141199871</v>
      </c>
      <c r="AK17" s="120">
        <f t="shared" si="35"/>
        <v>0.23054321351861612</v>
      </c>
      <c r="AL17" s="120">
        <f t="shared" si="36"/>
        <v>0.22538032790130536</v>
      </c>
      <c r="AM17" s="120">
        <f t="shared" si="37"/>
        <v>0.21452365717133501</v>
      </c>
      <c r="AN17" s="120">
        <f t="shared" ref="AN17:AN25" si="39">+U17/U$25</f>
        <v>0.20981949764776769</v>
      </c>
    </row>
    <row r="18" spans="1:40" x14ac:dyDescent="0.2">
      <c r="A18" s="131" t="s">
        <v>374</v>
      </c>
      <c r="B18" s="84" t="s">
        <v>254</v>
      </c>
      <c r="C18" s="85">
        <f>BS!K13</f>
        <v>68920.219302391502</v>
      </c>
      <c r="D18" s="85">
        <f>BS!L13</f>
        <v>80475.566452485626</v>
      </c>
      <c r="E18" s="85">
        <f>BS!M13</f>
        <v>56758.184392994845</v>
      </c>
      <c r="F18" s="85">
        <f>BS!N13</f>
        <v>54711.74265476421</v>
      </c>
      <c r="G18" s="85">
        <f>BS!O13</f>
        <v>76623.0076659162</v>
      </c>
      <c r="H18" s="85">
        <f>BS!P13</f>
        <v>47468.239723950501</v>
      </c>
      <c r="I18" s="85">
        <f>BS!Q13</f>
        <v>36216.880684050389</v>
      </c>
      <c r="J18" s="85">
        <f>BS!R13</f>
        <v>37900.133132947187</v>
      </c>
      <c r="K18" s="85">
        <f>BS!S13</f>
        <v>36304.967483782493</v>
      </c>
      <c r="L18" s="85">
        <f>BS!T13</f>
        <v>27166.304696607163</v>
      </c>
      <c r="M18" s="85">
        <f>BS!U13</f>
        <v>41096.459134022873</v>
      </c>
      <c r="N18" s="241">
        <f>BS!V13</f>
        <v>62941.236519117694</v>
      </c>
      <c r="O18" s="241">
        <f>BS!W13</f>
        <v>48011.053494214502</v>
      </c>
      <c r="P18" s="241">
        <f>BS!X13</f>
        <v>34652.967485929184</v>
      </c>
      <c r="Q18" s="241">
        <f>BS!Y13</f>
        <v>36730.901113667285</v>
      </c>
      <c r="R18" s="241">
        <f>BS!Z13</f>
        <v>73120.282322182189</v>
      </c>
      <c r="S18" s="241">
        <f>BS!AA13</f>
        <v>82215.256782280223</v>
      </c>
      <c r="T18" s="241">
        <f>BS!AB13</f>
        <v>72573.449239233232</v>
      </c>
      <c r="U18" s="118">
        <f>BS!AC13</f>
        <v>81584.396041293396</v>
      </c>
      <c r="V18" s="119">
        <f t="shared" si="20"/>
        <v>9.3751317983518587E-2</v>
      </c>
      <c r="W18" s="120">
        <f t="shared" si="21"/>
        <v>0.13457325110193941</v>
      </c>
      <c r="X18" s="120">
        <f t="shared" si="22"/>
        <v>8.1825722532256756E-2</v>
      </c>
      <c r="Y18" s="120">
        <f t="shared" si="23"/>
        <v>9.5719673796574908E-2</v>
      </c>
      <c r="Z18" s="120">
        <f t="shared" si="24"/>
        <v>0.12032976290010075</v>
      </c>
      <c r="AA18" s="120">
        <f t="shared" si="25"/>
        <v>7.3877815655562021E-2</v>
      </c>
      <c r="AB18" s="120">
        <f t="shared" si="26"/>
        <v>5.9266017965265115E-2</v>
      </c>
      <c r="AC18" s="120">
        <f t="shared" si="27"/>
        <v>8.4058225145887025E-2</v>
      </c>
      <c r="AD18" s="120">
        <f t="shared" si="28"/>
        <v>7.7869593959744354E-2</v>
      </c>
      <c r="AE18" s="120">
        <f t="shared" si="29"/>
        <v>7.4956798939609659E-2</v>
      </c>
      <c r="AF18" s="120">
        <f t="shared" si="30"/>
        <v>7.1169471033887446E-2</v>
      </c>
      <c r="AG18" s="120">
        <f t="shared" si="31"/>
        <v>0.10389272016404685</v>
      </c>
      <c r="AH18" s="120">
        <f t="shared" si="32"/>
        <v>8.0485073901832974E-2</v>
      </c>
      <c r="AI18" s="120">
        <f t="shared" si="33"/>
        <v>5.8586060815215828E-2</v>
      </c>
      <c r="AJ18" s="120">
        <f t="shared" si="34"/>
        <v>5.3728469544951155E-2</v>
      </c>
      <c r="AK18" s="120">
        <f t="shared" si="35"/>
        <v>0.10003171654071337</v>
      </c>
      <c r="AL18" s="120">
        <f t="shared" si="36"/>
        <v>8.3622502115336408E-2</v>
      </c>
      <c r="AM18" s="120">
        <f t="shared" si="37"/>
        <v>8.3488842601053936E-2</v>
      </c>
      <c r="AN18" s="120">
        <f t="shared" si="39"/>
        <v>0.10349757574660444</v>
      </c>
    </row>
    <row r="19" spans="1:40" x14ac:dyDescent="0.2">
      <c r="A19" s="131" t="s">
        <v>375</v>
      </c>
      <c r="B19" s="84" t="s">
        <v>254</v>
      </c>
      <c r="C19" s="85">
        <f>BS!K16+BS!K25</f>
        <v>283603.08157670824</v>
      </c>
      <c r="D19" s="85">
        <f>BS!L16+BS!L25</f>
        <v>228132.3131552249</v>
      </c>
      <c r="E19" s="85">
        <f>BS!M16+BS!M25</f>
        <v>249719.84346260325</v>
      </c>
      <c r="F19" s="85">
        <f>BS!N16+BS!N25</f>
        <v>182737.44834916011</v>
      </c>
      <c r="G19" s="85">
        <f>BS!O16+BS!O25</f>
        <v>210461.76841831472</v>
      </c>
      <c r="H19" s="85">
        <f>BS!P16+BS!P25</f>
        <v>293279.04449414456</v>
      </c>
      <c r="I19" s="85">
        <f>BS!Q16+BS!Q25</f>
        <v>242790.87407687755</v>
      </c>
      <c r="J19" s="85">
        <f>BS!R16+BS!R25</f>
        <v>162868.44655692688</v>
      </c>
      <c r="K19" s="85">
        <f>BS!S16+BS!S25</f>
        <v>154668.52548339861</v>
      </c>
      <c r="L19" s="85">
        <f>BS!T16+BS!T25</f>
        <v>145095.20371205627</v>
      </c>
      <c r="M19" s="85">
        <f>BS!U16+BS!U25</f>
        <v>183832.48669277332</v>
      </c>
      <c r="N19" s="241">
        <f>BS!V16+BS!V25</f>
        <v>213851.51268170925</v>
      </c>
      <c r="O19" s="241">
        <f>BS!W16+BS!W25</f>
        <v>209710.62639011524</v>
      </c>
      <c r="P19" s="241">
        <f>BS!X16+BS!X25</f>
        <v>183960.03153185808</v>
      </c>
      <c r="Q19" s="241">
        <f>BS!Y16+BS!Y25</f>
        <v>247186.88623417696</v>
      </c>
      <c r="R19" s="241">
        <f>BS!Z16+BS!Z25</f>
        <v>240106.43537802843</v>
      </c>
      <c r="S19" s="241">
        <f>BS!AA16+BS!AA25</f>
        <v>267265.11031936813</v>
      </c>
      <c r="T19" s="241">
        <f>BS!AB16+BS!AB25</f>
        <v>286970.51250752172</v>
      </c>
      <c r="U19" s="118">
        <f>BS!AC16+BS!AC25</f>
        <v>258804.71487074482</v>
      </c>
      <c r="V19" s="119">
        <f t="shared" si="20"/>
        <v>0.3857817481013317</v>
      </c>
      <c r="W19" s="120">
        <f t="shared" si="21"/>
        <v>0.38148854883588235</v>
      </c>
      <c r="X19" s="120">
        <f t="shared" si="22"/>
        <v>0.36000987065561402</v>
      </c>
      <c r="Y19" s="120">
        <f t="shared" si="23"/>
        <v>0.31970410916671699</v>
      </c>
      <c r="Z19" s="120">
        <f t="shared" si="24"/>
        <v>0.33051188493840372</v>
      </c>
      <c r="AA19" s="120">
        <f t="shared" si="25"/>
        <v>0.45644867622604524</v>
      </c>
      <c r="AB19" s="120">
        <f t="shared" si="26"/>
        <v>0.39730777563015113</v>
      </c>
      <c r="AC19" s="120">
        <f t="shared" si="27"/>
        <v>0.36122386435475917</v>
      </c>
      <c r="AD19" s="120">
        <f t="shared" si="28"/>
        <v>0.33174455487736471</v>
      </c>
      <c r="AE19" s="120">
        <f t="shared" si="29"/>
        <v>0.40034418126454313</v>
      </c>
      <c r="AF19" s="120">
        <f t="shared" si="30"/>
        <v>0.31835494133696496</v>
      </c>
      <c r="AG19" s="120">
        <f t="shared" si="31"/>
        <v>0.35298981387107936</v>
      </c>
      <c r="AH19" s="120">
        <f t="shared" si="32"/>
        <v>0.35155602792681973</v>
      </c>
      <c r="AI19" s="120">
        <f t="shared" si="33"/>
        <v>0.31101214056979831</v>
      </c>
      <c r="AJ19" s="120">
        <f t="shared" si="34"/>
        <v>0.36157493244843192</v>
      </c>
      <c r="AK19" s="120">
        <f t="shared" si="35"/>
        <v>0.32847601404911059</v>
      </c>
      <c r="AL19" s="120">
        <f t="shared" si="36"/>
        <v>0.27183977923005065</v>
      </c>
      <c r="AM19" s="120">
        <f t="shared" si="37"/>
        <v>0.33013224810227298</v>
      </c>
      <c r="AN19" s="120">
        <f t="shared" si="39"/>
        <v>0.32831842705994774</v>
      </c>
    </row>
    <row r="20" spans="1:40" x14ac:dyDescent="0.2">
      <c r="A20" s="136" t="s">
        <v>376</v>
      </c>
      <c r="B20" s="89" t="s">
        <v>254</v>
      </c>
      <c r="C20" s="90">
        <f>BS!K27+BS!K28</f>
        <v>60588.618962094726</v>
      </c>
      <c r="D20" s="90">
        <f>BS!L27+BS!L28</f>
        <v>67908.014879945898</v>
      </c>
      <c r="E20" s="90">
        <f>BS!M27+BS!M28</f>
        <v>73905.47347047599</v>
      </c>
      <c r="F20" s="90">
        <f>BS!N27+BS!N28</f>
        <v>47230.445455006229</v>
      </c>
      <c r="G20" s="90">
        <f>BS!O27+BS!O28</f>
        <v>73675.447448454404</v>
      </c>
      <c r="H20" s="90">
        <f>BS!P27+BS!P28</f>
        <v>52671.333602870407</v>
      </c>
      <c r="I20" s="90">
        <f>BS!Q27+BS!Q28</f>
        <v>58542.737915506281</v>
      </c>
      <c r="J20" s="90">
        <f>BS!R27+BS!R28</f>
        <v>29294.726138343842</v>
      </c>
      <c r="K20" s="90">
        <f>BS!S27+BS!S28</f>
        <v>43562.0577038708</v>
      </c>
      <c r="L20" s="90">
        <f>BS!T27+BS!T28</f>
        <v>31688.878696351312</v>
      </c>
      <c r="M20" s="90">
        <f>BS!U27+BS!U28</f>
        <v>99974.305411724854</v>
      </c>
      <c r="N20" s="244">
        <f>BS!V27+BS!V28</f>
        <v>66022.587209411897</v>
      </c>
      <c r="O20" s="244">
        <f>BS!W27+BS!W28</f>
        <v>83660.064435772918</v>
      </c>
      <c r="P20" s="244">
        <f>BS!X27+BS!X28</f>
        <v>78448.459460882426</v>
      </c>
      <c r="Q20" s="244">
        <f>BS!Y27+BS!Y28</f>
        <v>82446.91626103544</v>
      </c>
      <c r="R20" s="244">
        <f>BS!Z27+BS!Z28</f>
        <v>105949.74141360066</v>
      </c>
      <c r="S20" s="244">
        <f>BS!AA27+BS!AA28</f>
        <v>241995.57743818685</v>
      </c>
      <c r="T20" s="244">
        <f>BS!AB27+BS!AB28</f>
        <v>138660.01762228145</v>
      </c>
      <c r="U20" s="137">
        <f>BS!AC27+BS!AC28</f>
        <v>101449.34049995735</v>
      </c>
      <c r="V20" s="138">
        <f t="shared" si="20"/>
        <v>8.2417945560722905E-2</v>
      </c>
      <c r="W20" s="139">
        <f t="shared" si="21"/>
        <v>0.11355747764346349</v>
      </c>
      <c r="X20" s="139">
        <f t="shared" si="22"/>
        <v>0.10654619823527343</v>
      </c>
      <c r="Y20" s="139">
        <f t="shared" si="23"/>
        <v>8.2630941967015731E-2</v>
      </c>
      <c r="Z20" s="139">
        <f t="shared" si="24"/>
        <v>0.11570087618702125</v>
      </c>
      <c r="AA20" s="139">
        <f t="shared" si="25"/>
        <v>8.1975718856962573E-2</v>
      </c>
      <c r="AB20" s="139">
        <f t="shared" si="26"/>
        <v>9.5800491138492316E-2</v>
      </c>
      <c r="AC20" s="139">
        <f t="shared" si="27"/>
        <v>6.4972401988301995E-2</v>
      </c>
      <c r="AD20" s="139">
        <f t="shared" si="28"/>
        <v>9.3435140713640841E-2</v>
      </c>
      <c r="AE20" s="139">
        <f t="shared" si="29"/>
        <v>8.7435407045285005E-2</v>
      </c>
      <c r="AF20" s="139">
        <f t="shared" si="30"/>
        <v>0.17313215257618911</v>
      </c>
      <c r="AG20" s="139">
        <f t="shared" si="31"/>
        <v>0.1089788913722784</v>
      </c>
      <c r="AH20" s="139">
        <f t="shared" si="32"/>
        <v>0.14024658862269473</v>
      </c>
      <c r="AI20" s="139">
        <f t="shared" si="33"/>
        <v>0.13262893628666719</v>
      </c>
      <c r="AJ20" s="139">
        <f t="shared" si="34"/>
        <v>0.12059999877753901</v>
      </c>
      <c r="AK20" s="139">
        <f t="shared" si="35"/>
        <v>0.14494383998613211</v>
      </c>
      <c r="AL20" s="139">
        <f t="shared" si="36"/>
        <v>0.2461377179641473</v>
      </c>
      <c r="AM20" s="139">
        <f t="shared" si="37"/>
        <v>0.1595151464851105</v>
      </c>
      <c r="AN20" s="139">
        <f t="shared" si="39"/>
        <v>0.12869814955206652</v>
      </c>
    </row>
    <row r="21" spans="1:40" x14ac:dyDescent="0.2">
      <c r="A21" s="131" t="s">
        <v>377</v>
      </c>
      <c r="B21" s="154" t="s">
        <v>254</v>
      </c>
      <c r="C21" s="85">
        <f>BS!K32+BS!K36+BS!K42</f>
        <v>260137.44210227788</v>
      </c>
      <c r="D21" s="85">
        <f>BS!L32+BS!L36+BS!L42</f>
        <v>245746.70273926275</v>
      </c>
      <c r="E21" s="85">
        <f>BS!M32+BS!M36+BS!M42</f>
        <v>219208.03386317549</v>
      </c>
      <c r="F21" s="85">
        <f>BS!N32+BS!N36+BS!N42</f>
        <v>199515.8565739241</v>
      </c>
      <c r="G21" s="85">
        <f>BS!O32+BS!O36+BS!O42</f>
        <v>201028.42349576924</v>
      </c>
      <c r="H21" s="85">
        <f>BS!P32+BS!P36+BS!P42</f>
        <v>160976.57321661606</v>
      </c>
      <c r="I21" s="85">
        <f>BS!Q32+BS!Q36+BS!Q42</f>
        <v>151092.36344363491</v>
      </c>
      <c r="J21" s="85">
        <f>BS!R32+BS!R36+BS!R42</f>
        <v>129469.78087629817</v>
      </c>
      <c r="K21" s="85">
        <f>BS!S32+BS!S36+BS!S42+BS!S35+BS!S41</f>
        <v>127720.47653237017</v>
      </c>
      <c r="L21" s="85">
        <f>BS!T32+BS!T36+BS!T42+BS!T35+BS!T41</f>
        <v>85476.827634994523</v>
      </c>
      <c r="M21" s="85">
        <f>BS!U32+BS!U36+BS!U42+BS!U35+BS!U41</f>
        <v>175075.54772473031</v>
      </c>
      <c r="N21" s="241">
        <f>BS!V32+BS!V36+BS!V42+BS!V35+BS!V41</f>
        <v>185583.43905456259</v>
      </c>
      <c r="O21" s="241">
        <f>BS!W32+BS!W36+BS!W42+BS!W35+BS!W41</f>
        <v>182353.45363788982</v>
      </c>
      <c r="P21" s="241">
        <f>BS!X32+BS!X36+BS!X42+BS!X35+BS!X41</f>
        <v>162600.73799923796</v>
      </c>
      <c r="Q21" s="241">
        <f>BS!Y32+BS!Y36+BS!Y42+BS!Y35+BS!Y41</f>
        <v>199176.41131337715</v>
      </c>
      <c r="R21" s="241">
        <f>BS!Z32+BS!Z36+BS!Z42+BS!Z35+BS!Z41</f>
        <v>187681.95084122563</v>
      </c>
      <c r="S21" s="241">
        <f>BS!AA32+BS!AA36+BS!AA42+BS!AA35+BS!AA41</f>
        <v>237588.7753262363</v>
      </c>
      <c r="T21" s="241">
        <f>BS!AB32+BS!AB36+BS!AB42+BS!AB35+BS!AB41</f>
        <v>212756.50399724921</v>
      </c>
      <c r="U21" s="118">
        <f>BS!AC32+BS!AC36+BS!AC42+BS!AC35+BS!AC41</f>
        <v>199618.03719819133</v>
      </c>
      <c r="V21" s="119">
        <f t="shared" si="20"/>
        <v>0.35386173028476636</v>
      </c>
      <c r="W21" s="120">
        <f t="shared" si="21"/>
        <v>0.41094377079942901</v>
      </c>
      <c r="X21" s="120">
        <f t="shared" si="22"/>
        <v>0.31602236659887817</v>
      </c>
      <c r="Y21" s="120">
        <f t="shared" si="23"/>
        <v>0.34905838823317492</v>
      </c>
      <c r="Z21" s="120">
        <f t="shared" si="24"/>
        <v>0.31569763798487815</v>
      </c>
      <c r="AA21" s="120">
        <f t="shared" si="25"/>
        <v>0.25053799488083256</v>
      </c>
      <c r="AB21" s="120">
        <f t="shared" si="26"/>
        <v>0.24725052398586006</v>
      </c>
      <c r="AC21" s="120">
        <f t="shared" si="27"/>
        <v>0.28714938684549807</v>
      </c>
      <c r="AD21" s="120">
        <f t="shared" si="28"/>
        <v>0.2739443755834079</v>
      </c>
      <c r="AE21" s="120">
        <f t="shared" si="29"/>
        <v>0.2358461872008725</v>
      </c>
      <c r="AF21" s="120">
        <f t="shared" si="30"/>
        <v>0.30318996782430285</v>
      </c>
      <c r="AG21" s="120">
        <f t="shared" si="31"/>
        <v>0.30632967140581674</v>
      </c>
      <c r="AH21" s="120">
        <f t="shared" si="32"/>
        <v>0.30569483742048342</v>
      </c>
      <c r="AI21" s="120">
        <f t="shared" si="33"/>
        <v>0.27490103780839004</v>
      </c>
      <c r="AJ21" s="120">
        <f t="shared" si="34"/>
        <v>0.29134716069738686</v>
      </c>
      <c r="AK21" s="120">
        <f t="shared" si="35"/>
        <v>0.25675704620005479</v>
      </c>
      <c r="AL21" s="120">
        <f t="shared" si="36"/>
        <v>0.241655486400919</v>
      </c>
      <c r="AM21" s="120">
        <f t="shared" si="37"/>
        <v>0.24475609828083336</v>
      </c>
      <c r="AN21" s="120">
        <f t="shared" si="39"/>
        <v>0.25323449002247189</v>
      </c>
    </row>
    <row r="22" spans="1:40" x14ac:dyDescent="0.2">
      <c r="A22" s="132" t="s">
        <v>378</v>
      </c>
      <c r="B22" s="84" t="s">
        <v>254</v>
      </c>
      <c r="C22" s="87">
        <f>BS!K33+BS!K34+BS!K38+BS!K39+BS!K40</f>
        <v>260591.07666131022</v>
      </c>
      <c r="D22" s="87">
        <f>BS!L33+BS!L34+BS!L38+BS!L39+BS!L40</f>
        <v>200565.18430842072</v>
      </c>
      <c r="E22" s="87">
        <f>BS!M33+BS!M34+BS!M38+BS!M39+BS!M40</f>
        <v>239563.12268368731</v>
      </c>
      <c r="F22" s="87">
        <f>BS!N33+BS!N34+BS!N38+BS!N39+BS!N40</f>
        <v>175186.95064432808</v>
      </c>
      <c r="G22" s="87">
        <f>BS!O33+BS!O34+BS!O38+BS!O39+BS!O40</f>
        <v>241031.01242685923</v>
      </c>
      <c r="H22" s="87">
        <f>BS!P33+BS!P34+BS!P38+BS!P39+BS!P40</f>
        <v>268480.8586631426</v>
      </c>
      <c r="I22" s="87">
        <f>BS!Q33+BS!Q34+BS!Q38+BS!Q39+BS!Q40</f>
        <v>228999.2889259434</v>
      </c>
      <c r="J22" s="87">
        <f>BS!R33+BS!R34+BS!R38+BS!R39+BS!R40</f>
        <v>156984.90130966535</v>
      </c>
      <c r="K22" s="87">
        <f>BS!S33+BS!S34+BS!S38+BS!S39+BS!S40</f>
        <v>169004.5396589681</v>
      </c>
      <c r="L22" s="87">
        <f>BS!T33+BS!T34+BS!T38+BS!T39+BS!T40</f>
        <v>152480.2004169242</v>
      </c>
      <c r="M22" s="87">
        <f>BS!U33+BS!U34+BS!U38+BS!U39+BS!U40</f>
        <v>188378.57470020265</v>
      </c>
      <c r="N22" s="245">
        <f>BS!V33+BS!V34+BS!V38+BS!V39+BS!V40</f>
        <v>190742.54577898976</v>
      </c>
      <c r="O22" s="245">
        <f>BS!W33+BS!W34+BS!W38+BS!W39+BS!W40</f>
        <v>193710.44784897027</v>
      </c>
      <c r="P22" s="245">
        <f>BS!X33+BS!X34+BS!X38+BS!X39+BS!X40</f>
        <v>181863.4101061766</v>
      </c>
      <c r="Q22" s="245">
        <f>BS!Y33+BS!Y34+BS!Y38+BS!Y39+BS!Y40</f>
        <v>199879.73152132216</v>
      </c>
      <c r="R22" s="245">
        <f>BS!Z33+BS!Z34+BS!Z38+BS!Z39+BS!Z40</f>
        <v>223632.82679340313</v>
      </c>
      <c r="S22" s="245">
        <f>BS!AA33+BS!AA34+BS!AA38+BS!AA39+BS!AA40</f>
        <v>279761.6334134615</v>
      </c>
      <c r="T22" s="245">
        <f>BS!AB33+BS!AB34+BS!AB38+BS!AB39+BS!AB40</f>
        <v>285613.33688644378</v>
      </c>
      <c r="U22" s="133">
        <f>BS!AC33+BS!AC34+BS!AC38+BS!AC39+BS!AC40</f>
        <v>260414.83312004092</v>
      </c>
      <c r="V22" s="134">
        <f t="shared" si="20"/>
        <v>0.35447880373900997</v>
      </c>
      <c r="W22" s="135">
        <f t="shared" si="21"/>
        <v>0.33539010783079998</v>
      </c>
      <c r="X22" s="135">
        <f t="shared" si="22"/>
        <v>0.34536738296540254</v>
      </c>
      <c r="Y22" s="135">
        <f t="shared" si="23"/>
        <v>0.30649430918156928</v>
      </c>
      <c r="Z22" s="135">
        <f t="shared" si="24"/>
        <v>0.37851822135920343</v>
      </c>
      <c r="AA22" s="135">
        <f t="shared" si="25"/>
        <v>0.4178536954121525</v>
      </c>
      <c r="AB22" s="135">
        <f t="shared" si="26"/>
        <v>0.37473895363646931</v>
      </c>
      <c r="AC22" s="135">
        <f t="shared" si="27"/>
        <v>0.34817482388528403</v>
      </c>
      <c r="AD22" s="135">
        <f t="shared" si="28"/>
        <v>0.36249350413207498</v>
      </c>
      <c r="AE22" s="135">
        <f t="shared" si="29"/>
        <v>0.42072073668341831</v>
      </c>
      <c r="AF22" s="135">
        <f t="shared" si="30"/>
        <v>0.32622770423624819</v>
      </c>
      <c r="AG22" s="135">
        <f t="shared" si="31"/>
        <v>0.31484544994560698</v>
      </c>
      <c r="AH22" s="135">
        <f t="shared" si="32"/>
        <v>0.32473354729781717</v>
      </c>
      <c r="AI22" s="135">
        <f t="shared" si="33"/>
        <v>0.30746748626562259</v>
      </c>
      <c r="AJ22" s="135">
        <f t="shared" si="34"/>
        <v>0.29237594891731056</v>
      </c>
      <c r="AK22" s="135">
        <f t="shared" si="35"/>
        <v>0.30593940324830698</v>
      </c>
      <c r="AL22" s="135">
        <f t="shared" si="36"/>
        <v>0.28455020026099731</v>
      </c>
      <c r="AM22" s="135">
        <f t="shared" si="37"/>
        <v>0.32857094678618631</v>
      </c>
      <c r="AN22" s="135">
        <f t="shared" si="39"/>
        <v>0.33036101539244173</v>
      </c>
    </row>
    <row r="23" spans="1:40" x14ac:dyDescent="0.2">
      <c r="A23" s="132" t="s">
        <v>379</v>
      </c>
      <c r="B23" s="84" t="s">
        <v>254</v>
      </c>
      <c r="C23" s="87">
        <f>BS!K45</f>
        <v>20862.085263257399</v>
      </c>
      <c r="D23" s="87">
        <f>BS!L45</f>
        <v>17572.286100777816</v>
      </c>
      <c r="E23" s="87">
        <f>BS!M45</f>
        <v>24528.816168681555</v>
      </c>
      <c r="F23" s="87">
        <f>BS!N45</f>
        <v>15933.019515878723</v>
      </c>
      <c r="G23" s="87">
        <f>BS!O45</f>
        <v>13627.436573648461</v>
      </c>
      <c r="H23" s="87">
        <f>BS!P45</f>
        <v>16795.952498078434</v>
      </c>
      <c r="I23" s="87">
        <f>BS!Q45</f>
        <v>16936.462419985139</v>
      </c>
      <c r="J23" s="87">
        <f>BS!R45</f>
        <v>14887.777637191552</v>
      </c>
      <c r="K23" s="87">
        <f>BS!S45</f>
        <v>13076.961927814902</v>
      </c>
      <c r="L23" s="87">
        <f>BS!T45</f>
        <v>12021.806176062939</v>
      </c>
      <c r="M23" s="87">
        <f>BS!U45</f>
        <v>17066.1471193666</v>
      </c>
      <c r="N23" s="245">
        <f>BS!V45</f>
        <v>15559.141601150091</v>
      </c>
      <c r="O23" s="245">
        <f>BS!W45</f>
        <v>22706.700430701378</v>
      </c>
      <c r="P23" s="245">
        <f>BS!X45</f>
        <v>22360.310044176804</v>
      </c>
      <c r="Q23" s="245">
        <f>BS!Y45</f>
        <v>16302.022102231856</v>
      </c>
      <c r="R23" s="245">
        <f>BS!Z45</f>
        <v>16128.250588082512</v>
      </c>
      <c r="S23" s="245">
        <f>BS!AA45</f>
        <v>18317.291895604394</v>
      </c>
      <c r="T23" s="245">
        <f>BS!AB45</f>
        <v>16806.276197025702</v>
      </c>
      <c r="U23" s="133">
        <f>BS!AC45</f>
        <v>16753.326849244946</v>
      </c>
      <c r="V23" s="134">
        <f t="shared" si="20"/>
        <v>2.8378435372260261E-2</v>
      </c>
      <c r="W23" s="135">
        <f t="shared" si="21"/>
        <v>2.9384815467826425E-2</v>
      </c>
      <c r="X23" s="135">
        <f t="shared" si="22"/>
        <v>3.5362091429249225E-2</v>
      </c>
      <c r="Y23" s="135">
        <f t="shared" si="23"/>
        <v>2.7875248651425832E-2</v>
      </c>
      <c r="Z23" s="135">
        <f t="shared" si="24"/>
        <v>2.1400702762712068E-2</v>
      </c>
      <c r="AA23" s="135">
        <f t="shared" si="25"/>
        <v>2.6140600317785419E-2</v>
      </c>
      <c r="AB23" s="135">
        <f t="shared" si="26"/>
        <v>2.7715161192579538E-2</v>
      </c>
      <c r="AC23" s="135">
        <f t="shared" si="27"/>
        <v>3.3019413418921548E-2</v>
      </c>
      <c r="AD23" s="135">
        <f t="shared" si="28"/>
        <v>2.8048440368411236E-2</v>
      </c>
      <c r="AE23" s="135">
        <f t="shared" si="29"/>
        <v>3.31703600652999E-2</v>
      </c>
      <c r="AF23" s="135">
        <f t="shared" si="30"/>
        <v>2.9554581797688044E-2</v>
      </c>
      <c r="AG23" s="135">
        <f t="shared" si="31"/>
        <v>2.5682392557859555E-2</v>
      </c>
      <c r="AH23" s="135">
        <f t="shared" si="32"/>
        <v>3.8065202265391014E-2</v>
      </c>
      <c r="AI23" s="135">
        <f t="shared" si="33"/>
        <v>3.7803471942977153E-2</v>
      </c>
      <c r="AJ23" s="135">
        <f t="shared" si="34"/>
        <v>2.3845935478968572E-2</v>
      </c>
      <c r="AK23" s="135">
        <f t="shared" si="35"/>
        <v>2.2064146087620237E-2</v>
      </c>
      <c r="AL23" s="135">
        <f t="shared" si="36"/>
        <v>1.8630821580278116E-2</v>
      </c>
      <c r="AM23" s="135">
        <f t="shared" si="37"/>
        <v>1.9334020400463229E-2</v>
      </c>
      <c r="AN23" s="135">
        <f t="shared" si="39"/>
        <v>2.1253190545281898E-2</v>
      </c>
    </row>
    <row r="24" spans="1:40" x14ac:dyDescent="0.2">
      <c r="A24" s="136" t="s">
        <v>380</v>
      </c>
      <c r="B24" s="89" t="s">
        <v>254</v>
      </c>
      <c r="C24" s="90">
        <f>BS!K43-BS!K45</f>
        <v>193548.1614519326</v>
      </c>
      <c r="D24" s="90">
        <f>BS!L43-BS!L45</f>
        <v>134121.49137639499</v>
      </c>
      <c r="E24" s="90">
        <f>BS!M43-BS!M45</f>
        <v>210347.2403673596</v>
      </c>
      <c r="F24" s="90">
        <f>BS!N43-BS!N45</f>
        <v>180947.21868073859</v>
      </c>
      <c r="G24" s="90">
        <f>BS!O43-BS!O45</f>
        <v>181088.31777422613</v>
      </c>
      <c r="H24" s="90">
        <f>BS!P43-BS!P45</f>
        <v>196270.21086839959</v>
      </c>
      <c r="I24" s="90">
        <f>BS!Q43-BS!Q45</f>
        <v>213575.04100424924</v>
      </c>
      <c r="J24" s="90">
        <f>BS!R43-BS!R45</f>
        <v>148771.11329730708</v>
      </c>
      <c r="K24" s="90">
        <f>BS!S43-BS!S45</f>
        <v>156425.7962615733</v>
      </c>
      <c r="L24" s="90">
        <f>BS!T43-BS!T45</f>
        <v>112447.32431827905</v>
      </c>
      <c r="M24" s="90">
        <f>BS!U43-BS!U45</f>
        <v>196924.7857161882</v>
      </c>
      <c r="N24" s="244">
        <f>BS!V43-BS!V45</f>
        <v>213944.00596007358</v>
      </c>
      <c r="O24" s="244">
        <f>BS!W43-BS!W45</f>
        <v>197750.60588766693</v>
      </c>
      <c r="P24" s="244">
        <f>BS!X43-BS!X45</f>
        <v>224663.80721146148</v>
      </c>
      <c r="Q24" s="244">
        <f>BS!Y43-BS!Y45</f>
        <v>268281.28030981962</v>
      </c>
      <c r="R24" s="244">
        <f>BS!Z43-BS!Z45</f>
        <v>303527.9562892057</v>
      </c>
      <c r="S24" s="244">
        <f>BS!AA43-BS!AA45</f>
        <v>447503.75085851649</v>
      </c>
      <c r="T24" s="244">
        <f>BS!AB43-BS!AB45</f>
        <v>354083.13934496691</v>
      </c>
      <c r="U24" s="137">
        <f>BS!AC43-BS!AC45</f>
        <v>311487.30057162355</v>
      </c>
      <c r="V24" s="138">
        <f t="shared" si="20"/>
        <v>0.26328115918772027</v>
      </c>
      <c r="W24" s="139">
        <f t="shared" si="21"/>
        <v>0.22428130590194467</v>
      </c>
      <c r="X24" s="139">
        <f t="shared" si="22"/>
        <v>0.30324815900647073</v>
      </c>
      <c r="Y24" s="139">
        <f t="shared" si="23"/>
        <v>0.31657205393382926</v>
      </c>
      <c r="Z24" s="139">
        <f t="shared" si="24"/>
        <v>0.28438343789320603</v>
      </c>
      <c r="AA24" s="139">
        <f t="shared" si="25"/>
        <v>0.30546770938922779</v>
      </c>
      <c r="AB24" s="139">
        <f t="shared" si="26"/>
        <v>0.34949841007882365</v>
      </c>
      <c r="AC24" s="139">
        <f t="shared" si="27"/>
        <v>0.32995756750727961</v>
      </c>
      <c r="AD24" s="139">
        <f t="shared" si="28"/>
        <v>0.33551367991610526</v>
      </c>
      <c r="AE24" s="139">
        <f t="shared" si="29"/>
        <v>0.31026271605040906</v>
      </c>
      <c r="AF24" s="139">
        <f t="shared" si="30"/>
        <v>0.34102774614175957</v>
      </c>
      <c r="AG24" s="139">
        <f t="shared" si="31"/>
        <v>0.35314248609071774</v>
      </c>
      <c r="AH24" s="139">
        <f t="shared" si="32"/>
        <v>0.33150641301630779</v>
      </c>
      <c r="AI24" s="139">
        <f t="shared" si="33"/>
        <v>0.37982800398300942</v>
      </c>
      <c r="AJ24" s="139">
        <f t="shared" si="34"/>
        <v>0.39243095490633584</v>
      </c>
      <c r="AK24" s="139">
        <f t="shared" si="35"/>
        <v>0.41523940446401891</v>
      </c>
      <c r="AL24" s="139">
        <f t="shared" si="36"/>
        <v>0.45516349175780557</v>
      </c>
      <c r="AM24" s="139">
        <f t="shared" si="37"/>
        <v>0.40733893453251724</v>
      </c>
      <c r="AN24" s="139">
        <f t="shared" si="39"/>
        <v>0.39515130403980453</v>
      </c>
    </row>
    <row r="25" spans="1:40" x14ac:dyDescent="0.2">
      <c r="A25" s="112" t="s">
        <v>313</v>
      </c>
      <c r="B25" s="79" t="s">
        <v>254</v>
      </c>
      <c r="C25" s="92">
        <f>BS!K29</f>
        <v>735138.67095188599</v>
      </c>
      <c r="D25" s="92">
        <f>BS!L29</f>
        <v>598005.66452485626</v>
      </c>
      <c r="E25" s="92">
        <f>BS!M29</f>
        <v>693647.21308290353</v>
      </c>
      <c r="F25" s="92">
        <f>BS!N29</f>
        <v>571583.04541486991</v>
      </c>
      <c r="G25" s="92">
        <f>BS!O29</f>
        <v>636775.19027050328</v>
      </c>
      <c r="H25" s="92">
        <f>BS!P29</f>
        <v>642523.59524623782</v>
      </c>
      <c r="I25" s="92">
        <f>BS!Q29</f>
        <v>611090.16477666062</v>
      </c>
      <c r="J25" s="92">
        <f>BS!R29</f>
        <v>450879.5310294705</v>
      </c>
      <c r="K25" s="92">
        <f>BS!S29</f>
        <v>466227.77438072674</v>
      </c>
      <c r="L25" s="92">
        <f>BS!T29</f>
        <v>362426.15854626079</v>
      </c>
      <c r="M25" s="92">
        <f>BS!U29</f>
        <v>577445.05526048853</v>
      </c>
      <c r="N25" s="243">
        <f>BS!V29</f>
        <v>605829.1323947754</v>
      </c>
      <c r="O25" s="243">
        <f>BS!W29</f>
        <v>596521.20780522877</v>
      </c>
      <c r="P25" s="243">
        <f>BS!X29</f>
        <v>591488.26536105329</v>
      </c>
      <c r="Q25" s="243">
        <f>BS!Y29</f>
        <v>683639.44524674956</v>
      </c>
      <c r="R25" s="243">
        <f>BS!Z29</f>
        <v>730970.98451191629</v>
      </c>
      <c r="S25" s="243">
        <f>BS!AA29</f>
        <v>983171.45149381866</v>
      </c>
      <c r="T25" s="243">
        <f>BS!AB29</f>
        <v>869259.25642568548</v>
      </c>
      <c r="U25" s="127">
        <f>BS!AC29</f>
        <v>788273.49773910071</v>
      </c>
      <c r="V25" s="128">
        <f t="shared" si="20"/>
        <v>1</v>
      </c>
      <c r="W25" s="129">
        <f t="shared" si="21"/>
        <v>1</v>
      </c>
      <c r="X25" s="129">
        <f t="shared" si="22"/>
        <v>1</v>
      </c>
      <c r="Y25" s="129">
        <f t="shared" si="23"/>
        <v>1</v>
      </c>
      <c r="Z25" s="129">
        <f t="shared" si="24"/>
        <v>1</v>
      </c>
      <c r="AA25" s="129">
        <f t="shared" si="25"/>
        <v>1</v>
      </c>
      <c r="AB25" s="129">
        <f t="shared" si="26"/>
        <v>1</v>
      </c>
      <c r="AC25" s="129">
        <f t="shared" si="27"/>
        <v>1</v>
      </c>
      <c r="AD25" s="129">
        <f t="shared" si="28"/>
        <v>1</v>
      </c>
      <c r="AE25" s="129">
        <f t="shared" si="29"/>
        <v>1</v>
      </c>
      <c r="AF25" s="129">
        <f t="shared" si="30"/>
        <v>1</v>
      </c>
      <c r="AG25" s="129">
        <f t="shared" si="31"/>
        <v>1</v>
      </c>
      <c r="AH25" s="129">
        <f t="shared" si="32"/>
        <v>1</v>
      </c>
      <c r="AI25" s="129">
        <f t="shared" si="33"/>
        <v>1</v>
      </c>
      <c r="AJ25" s="129">
        <f t="shared" si="34"/>
        <v>1</v>
      </c>
      <c r="AK25" s="129">
        <f t="shared" si="35"/>
        <v>1</v>
      </c>
      <c r="AL25" s="129">
        <f t="shared" si="36"/>
        <v>1</v>
      </c>
      <c r="AM25" s="129">
        <f t="shared" si="37"/>
        <v>1</v>
      </c>
      <c r="AN25" s="129">
        <f t="shared" si="39"/>
        <v>1</v>
      </c>
    </row>
    <row r="26" spans="1:40" x14ac:dyDescent="0.2">
      <c r="A26" s="195" t="s">
        <v>309</v>
      </c>
      <c r="B26" s="189"/>
      <c r="C26" s="194"/>
      <c r="D26" s="194"/>
      <c r="E26" s="194"/>
      <c r="F26" s="194"/>
      <c r="G26" s="194"/>
      <c r="H26" s="194"/>
      <c r="I26" s="194"/>
      <c r="J26" s="194"/>
      <c r="K26" s="194"/>
      <c r="L26" s="194"/>
      <c r="M26" s="194"/>
      <c r="N26" s="194"/>
      <c r="O26" s="194"/>
      <c r="P26" s="194"/>
      <c r="Q26" s="194"/>
      <c r="R26" s="194"/>
      <c r="S26" s="194"/>
      <c r="T26" s="194"/>
      <c r="U26" s="199"/>
      <c r="V26" s="141"/>
      <c r="W26" s="141"/>
      <c r="X26" s="141"/>
      <c r="Y26" s="141"/>
      <c r="Z26" s="141"/>
      <c r="AA26" s="141"/>
      <c r="AB26" s="100"/>
      <c r="AC26" s="100"/>
      <c r="AD26" s="100"/>
      <c r="AE26" s="100"/>
      <c r="AF26" s="100"/>
      <c r="AG26" s="100"/>
      <c r="AH26" s="100"/>
      <c r="AI26" s="100"/>
      <c r="AJ26" s="100"/>
      <c r="AK26" s="100"/>
      <c r="AL26" s="100"/>
      <c r="AM26" s="100"/>
      <c r="AN26" s="100"/>
    </row>
    <row r="27" spans="1:40" x14ac:dyDescent="0.2">
      <c r="A27" s="112" t="s">
        <v>343</v>
      </c>
      <c r="B27" s="79" t="s">
        <v>164</v>
      </c>
      <c r="C27" s="101">
        <f t="shared" ref="C27:U27" si="40">+C13/C25*100</f>
        <v>2.4921615341173884</v>
      </c>
      <c r="D27" s="101">
        <f>+D13/D25*100</f>
        <v>2.3335229219091582</v>
      </c>
      <c r="E27" s="101">
        <f t="shared" si="40"/>
        <v>2.4207597773035046</v>
      </c>
      <c r="F27" s="101">
        <f t="shared" si="40"/>
        <v>2.9858176207081142</v>
      </c>
      <c r="G27" s="101">
        <f t="shared" si="40"/>
        <v>2.2531128491999159</v>
      </c>
      <c r="H27" s="101">
        <f t="shared" si="40"/>
        <v>0.51925635288579386</v>
      </c>
      <c r="I27" s="101">
        <f t="shared" si="40"/>
        <v>-0.61979278196232723</v>
      </c>
      <c r="J27" s="101">
        <f t="shared" si="40"/>
        <v>1.9836553318717229</v>
      </c>
      <c r="K27" s="101">
        <f t="shared" si="40"/>
        <v>2.0893950897408331</v>
      </c>
      <c r="L27" s="101">
        <f>+L13/L25*100</f>
        <v>1.8730378286070664</v>
      </c>
      <c r="M27" s="101">
        <f>+M13/M25*100</f>
        <v>2.3611874953431533</v>
      </c>
      <c r="N27" s="246">
        <f>+N13/N25*100</f>
        <v>2.4245752136009284</v>
      </c>
      <c r="O27" s="246">
        <f>+O13/O25*100</f>
        <v>2.559667182041057</v>
      </c>
      <c r="P27" s="246">
        <f>+P13/P25*100</f>
        <v>2.9893108964935076</v>
      </c>
      <c r="Q27" s="246">
        <f t="shared" ref="Q27:R27" si="41">+Q13/Q25*100</f>
        <v>3.0963648958992271</v>
      </c>
      <c r="R27" s="246">
        <f t="shared" si="41"/>
        <v>2.7890233282431027</v>
      </c>
      <c r="S27" s="246">
        <f t="shared" ref="S27:T27" si="42">+S13/S25*100</f>
        <v>2.0684867326806944</v>
      </c>
      <c r="T27" s="246">
        <f t="shared" si="42"/>
        <v>1.0096409982260715</v>
      </c>
      <c r="U27" s="142">
        <f t="shared" si="40"/>
        <v>2.6395067424579413</v>
      </c>
      <c r="V27" s="143"/>
      <c r="W27" s="143"/>
      <c r="X27" s="143"/>
      <c r="Y27" s="143"/>
      <c r="Z27" s="143"/>
      <c r="AA27" s="143"/>
      <c r="AB27" s="101"/>
      <c r="AC27" s="101"/>
      <c r="AD27" s="101"/>
      <c r="AE27" s="101"/>
      <c r="AF27" s="101"/>
      <c r="AG27" s="101"/>
      <c r="AH27" s="101"/>
      <c r="AI27" s="101"/>
      <c r="AJ27" s="101"/>
      <c r="AK27" s="101"/>
      <c r="AL27" s="101"/>
      <c r="AM27" s="101"/>
      <c r="AN27" s="101"/>
    </row>
    <row r="28" spans="1:40" x14ac:dyDescent="0.2">
      <c r="A28" s="112" t="s">
        <v>315</v>
      </c>
      <c r="B28" s="79" t="s">
        <v>149</v>
      </c>
      <c r="C28" s="102">
        <f t="shared" ref="C28:U28" si="43">(C23+C24)/C25*100</f>
        <v>29.165959455998053</v>
      </c>
      <c r="D28" s="102">
        <f>(D23+D24)/D25*100</f>
        <v>25.366612136977114</v>
      </c>
      <c r="E28" s="102">
        <f t="shared" si="43"/>
        <v>33.861025043571992</v>
      </c>
      <c r="F28" s="102">
        <f t="shared" si="43"/>
        <v>34.44473025852551</v>
      </c>
      <c r="G28" s="102">
        <f t="shared" si="43"/>
        <v>30.578414065591815</v>
      </c>
      <c r="H28" s="102">
        <f t="shared" si="43"/>
        <v>33.160830970701319</v>
      </c>
      <c r="I28" s="102">
        <f t="shared" si="43"/>
        <v>37.721357127140323</v>
      </c>
      <c r="J28" s="102">
        <f t="shared" si="43"/>
        <v>36.297698092620109</v>
      </c>
      <c r="K28" s="102">
        <f t="shared" si="43"/>
        <v>36.356212028451651</v>
      </c>
      <c r="L28" s="102">
        <f>(L23+L24)/L25*100</f>
        <v>34.343307611570893</v>
      </c>
      <c r="M28" s="102">
        <f>(M23+M24)/M25*100</f>
        <v>37.058232793944754</v>
      </c>
      <c r="N28" s="247">
        <f>(N23+N24)/N25*100</f>
        <v>37.882487864857737</v>
      </c>
      <c r="O28" s="247">
        <f>(O23+O24)/O25*100</f>
        <v>36.957161528169877</v>
      </c>
      <c r="P28" s="247">
        <f>(P23+P24)/P25*100</f>
        <v>41.763147592598656</v>
      </c>
      <c r="Q28" s="247">
        <f t="shared" ref="Q28:R28" si="44">(Q23+Q24)/Q25*100</f>
        <v>41.627689038530441</v>
      </c>
      <c r="R28" s="247">
        <f t="shared" si="44"/>
        <v>43.730355055163919</v>
      </c>
      <c r="S28" s="247">
        <f t="shared" ref="S28:T28" si="45">(S23+S24)/S25*100</f>
        <v>47.37943133380837</v>
      </c>
      <c r="T28" s="247">
        <f t="shared" si="45"/>
        <v>42.667295493298049</v>
      </c>
      <c r="U28" s="144">
        <f t="shared" si="43"/>
        <v>41.640449458508641</v>
      </c>
      <c r="V28" s="145"/>
      <c r="W28" s="145"/>
      <c r="X28" s="145"/>
      <c r="Y28" s="145"/>
      <c r="Z28" s="145"/>
      <c r="AA28" s="145"/>
      <c r="AB28" s="102"/>
      <c r="AC28" s="102"/>
      <c r="AD28" s="102"/>
      <c r="AE28" s="102"/>
      <c r="AF28" s="102"/>
      <c r="AG28" s="102"/>
      <c r="AH28" s="102"/>
      <c r="AI28" s="102"/>
      <c r="AJ28" s="102"/>
      <c r="AK28" s="102"/>
      <c r="AL28" s="102"/>
      <c r="AM28" s="102"/>
      <c r="AN28" s="102"/>
    </row>
    <row r="29" spans="1:40" x14ac:dyDescent="0.2">
      <c r="A29" s="112" t="s">
        <v>316</v>
      </c>
      <c r="B29" s="79" t="s">
        <v>164</v>
      </c>
      <c r="C29" s="102">
        <f t="shared" ref="C29:U29" si="46">+C13/(C23+C24)*100</f>
        <v>8.5447610179848521</v>
      </c>
      <c r="D29" s="102">
        <f>+D13/(D23+D24)*100</f>
        <v>9.1991902951343025</v>
      </c>
      <c r="E29" s="102">
        <f t="shared" si="46"/>
        <v>7.1491036499589056</v>
      </c>
      <c r="F29" s="102">
        <f t="shared" si="46"/>
        <v>8.6684308406482202</v>
      </c>
      <c r="G29" s="102">
        <f t="shared" si="46"/>
        <v>7.3683116605292431</v>
      </c>
      <c r="H29" s="102">
        <f t="shared" si="46"/>
        <v>1.5658725601435437</v>
      </c>
      <c r="I29" s="102">
        <f t="shared" si="46"/>
        <v>-1.6430818750060014</v>
      </c>
      <c r="J29" s="102">
        <f t="shared" si="46"/>
        <v>5.4649617912686059</v>
      </c>
      <c r="K29" s="102">
        <f t="shared" si="46"/>
        <v>5.7470098592936845</v>
      </c>
      <c r="L29" s="102">
        <f>+L13/(L23+L24)*100</f>
        <v>5.4538655676135432</v>
      </c>
      <c r="M29" s="102">
        <f>+M13/(M23+M24)*100</f>
        <v>6.3715598864956311</v>
      </c>
      <c r="N29" s="247">
        <f>+N13/(N23+N24)*100</f>
        <v>6.4002533895090945</v>
      </c>
      <c r="O29" s="247">
        <f>+O13/(O23+O24)*100</f>
        <v>6.9260383541360468</v>
      </c>
      <c r="P29" s="247">
        <f>+P13/(P23+P24)*100</f>
        <v>7.1577720282349571</v>
      </c>
      <c r="Q29" s="247">
        <f t="shared" ref="Q29:R29" si="47">+Q13/(Q23+Q24)*100</f>
        <v>7.4382339433573712</v>
      </c>
      <c r="R29" s="247">
        <f t="shared" si="47"/>
        <v>6.3777742593785769</v>
      </c>
      <c r="S29" s="247">
        <f t="shared" ref="S29:T29" si="48">+S13/(S23+S24)*100</f>
        <v>4.3657905433843647</v>
      </c>
      <c r="T29" s="247">
        <f t="shared" si="48"/>
        <v>2.3663112146038423</v>
      </c>
      <c r="U29" s="144">
        <f t="shared" si="46"/>
        <v>6.3388046401564351</v>
      </c>
      <c r="V29" s="145"/>
      <c r="W29" s="145"/>
      <c r="X29" s="145"/>
      <c r="Y29" s="145"/>
      <c r="Z29" s="145"/>
      <c r="AA29" s="145"/>
      <c r="AB29" s="102"/>
      <c r="AC29" s="102"/>
      <c r="AD29" s="102"/>
      <c r="AE29" s="102"/>
      <c r="AF29" s="102"/>
      <c r="AG29" s="102"/>
      <c r="AH29" s="102"/>
      <c r="AI29" s="102"/>
      <c r="AJ29" s="102"/>
      <c r="AK29" s="102"/>
      <c r="AL29" s="102"/>
      <c r="AM29" s="102"/>
      <c r="AN29" s="102"/>
    </row>
    <row r="30" spans="1:40" x14ac:dyDescent="0.2">
      <c r="A30" s="112" t="s">
        <v>349</v>
      </c>
      <c r="B30" s="79" t="s">
        <v>167</v>
      </c>
      <c r="C30" s="101">
        <f t="shared" ref="C30:U30" si="49">C22/C25*100</f>
        <v>35.447880373901</v>
      </c>
      <c r="D30" s="101">
        <f>D22/D25*100</f>
        <v>33.539010783079995</v>
      </c>
      <c r="E30" s="101">
        <f t="shared" si="49"/>
        <v>34.536738296540257</v>
      </c>
      <c r="F30" s="101">
        <f t="shared" si="49"/>
        <v>30.649430918156927</v>
      </c>
      <c r="G30" s="101">
        <f t="shared" si="49"/>
        <v>37.851822135920344</v>
      </c>
      <c r="H30" s="101">
        <f t="shared" si="49"/>
        <v>41.785369541215253</v>
      </c>
      <c r="I30" s="101">
        <f t="shared" si="49"/>
        <v>37.473895363646932</v>
      </c>
      <c r="J30" s="101">
        <f t="shared" si="49"/>
        <v>34.817482388528404</v>
      </c>
      <c r="K30" s="101">
        <f t="shared" si="49"/>
        <v>36.249350413207502</v>
      </c>
      <c r="L30" s="101">
        <f>L22/L25*100</f>
        <v>42.072073668341829</v>
      </c>
      <c r="M30" s="101">
        <f>M22/M25*100</f>
        <v>32.622770423624821</v>
      </c>
      <c r="N30" s="246">
        <f>N22/N25*100</f>
        <v>31.484544994560697</v>
      </c>
      <c r="O30" s="246">
        <f>O22/O25*100</f>
        <v>32.473354729781718</v>
      </c>
      <c r="P30" s="246">
        <f>P22/P25*100</f>
        <v>30.746748626562258</v>
      </c>
      <c r="Q30" s="246">
        <f t="shared" ref="Q30:R30" si="50">Q22/Q25*100</f>
        <v>29.237594891731057</v>
      </c>
      <c r="R30" s="246">
        <f t="shared" si="50"/>
        <v>30.593940324830697</v>
      </c>
      <c r="S30" s="246">
        <f t="shared" ref="S30:T30" si="51">S22/S25*100</f>
        <v>28.455020026099731</v>
      </c>
      <c r="T30" s="246">
        <f t="shared" si="51"/>
        <v>32.85709467861863</v>
      </c>
      <c r="U30" s="142">
        <f t="shared" si="49"/>
        <v>33.036101539244171</v>
      </c>
      <c r="V30" s="143"/>
      <c r="W30" s="143"/>
      <c r="X30" s="143"/>
      <c r="Y30" s="143"/>
      <c r="Z30" s="143"/>
      <c r="AA30" s="143"/>
      <c r="AB30" s="101"/>
      <c r="AC30" s="101"/>
      <c r="AD30" s="101"/>
      <c r="AE30" s="101"/>
      <c r="AF30" s="101"/>
      <c r="AG30" s="101"/>
      <c r="AH30" s="101"/>
      <c r="AI30" s="101"/>
      <c r="AJ30" s="101"/>
      <c r="AK30" s="101"/>
      <c r="AL30" s="101"/>
      <c r="AM30" s="101"/>
      <c r="AN30" s="101"/>
    </row>
    <row r="31" spans="1:40" x14ac:dyDescent="0.2">
      <c r="A31" s="112" t="s">
        <v>350</v>
      </c>
      <c r="B31" s="79" t="s">
        <v>254</v>
      </c>
      <c r="C31" s="100">
        <f t="shared" ref="C31:U31" si="52">+C5/C14</f>
        <v>21367.123941831895</v>
      </c>
      <c r="D31" s="100">
        <f>+D5/D14</f>
        <v>20687.049177072324</v>
      </c>
      <c r="E31" s="100">
        <f t="shared" si="52"/>
        <v>18924.580461727084</v>
      </c>
      <c r="F31" s="100">
        <f t="shared" si="52"/>
        <v>19250.993978140355</v>
      </c>
      <c r="G31" s="100">
        <f t="shared" si="52"/>
        <v>21116.913839319757</v>
      </c>
      <c r="H31" s="100">
        <f t="shared" si="52"/>
        <v>27992.342159766002</v>
      </c>
      <c r="I31" s="100">
        <f t="shared" si="52"/>
        <v>17752.917887443749</v>
      </c>
      <c r="J31" s="100">
        <f t="shared" si="52"/>
        <v>19692.538768088485</v>
      </c>
      <c r="K31" s="100">
        <f t="shared" si="52"/>
        <v>17995.364100604707</v>
      </c>
      <c r="L31" s="100">
        <f>+L5/L14</f>
        <v>13370.535864240446</v>
      </c>
      <c r="M31" s="100">
        <f>+M5/M14</f>
        <v>20938.1238388118</v>
      </c>
      <c r="N31" s="248">
        <f>+N5/N14</f>
        <v>21628.297774072027</v>
      </c>
      <c r="O31" s="248">
        <f>+O5/O14</f>
        <v>22595.536759633687</v>
      </c>
      <c r="P31" s="248">
        <f>+P5/P14</f>
        <v>21739.929559272769</v>
      </c>
      <c r="Q31" s="248">
        <f t="shared" ref="Q31:R31" si="53">+Q5/Q14</f>
        <v>20199.68630498878</v>
      </c>
      <c r="R31" s="248">
        <f t="shared" si="53"/>
        <v>21896.168506761551</v>
      </c>
      <c r="S31" s="248">
        <f t="shared" ref="S31:T31" si="54">+S5/S14</f>
        <v>22248.358391267626</v>
      </c>
      <c r="T31" s="248">
        <f t="shared" si="54"/>
        <v>21762.069672391655</v>
      </c>
      <c r="U31" s="140">
        <f t="shared" si="52"/>
        <v>21851.263680088425</v>
      </c>
      <c r="V31" s="141"/>
      <c r="W31" s="141"/>
      <c r="X31" s="141"/>
      <c r="Y31" s="141"/>
      <c r="Z31" s="141"/>
      <c r="AA31" s="141"/>
      <c r="AB31" s="100"/>
      <c r="AC31" s="100"/>
      <c r="AD31" s="100"/>
      <c r="AE31" s="100"/>
      <c r="AF31" s="100"/>
      <c r="AG31" s="100"/>
      <c r="AH31" s="100"/>
      <c r="AI31" s="100"/>
      <c r="AJ31" s="100"/>
      <c r="AK31" s="100"/>
      <c r="AL31" s="100"/>
      <c r="AM31" s="100"/>
      <c r="AN31" s="100"/>
    </row>
    <row r="32" spans="1:40" x14ac:dyDescent="0.2">
      <c r="A32" s="112" t="s">
        <v>185</v>
      </c>
      <c r="B32" s="79" t="s">
        <v>254</v>
      </c>
      <c r="C32" s="100">
        <f>PL!K47</f>
        <v>393255.67539464694</v>
      </c>
      <c r="D32" s="100">
        <f>PL!L47</f>
        <v>307123.01318904298</v>
      </c>
      <c r="E32" s="100">
        <f>PL!M47</f>
        <v>346290.95397098799</v>
      </c>
      <c r="F32" s="100">
        <f>PL!N47</f>
        <v>319920.16979466018</v>
      </c>
      <c r="G32" s="100">
        <f>PL!O47</f>
        <v>332815.60714089364</v>
      </c>
      <c r="H32" s="100">
        <f>PL!P47</f>
        <v>357060.51252820645</v>
      </c>
      <c r="I32" s="100">
        <f>PL!Q47</f>
        <v>264705.09718996001</v>
      </c>
      <c r="J32" s="100">
        <f>PL!R47</f>
        <v>267789.74428650487</v>
      </c>
      <c r="K32" s="100">
        <f>PL!S47</f>
        <v>227037.89144963975</v>
      </c>
      <c r="L32" s="100">
        <f>PL!T47</f>
        <v>192388.09286662968</v>
      </c>
      <c r="M32" s="100">
        <f>PL!U47</f>
        <v>304316.2749047525</v>
      </c>
      <c r="N32" s="248">
        <f>PL!V47</f>
        <v>312954.82536491682</v>
      </c>
      <c r="O32" s="248">
        <f>PL!W47</f>
        <v>311920.24688486045</v>
      </c>
      <c r="P32" s="248">
        <f>PL!X47</f>
        <v>338070.06779931602</v>
      </c>
      <c r="Q32" s="248">
        <f>PL!Y47</f>
        <v>329132.95276115369</v>
      </c>
      <c r="R32" s="248">
        <f>PL!Z47</f>
        <v>384947.37213565846</v>
      </c>
      <c r="S32" s="248">
        <f>PL!AA47</f>
        <v>368613.81224244507</v>
      </c>
      <c r="T32" s="248">
        <f>PL!AB47</f>
        <v>403636.12464540533</v>
      </c>
      <c r="U32" s="140">
        <f>PL!AC47</f>
        <v>374651.02943434851</v>
      </c>
      <c r="V32" s="141"/>
      <c r="W32" s="141"/>
      <c r="X32" s="141"/>
      <c r="Y32" s="141"/>
      <c r="Z32" s="141"/>
      <c r="AA32" s="141"/>
      <c r="AB32" s="100"/>
      <c r="AC32" s="100"/>
      <c r="AD32" s="100"/>
      <c r="AE32" s="100"/>
      <c r="AF32" s="100"/>
      <c r="AG32" s="100"/>
      <c r="AH32" s="100"/>
      <c r="AI32" s="100"/>
      <c r="AJ32" s="100"/>
      <c r="AK32" s="100"/>
      <c r="AL32" s="100"/>
      <c r="AM32" s="100"/>
      <c r="AN32" s="100"/>
    </row>
    <row r="33" spans="1:40" x14ac:dyDescent="0.2">
      <c r="A33" s="112" t="s">
        <v>381</v>
      </c>
      <c r="B33" s="79" t="s">
        <v>117</v>
      </c>
      <c r="C33" s="101">
        <f t="shared" ref="C33:U33" si="55">+C32/C5*100</f>
        <v>38.215428627962254</v>
      </c>
      <c r="D33" s="101">
        <f t="shared" si="55"/>
        <v>38.746830784984027</v>
      </c>
      <c r="E33" s="101">
        <f t="shared" si="55"/>
        <v>41.569011517517211</v>
      </c>
      <c r="F33" s="101">
        <f t="shared" si="55"/>
        <v>38.634702835421727</v>
      </c>
      <c r="G33" s="101">
        <f t="shared" si="55"/>
        <v>41.513462064462445</v>
      </c>
      <c r="H33" s="101">
        <f t="shared" si="55"/>
        <v>38.727075560909668</v>
      </c>
      <c r="I33" s="101">
        <f t="shared" si="55"/>
        <v>40.121261553191147</v>
      </c>
      <c r="J33" s="101">
        <f t="shared" si="55"/>
        <v>44.811855935068969</v>
      </c>
      <c r="K33" s="101">
        <f t="shared" si="55"/>
        <v>40.38786057891835</v>
      </c>
      <c r="L33" s="101">
        <f>+L32/L5*100</f>
        <v>47.837515176680114</v>
      </c>
      <c r="M33" s="101">
        <f>+M32/M5*100</f>
        <v>42.29682401049255</v>
      </c>
      <c r="N33" s="246">
        <f>+N32/N5*100</f>
        <v>41.332137540784395</v>
      </c>
      <c r="O33" s="246">
        <f>+O32/O5*100</f>
        <v>39.194505665445917</v>
      </c>
      <c r="P33" s="246">
        <f>+P32/P5*100</f>
        <v>44.459424544625421</v>
      </c>
      <c r="Q33" s="246">
        <f t="shared" ref="Q33:R33" si="56">+Q32/Q5*100</f>
        <v>43.243857485529816</v>
      </c>
      <c r="R33" s="246">
        <f t="shared" si="56"/>
        <v>44.446805056378139</v>
      </c>
      <c r="S33" s="246">
        <f t="shared" ref="S33:T33" si="57">+S32/S5*100</f>
        <v>43.237458542930831</v>
      </c>
      <c r="T33" s="246">
        <f t="shared" si="57"/>
        <v>45.716275994817906</v>
      </c>
      <c r="U33" s="142">
        <f t="shared" si="55"/>
        <v>43.383065433655098</v>
      </c>
      <c r="V33" s="143"/>
      <c r="W33" s="143"/>
      <c r="X33" s="143"/>
      <c r="Y33" s="143"/>
      <c r="Z33" s="143"/>
      <c r="AA33" s="143"/>
      <c r="AB33" s="101"/>
      <c r="AC33" s="101"/>
      <c r="AD33" s="101"/>
      <c r="AE33" s="101"/>
      <c r="AF33" s="101"/>
      <c r="AG33" s="101"/>
      <c r="AH33" s="101"/>
      <c r="AI33" s="101"/>
      <c r="AJ33" s="101"/>
      <c r="AK33" s="101"/>
      <c r="AL33" s="101"/>
      <c r="AM33" s="101"/>
      <c r="AN33" s="101"/>
    </row>
    <row r="34" spans="1:40" x14ac:dyDescent="0.2">
      <c r="A34" s="112" t="s">
        <v>351</v>
      </c>
      <c r="B34" s="79" t="s">
        <v>175</v>
      </c>
      <c r="C34" s="103">
        <f t="shared" ref="C34:U34" si="58">+C8/C32*100</f>
        <v>51.176365457438102</v>
      </c>
      <c r="D34" s="103">
        <f>+D8/D32*100</f>
        <v>59.636640018542941</v>
      </c>
      <c r="E34" s="103">
        <f t="shared" si="58"/>
        <v>51.448143682633727</v>
      </c>
      <c r="F34" s="103">
        <f t="shared" si="58"/>
        <v>50.618297946018188</v>
      </c>
      <c r="G34" s="103">
        <f t="shared" si="58"/>
        <v>51.239611065961668</v>
      </c>
      <c r="H34" s="103">
        <f t="shared" si="58"/>
        <v>51.527685532827761</v>
      </c>
      <c r="I34" s="103">
        <f t="shared" si="58"/>
        <v>56.047149120542294</v>
      </c>
      <c r="J34" s="103">
        <f t="shared" si="58"/>
        <v>48.756451746285855</v>
      </c>
      <c r="K34" s="103">
        <f t="shared" si="58"/>
        <v>51.75524290952167</v>
      </c>
      <c r="L34" s="103">
        <f>+L8/L32*100</f>
        <v>58.51417766925664</v>
      </c>
      <c r="M34" s="103">
        <f>+M8/M32*100</f>
        <v>52.177987246092606</v>
      </c>
      <c r="N34" s="249">
        <f>+N8/N32*100</f>
        <v>50.439469809760908</v>
      </c>
      <c r="O34" s="249">
        <f>+O8/O32*100</f>
        <v>50.821665439568264</v>
      </c>
      <c r="P34" s="249">
        <f>+P8/P32*100</f>
        <v>52.611155015647057</v>
      </c>
      <c r="Q34" s="249">
        <f t="shared" ref="Q34:R34" si="59">+Q8/Q32*100</f>
        <v>53.61395268092329</v>
      </c>
      <c r="R34" s="249">
        <f t="shared" si="59"/>
        <v>44.944810789067439</v>
      </c>
      <c r="S34" s="249">
        <f t="shared" ref="S34:T34" si="60">+S8/S32*100</f>
        <v>44.780532485190264</v>
      </c>
      <c r="T34" s="249">
        <f t="shared" si="60"/>
        <v>46.763018376322798</v>
      </c>
      <c r="U34" s="146">
        <f t="shared" si="58"/>
        <v>46.533046298608546</v>
      </c>
      <c r="V34" s="147"/>
      <c r="W34" s="147"/>
      <c r="X34" s="147"/>
      <c r="Y34" s="147"/>
      <c r="Z34" s="147"/>
      <c r="AA34" s="147"/>
      <c r="AB34" s="103"/>
      <c r="AC34" s="103"/>
      <c r="AD34" s="103"/>
      <c r="AE34" s="103"/>
      <c r="AF34" s="103"/>
      <c r="AG34" s="103"/>
      <c r="AH34" s="103"/>
      <c r="AI34" s="103"/>
      <c r="AJ34" s="103"/>
      <c r="AK34" s="103"/>
      <c r="AL34" s="103"/>
      <c r="AM34" s="103"/>
      <c r="AN34" s="103"/>
    </row>
    <row r="35" spans="1:40" ht="12.6" thickBot="1" x14ac:dyDescent="0.25">
      <c r="A35" s="148" t="s">
        <v>382</v>
      </c>
      <c r="B35" s="149" t="s">
        <v>254</v>
      </c>
      <c r="C35" s="150">
        <f t="shared" ref="C35:U35" si="61">+C32/C14</f>
        <v>8165.5379998390044</v>
      </c>
      <c r="D35" s="150">
        <f>+D32/D14</f>
        <v>8015.5759390466446</v>
      </c>
      <c r="E35" s="150">
        <f t="shared" si="61"/>
        <v>7866.7610317771432</v>
      </c>
      <c r="F35" s="150">
        <f t="shared" si="61"/>
        <v>7437.5643163194563</v>
      </c>
      <c r="G35" s="150">
        <f t="shared" si="61"/>
        <v>8766.3620158712274</v>
      </c>
      <c r="H35" s="150">
        <f t="shared" si="61"/>
        <v>10840.615499480953</v>
      </c>
      <c r="I35" s="150">
        <f t="shared" si="61"/>
        <v>7122.6946189445634</v>
      </c>
      <c r="J35" s="150">
        <f t="shared" si="61"/>
        <v>8824.5921027134173</v>
      </c>
      <c r="K35" s="150">
        <f t="shared" si="61"/>
        <v>7267.9425636209526</v>
      </c>
      <c r="L35" s="150">
        <f>+L32/L14</f>
        <v>6396.1321232594801</v>
      </c>
      <c r="M35" s="150">
        <f>+M32/M14</f>
        <v>8856.1613912012144</v>
      </c>
      <c r="N35" s="250">
        <f>+N32/N14</f>
        <v>8939.43778370986</v>
      </c>
      <c r="O35" s="250">
        <f>+O32/O14</f>
        <v>8856.2089353925403</v>
      </c>
      <c r="P35" s="250">
        <f>+P32/P14</f>
        <v>9665.4475784595943</v>
      </c>
      <c r="Q35" s="250">
        <f t="shared" ref="Q35:R35" si="62">+Q32/Q14</f>
        <v>8735.1235582534318</v>
      </c>
      <c r="R35" s="250">
        <f t="shared" si="62"/>
        <v>9732.147331016371</v>
      </c>
      <c r="S35" s="250">
        <f t="shared" ref="S35:T35" si="63">+S32/S14</f>
        <v>9619.624735907013</v>
      </c>
      <c r="T35" s="250">
        <f t="shared" si="63"/>
        <v>9948.8078336151339</v>
      </c>
      <c r="U35" s="151">
        <f t="shared" si="61"/>
        <v>9479.7480204132717</v>
      </c>
      <c r="V35" s="152"/>
      <c r="W35" s="152"/>
      <c r="X35" s="152"/>
      <c r="Y35" s="152"/>
      <c r="Z35" s="152"/>
      <c r="AA35" s="152"/>
      <c r="AB35" s="92"/>
      <c r="AC35" s="92"/>
      <c r="AD35" s="92"/>
      <c r="AE35" s="92"/>
      <c r="AF35" s="92"/>
      <c r="AG35" s="92"/>
      <c r="AH35" s="92"/>
      <c r="AI35" s="92"/>
      <c r="AJ35" s="92"/>
      <c r="AK35" s="92"/>
      <c r="AL35" s="92"/>
      <c r="AM35" s="92"/>
      <c r="AN35" s="92"/>
    </row>
    <row r="36" spans="1:40" x14ac:dyDescent="0.2">
      <c r="C36" s="95"/>
      <c r="D36" s="95"/>
      <c r="E36" s="95"/>
      <c r="F36" s="95"/>
      <c r="G36" s="95"/>
      <c r="H36" s="95"/>
      <c r="I36" s="95"/>
      <c r="J36" s="95"/>
      <c r="K36" s="95"/>
      <c r="L36" s="95"/>
      <c r="M36" s="95"/>
      <c r="N36" s="95"/>
      <c r="O36" s="95"/>
      <c r="P36" s="95"/>
      <c r="Q36" s="95"/>
      <c r="R36" s="95"/>
      <c r="S36" s="95"/>
      <c r="T36" s="95"/>
      <c r="U36" s="95"/>
      <c r="V36" s="95"/>
      <c r="W36" s="95"/>
      <c r="X36" s="95"/>
      <c r="Y36" s="95"/>
      <c r="Z36" s="95"/>
    </row>
    <row r="37" spans="1:40" x14ac:dyDescent="0.2">
      <c r="A37" s="286"/>
      <c r="B37" s="287"/>
      <c r="C37" s="287"/>
      <c r="D37" s="287"/>
      <c r="E37" s="287"/>
      <c r="F37" s="287"/>
      <c r="G37" s="287"/>
      <c r="H37" s="287"/>
      <c r="I37" s="287"/>
      <c r="J37" s="287"/>
      <c r="K37" s="287"/>
      <c r="L37" s="288"/>
      <c r="M37" s="295"/>
      <c r="N37" s="296"/>
      <c r="O37" s="296"/>
      <c r="P37" s="296"/>
      <c r="Q37" s="296"/>
      <c r="R37" s="296"/>
      <c r="S37" s="296"/>
      <c r="T37" s="296"/>
      <c r="U37" s="296"/>
      <c r="V37" s="296"/>
      <c r="W37" s="296"/>
      <c r="X37" s="296"/>
      <c r="Y37" s="296"/>
      <c r="Z37" s="296"/>
      <c r="AA37" s="296"/>
      <c r="AB37" s="297"/>
    </row>
    <row r="38" spans="1:40" x14ac:dyDescent="0.2">
      <c r="A38" s="289"/>
      <c r="B38" s="290"/>
      <c r="C38" s="290"/>
      <c r="D38" s="290"/>
      <c r="E38" s="290"/>
      <c r="F38" s="290"/>
      <c r="G38" s="290"/>
      <c r="H38" s="290"/>
      <c r="I38" s="290"/>
      <c r="J38" s="290"/>
      <c r="K38" s="290"/>
      <c r="L38" s="291"/>
      <c r="M38" s="298"/>
      <c r="N38" s="299"/>
      <c r="O38" s="299"/>
      <c r="P38" s="299"/>
      <c r="Q38" s="299"/>
      <c r="R38" s="299"/>
      <c r="S38" s="299"/>
      <c r="T38" s="299"/>
      <c r="U38" s="299"/>
      <c r="V38" s="299"/>
      <c r="W38" s="299"/>
      <c r="X38" s="299"/>
      <c r="Y38" s="299"/>
      <c r="Z38" s="299"/>
      <c r="AA38" s="299"/>
      <c r="AB38" s="300"/>
    </row>
    <row r="39" spans="1:40" x14ac:dyDescent="0.2">
      <c r="A39" s="289"/>
      <c r="B39" s="290"/>
      <c r="C39" s="290"/>
      <c r="D39" s="290"/>
      <c r="E39" s="290"/>
      <c r="F39" s="290"/>
      <c r="G39" s="290"/>
      <c r="H39" s="290"/>
      <c r="I39" s="290"/>
      <c r="J39" s="290"/>
      <c r="K39" s="290"/>
      <c r="L39" s="291"/>
      <c r="M39" s="298"/>
      <c r="N39" s="299"/>
      <c r="O39" s="299"/>
      <c r="P39" s="299"/>
      <c r="Q39" s="299"/>
      <c r="R39" s="299"/>
      <c r="S39" s="299"/>
      <c r="T39" s="299"/>
      <c r="U39" s="299"/>
      <c r="V39" s="299"/>
      <c r="W39" s="299"/>
      <c r="X39" s="299"/>
      <c r="Y39" s="299"/>
      <c r="Z39" s="299"/>
      <c r="AA39" s="299"/>
      <c r="AB39" s="300"/>
    </row>
    <row r="40" spans="1:40" x14ac:dyDescent="0.2">
      <c r="A40" s="289"/>
      <c r="B40" s="290"/>
      <c r="C40" s="290"/>
      <c r="D40" s="290"/>
      <c r="E40" s="290"/>
      <c r="F40" s="290"/>
      <c r="G40" s="290"/>
      <c r="H40" s="290"/>
      <c r="I40" s="290"/>
      <c r="J40" s="290"/>
      <c r="K40" s="290"/>
      <c r="L40" s="291"/>
      <c r="M40" s="298"/>
      <c r="N40" s="299"/>
      <c r="O40" s="299"/>
      <c r="P40" s="299"/>
      <c r="Q40" s="299"/>
      <c r="R40" s="299"/>
      <c r="S40" s="299"/>
      <c r="T40" s="299"/>
      <c r="U40" s="299"/>
      <c r="V40" s="299"/>
      <c r="W40" s="299"/>
      <c r="X40" s="299"/>
      <c r="Y40" s="299"/>
      <c r="Z40" s="299"/>
      <c r="AA40" s="299"/>
      <c r="AB40" s="300"/>
    </row>
    <row r="41" spans="1:40" x14ac:dyDescent="0.2">
      <c r="A41" s="289"/>
      <c r="B41" s="290"/>
      <c r="C41" s="290"/>
      <c r="D41" s="290"/>
      <c r="E41" s="290"/>
      <c r="F41" s="290"/>
      <c r="G41" s="290"/>
      <c r="H41" s="290"/>
      <c r="I41" s="290"/>
      <c r="J41" s="290"/>
      <c r="K41" s="290"/>
      <c r="L41" s="291"/>
      <c r="M41" s="298"/>
      <c r="N41" s="299"/>
      <c r="O41" s="299"/>
      <c r="P41" s="299"/>
      <c r="Q41" s="299"/>
      <c r="R41" s="299"/>
      <c r="S41" s="299"/>
      <c r="T41" s="299"/>
      <c r="U41" s="299"/>
      <c r="V41" s="299"/>
      <c r="W41" s="299"/>
      <c r="X41" s="299"/>
      <c r="Y41" s="299"/>
      <c r="Z41" s="299"/>
      <c r="AA41" s="299"/>
      <c r="AB41" s="300"/>
    </row>
    <row r="42" spans="1:40" x14ac:dyDescent="0.2">
      <c r="A42" s="289"/>
      <c r="B42" s="290"/>
      <c r="C42" s="290"/>
      <c r="D42" s="290"/>
      <c r="E42" s="290"/>
      <c r="F42" s="290"/>
      <c r="G42" s="290"/>
      <c r="H42" s="290"/>
      <c r="I42" s="290"/>
      <c r="J42" s="290"/>
      <c r="K42" s="290"/>
      <c r="L42" s="291"/>
      <c r="M42" s="298"/>
      <c r="N42" s="299"/>
      <c r="O42" s="299"/>
      <c r="P42" s="299"/>
      <c r="Q42" s="299"/>
      <c r="R42" s="299"/>
      <c r="S42" s="299"/>
      <c r="T42" s="299"/>
      <c r="U42" s="299"/>
      <c r="V42" s="299"/>
      <c r="W42" s="299"/>
      <c r="X42" s="299"/>
      <c r="Y42" s="299"/>
      <c r="Z42" s="299"/>
      <c r="AA42" s="299"/>
      <c r="AB42" s="300"/>
    </row>
    <row r="43" spans="1:40" x14ac:dyDescent="0.2">
      <c r="A43" s="289"/>
      <c r="B43" s="290"/>
      <c r="C43" s="290"/>
      <c r="D43" s="290"/>
      <c r="E43" s="290"/>
      <c r="F43" s="290"/>
      <c r="G43" s="290"/>
      <c r="H43" s="290"/>
      <c r="I43" s="290"/>
      <c r="J43" s="290"/>
      <c r="K43" s="290"/>
      <c r="L43" s="291"/>
      <c r="M43" s="298"/>
      <c r="N43" s="299"/>
      <c r="O43" s="299"/>
      <c r="P43" s="299"/>
      <c r="Q43" s="299"/>
      <c r="R43" s="299"/>
      <c r="S43" s="299"/>
      <c r="T43" s="299"/>
      <c r="U43" s="299"/>
      <c r="V43" s="299"/>
      <c r="W43" s="299"/>
      <c r="X43" s="299"/>
      <c r="Y43" s="299"/>
      <c r="Z43" s="299"/>
      <c r="AA43" s="299"/>
      <c r="AB43" s="300"/>
    </row>
    <row r="44" spans="1:40" x14ac:dyDescent="0.2">
      <c r="A44" s="289"/>
      <c r="B44" s="290"/>
      <c r="C44" s="290"/>
      <c r="D44" s="290"/>
      <c r="E44" s="290"/>
      <c r="F44" s="290"/>
      <c r="G44" s="290"/>
      <c r="H44" s="290"/>
      <c r="I44" s="290"/>
      <c r="J44" s="290"/>
      <c r="K44" s="290"/>
      <c r="L44" s="291"/>
      <c r="M44" s="298"/>
      <c r="N44" s="299"/>
      <c r="O44" s="299"/>
      <c r="P44" s="299"/>
      <c r="Q44" s="299"/>
      <c r="R44" s="299"/>
      <c r="S44" s="299"/>
      <c r="T44" s="299"/>
      <c r="U44" s="299"/>
      <c r="V44" s="299"/>
      <c r="W44" s="299"/>
      <c r="X44" s="299"/>
      <c r="Y44" s="299"/>
      <c r="Z44" s="299"/>
      <c r="AA44" s="299"/>
      <c r="AB44" s="300"/>
    </row>
    <row r="45" spans="1:40" x14ac:dyDescent="0.2">
      <c r="A45" s="289"/>
      <c r="B45" s="290"/>
      <c r="C45" s="290"/>
      <c r="D45" s="290"/>
      <c r="E45" s="290"/>
      <c r="F45" s="290"/>
      <c r="G45" s="290"/>
      <c r="H45" s="290"/>
      <c r="I45" s="290"/>
      <c r="J45" s="290"/>
      <c r="K45" s="290"/>
      <c r="L45" s="291"/>
      <c r="M45" s="298"/>
      <c r="N45" s="299"/>
      <c r="O45" s="299"/>
      <c r="P45" s="299"/>
      <c r="Q45" s="299"/>
      <c r="R45" s="299"/>
      <c r="S45" s="299"/>
      <c r="T45" s="299"/>
      <c r="U45" s="299"/>
      <c r="V45" s="299"/>
      <c r="W45" s="299"/>
      <c r="X45" s="299"/>
      <c r="Y45" s="299"/>
      <c r="Z45" s="299"/>
      <c r="AA45" s="299"/>
      <c r="AB45" s="300"/>
    </row>
    <row r="46" spans="1:40" x14ac:dyDescent="0.2">
      <c r="A46" s="289"/>
      <c r="B46" s="290"/>
      <c r="C46" s="290"/>
      <c r="D46" s="290"/>
      <c r="E46" s="290"/>
      <c r="F46" s="290"/>
      <c r="G46" s="290"/>
      <c r="H46" s="290"/>
      <c r="I46" s="290"/>
      <c r="J46" s="290"/>
      <c r="K46" s="290"/>
      <c r="L46" s="291"/>
      <c r="M46" s="298"/>
      <c r="N46" s="299"/>
      <c r="O46" s="299"/>
      <c r="P46" s="299"/>
      <c r="Q46" s="299"/>
      <c r="R46" s="299"/>
      <c r="S46" s="299"/>
      <c r="T46" s="299"/>
      <c r="U46" s="299"/>
      <c r="V46" s="299"/>
      <c r="W46" s="299"/>
      <c r="X46" s="299"/>
      <c r="Y46" s="299"/>
      <c r="Z46" s="299"/>
      <c r="AA46" s="299"/>
      <c r="AB46" s="300"/>
    </row>
    <row r="47" spans="1:40" x14ac:dyDescent="0.2">
      <c r="A47" s="289"/>
      <c r="B47" s="290"/>
      <c r="C47" s="290"/>
      <c r="D47" s="290"/>
      <c r="E47" s="290"/>
      <c r="F47" s="290"/>
      <c r="G47" s="290"/>
      <c r="H47" s="290"/>
      <c r="I47" s="290"/>
      <c r="J47" s="290"/>
      <c r="K47" s="290"/>
      <c r="L47" s="291"/>
      <c r="M47" s="298"/>
      <c r="N47" s="299"/>
      <c r="O47" s="299"/>
      <c r="P47" s="299"/>
      <c r="Q47" s="299"/>
      <c r="R47" s="299"/>
      <c r="S47" s="299"/>
      <c r="T47" s="299"/>
      <c r="U47" s="299"/>
      <c r="V47" s="299"/>
      <c r="W47" s="299"/>
      <c r="X47" s="299"/>
      <c r="Y47" s="299"/>
      <c r="Z47" s="299"/>
      <c r="AA47" s="299"/>
      <c r="AB47" s="300"/>
    </row>
    <row r="48" spans="1:40" x14ac:dyDescent="0.2">
      <c r="A48" s="289"/>
      <c r="B48" s="290"/>
      <c r="C48" s="290"/>
      <c r="D48" s="290"/>
      <c r="E48" s="290"/>
      <c r="F48" s="290"/>
      <c r="G48" s="290"/>
      <c r="H48" s="290"/>
      <c r="I48" s="290"/>
      <c r="J48" s="290"/>
      <c r="K48" s="290"/>
      <c r="L48" s="291"/>
      <c r="M48" s="298"/>
      <c r="N48" s="299"/>
      <c r="O48" s="299"/>
      <c r="P48" s="299"/>
      <c r="Q48" s="299"/>
      <c r="R48" s="299"/>
      <c r="S48" s="299"/>
      <c r="T48" s="299"/>
      <c r="U48" s="299"/>
      <c r="V48" s="299"/>
      <c r="W48" s="299"/>
      <c r="X48" s="299"/>
      <c r="Y48" s="299"/>
      <c r="Z48" s="299"/>
      <c r="AA48" s="299"/>
      <c r="AB48" s="300"/>
    </row>
    <row r="49" spans="1:28" x14ac:dyDescent="0.2">
      <c r="A49" s="289"/>
      <c r="B49" s="290"/>
      <c r="C49" s="290"/>
      <c r="D49" s="290"/>
      <c r="E49" s="290"/>
      <c r="F49" s="290"/>
      <c r="G49" s="290"/>
      <c r="H49" s="290"/>
      <c r="I49" s="290"/>
      <c r="J49" s="290"/>
      <c r="K49" s="290"/>
      <c r="L49" s="291"/>
      <c r="M49" s="298"/>
      <c r="N49" s="299"/>
      <c r="O49" s="299"/>
      <c r="P49" s="299"/>
      <c r="Q49" s="299"/>
      <c r="R49" s="299"/>
      <c r="S49" s="299"/>
      <c r="T49" s="299"/>
      <c r="U49" s="299"/>
      <c r="V49" s="299"/>
      <c r="W49" s="299"/>
      <c r="X49" s="299"/>
      <c r="Y49" s="299"/>
      <c r="Z49" s="299"/>
      <c r="AA49" s="299"/>
      <c r="AB49" s="300"/>
    </row>
    <row r="50" spans="1:28" x14ac:dyDescent="0.2">
      <c r="A50" s="289"/>
      <c r="B50" s="290"/>
      <c r="C50" s="290"/>
      <c r="D50" s="290"/>
      <c r="E50" s="290"/>
      <c r="F50" s="290"/>
      <c r="G50" s="290"/>
      <c r="H50" s="290"/>
      <c r="I50" s="290"/>
      <c r="J50" s="290"/>
      <c r="K50" s="290"/>
      <c r="L50" s="291"/>
      <c r="M50" s="298"/>
      <c r="N50" s="299"/>
      <c r="O50" s="299"/>
      <c r="P50" s="299"/>
      <c r="Q50" s="299"/>
      <c r="R50" s="299"/>
      <c r="S50" s="299"/>
      <c r="T50" s="299"/>
      <c r="U50" s="299"/>
      <c r="V50" s="299"/>
      <c r="W50" s="299"/>
      <c r="X50" s="299"/>
      <c r="Y50" s="299"/>
      <c r="Z50" s="299"/>
      <c r="AA50" s="299"/>
      <c r="AB50" s="300"/>
    </row>
    <row r="51" spans="1:28" x14ac:dyDescent="0.2">
      <c r="A51" s="289"/>
      <c r="B51" s="290"/>
      <c r="C51" s="290"/>
      <c r="D51" s="290"/>
      <c r="E51" s="290"/>
      <c r="F51" s="290"/>
      <c r="G51" s="290"/>
      <c r="H51" s="290"/>
      <c r="I51" s="290"/>
      <c r="J51" s="290"/>
      <c r="K51" s="290"/>
      <c r="L51" s="291"/>
      <c r="M51" s="298"/>
      <c r="N51" s="299"/>
      <c r="O51" s="299"/>
      <c r="P51" s="299"/>
      <c r="Q51" s="299"/>
      <c r="R51" s="299"/>
      <c r="S51" s="299"/>
      <c r="T51" s="299"/>
      <c r="U51" s="299"/>
      <c r="V51" s="299"/>
      <c r="W51" s="299"/>
      <c r="X51" s="299"/>
      <c r="Y51" s="299"/>
      <c r="Z51" s="299"/>
      <c r="AA51" s="299"/>
      <c r="AB51" s="300"/>
    </row>
    <row r="52" spans="1:28" x14ac:dyDescent="0.2">
      <c r="A52" s="289"/>
      <c r="B52" s="290"/>
      <c r="C52" s="290"/>
      <c r="D52" s="290"/>
      <c r="E52" s="290"/>
      <c r="F52" s="290"/>
      <c r="G52" s="290"/>
      <c r="H52" s="290"/>
      <c r="I52" s="290"/>
      <c r="J52" s="290"/>
      <c r="K52" s="290"/>
      <c r="L52" s="291"/>
      <c r="M52" s="298"/>
      <c r="N52" s="299"/>
      <c r="O52" s="299"/>
      <c r="P52" s="299"/>
      <c r="Q52" s="299"/>
      <c r="R52" s="299"/>
      <c r="S52" s="299"/>
      <c r="T52" s="299"/>
      <c r="U52" s="299"/>
      <c r="V52" s="299"/>
      <c r="W52" s="299"/>
      <c r="X52" s="299"/>
      <c r="Y52" s="299"/>
      <c r="Z52" s="299"/>
      <c r="AA52" s="299"/>
      <c r="AB52" s="300"/>
    </row>
    <row r="53" spans="1:28" x14ac:dyDescent="0.2">
      <c r="A53" s="289"/>
      <c r="B53" s="290"/>
      <c r="C53" s="290"/>
      <c r="D53" s="290"/>
      <c r="E53" s="290"/>
      <c r="F53" s="290"/>
      <c r="G53" s="290"/>
      <c r="H53" s="290"/>
      <c r="I53" s="290"/>
      <c r="J53" s="290"/>
      <c r="K53" s="290"/>
      <c r="L53" s="291"/>
      <c r="M53" s="298"/>
      <c r="N53" s="299"/>
      <c r="O53" s="299"/>
      <c r="P53" s="299"/>
      <c r="Q53" s="299"/>
      <c r="R53" s="299"/>
      <c r="S53" s="299"/>
      <c r="T53" s="299"/>
      <c r="U53" s="299"/>
      <c r="V53" s="299"/>
      <c r="W53" s="299"/>
      <c r="X53" s="299"/>
      <c r="Y53" s="299"/>
      <c r="Z53" s="299"/>
      <c r="AA53" s="299"/>
      <c r="AB53" s="300"/>
    </row>
    <row r="54" spans="1:28" x14ac:dyDescent="0.2">
      <c r="A54" s="289"/>
      <c r="B54" s="290"/>
      <c r="C54" s="290"/>
      <c r="D54" s="290"/>
      <c r="E54" s="290"/>
      <c r="F54" s="290"/>
      <c r="G54" s="290"/>
      <c r="H54" s="290"/>
      <c r="I54" s="290"/>
      <c r="J54" s="290"/>
      <c r="K54" s="290"/>
      <c r="L54" s="291"/>
      <c r="M54" s="298"/>
      <c r="N54" s="299"/>
      <c r="O54" s="299"/>
      <c r="P54" s="299"/>
      <c r="Q54" s="299"/>
      <c r="R54" s="299"/>
      <c r="S54" s="299"/>
      <c r="T54" s="299"/>
      <c r="U54" s="299"/>
      <c r="V54" s="299"/>
      <c r="W54" s="299"/>
      <c r="X54" s="299"/>
      <c r="Y54" s="299"/>
      <c r="Z54" s="299"/>
      <c r="AA54" s="299"/>
      <c r="AB54" s="300"/>
    </row>
    <row r="55" spans="1:28" x14ac:dyDescent="0.2">
      <c r="A55" s="289"/>
      <c r="B55" s="290"/>
      <c r="C55" s="290"/>
      <c r="D55" s="290"/>
      <c r="E55" s="290"/>
      <c r="F55" s="290"/>
      <c r="G55" s="290"/>
      <c r="H55" s="290"/>
      <c r="I55" s="290"/>
      <c r="J55" s="290"/>
      <c r="K55" s="290"/>
      <c r="L55" s="291"/>
      <c r="M55" s="298"/>
      <c r="N55" s="299"/>
      <c r="O55" s="299"/>
      <c r="P55" s="299"/>
      <c r="Q55" s="299"/>
      <c r="R55" s="299"/>
      <c r="S55" s="299"/>
      <c r="T55" s="299"/>
      <c r="U55" s="299"/>
      <c r="V55" s="299"/>
      <c r="W55" s="299"/>
      <c r="X55" s="299"/>
      <c r="Y55" s="299"/>
      <c r="Z55" s="299"/>
      <c r="AA55" s="299"/>
      <c r="AB55" s="300"/>
    </row>
    <row r="56" spans="1:28" x14ac:dyDescent="0.2">
      <c r="A56" s="289"/>
      <c r="B56" s="290"/>
      <c r="C56" s="290"/>
      <c r="D56" s="290"/>
      <c r="E56" s="290"/>
      <c r="F56" s="290"/>
      <c r="G56" s="290"/>
      <c r="H56" s="290"/>
      <c r="I56" s="290"/>
      <c r="J56" s="290"/>
      <c r="K56" s="290"/>
      <c r="L56" s="291"/>
      <c r="M56" s="298"/>
      <c r="N56" s="299"/>
      <c r="O56" s="299"/>
      <c r="P56" s="299"/>
      <c r="Q56" s="299"/>
      <c r="R56" s="299"/>
      <c r="S56" s="299"/>
      <c r="T56" s="299"/>
      <c r="U56" s="299"/>
      <c r="V56" s="299"/>
      <c r="W56" s="299"/>
      <c r="X56" s="299"/>
      <c r="Y56" s="299"/>
      <c r="Z56" s="299"/>
      <c r="AA56" s="299"/>
      <c r="AB56" s="300"/>
    </row>
    <row r="57" spans="1:28" x14ac:dyDescent="0.2">
      <c r="A57" s="289"/>
      <c r="B57" s="290"/>
      <c r="C57" s="290"/>
      <c r="D57" s="290"/>
      <c r="E57" s="290"/>
      <c r="F57" s="290"/>
      <c r="G57" s="290"/>
      <c r="H57" s="290"/>
      <c r="I57" s="290"/>
      <c r="J57" s="290"/>
      <c r="K57" s="290"/>
      <c r="L57" s="291"/>
      <c r="M57" s="298"/>
      <c r="N57" s="299"/>
      <c r="O57" s="299"/>
      <c r="P57" s="299"/>
      <c r="Q57" s="299"/>
      <c r="R57" s="299"/>
      <c r="S57" s="299"/>
      <c r="T57" s="299"/>
      <c r="U57" s="299"/>
      <c r="V57" s="299"/>
      <c r="W57" s="299"/>
      <c r="X57" s="299"/>
      <c r="Y57" s="299"/>
      <c r="Z57" s="299"/>
      <c r="AA57" s="299"/>
      <c r="AB57" s="300"/>
    </row>
    <row r="58" spans="1:28" x14ac:dyDescent="0.2">
      <c r="A58" s="289"/>
      <c r="B58" s="290"/>
      <c r="C58" s="290"/>
      <c r="D58" s="290"/>
      <c r="E58" s="290"/>
      <c r="F58" s="290"/>
      <c r="G58" s="290"/>
      <c r="H58" s="290"/>
      <c r="I58" s="290"/>
      <c r="J58" s="290"/>
      <c r="K58" s="290"/>
      <c r="L58" s="291"/>
      <c r="M58" s="298"/>
      <c r="N58" s="299"/>
      <c r="O58" s="299"/>
      <c r="P58" s="299"/>
      <c r="Q58" s="299"/>
      <c r="R58" s="299"/>
      <c r="S58" s="299"/>
      <c r="T58" s="299"/>
      <c r="U58" s="299"/>
      <c r="V58" s="299"/>
      <c r="W58" s="299"/>
      <c r="X58" s="299"/>
      <c r="Y58" s="299"/>
      <c r="Z58" s="299"/>
      <c r="AA58" s="299"/>
      <c r="AB58" s="300"/>
    </row>
    <row r="59" spans="1:28" x14ac:dyDescent="0.2">
      <c r="A59" s="289"/>
      <c r="B59" s="290"/>
      <c r="C59" s="290"/>
      <c r="D59" s="290"/>
      <c r="E59" s="290"/>
      <c r="F59" s="290"/>
      <c r="G59" s="290"/>
      <c r="H59" s="290"/>
      <c r="I59" s="290"/>
      <c r="J59" s="290"/>
      <c r="K59" s="290"/>
      <c r="L59" s="291"/>
      <c r="M59" s="298"/>
      <c r="N59" s="299"/>
      <c r="O59" s="299"/>
      <c r="P59" s="299"/>
      <c r="Q59" s="299"/>
      <c r="R59" s="299"/>
      <c r="S59" s="299"/>
      <c r="T59" s="299"/>
      <c r="U59" s="299"/>
      <c r="V59" s="299"/>
      <c r="W59" s="299"/>
      <c r="X59" s="299"/>
      <c r="Y59" s="299"/>
      <c r="Z59" s="299"/>
      <c r="AA59" s="299"/>
      <c r="AB59" s="300"/>
    </row>
    <row r="60" spans="1:28" x14ac:dyDescent="0.2">
      <c r="A60" s="289"/>
      <c r="B60" s="290"/>
      <c r="C60" s="290"/>
      <c r="D60" s="290"/>
      <c r="E60" s="290"/>
      <c r="F60" s="290"/>
      <c r="G60" s="290"/>
      <c r="H60" s="290"/>
      <c r="I60" s="290"/>
      <c r="J60" s="290"/>
      <c r="K60" s="290"/>
      <c r="L60" s="291"/>
      <c r="M60" s="298"/>
      <c r="N60" s="299"/>
      <c r="O60" s="299"/>
      <c r="P60" s="299"/>
      <c r="Q60" s="299"/>
      <c r="R60" s="299"/>
      <c r="S60" s="299"/>
      <c r="T60" s="299"/>
      <c r="U60" s="299"/>
      <c r="V60" s="299"/>
      <c r="W60" s="299"/>
      <c r="X60" s="299"/>
      <c r="Y60" s="299"/>
      <c r="Z60" s="299"/>
      <c r="AA60" s="299"/>
      <c r="AB60" s="300"/>
    </row>
    <row r="61" spans="1:28" x14ac:dyDescent="0.2">
      <c r="A61" s="292"/>
      <c r="B61" s="293"/>
      <c r="C61" s="293"/>
      <c r="D61" s="293"/>
      <c r="E61" s="293"/>
      <c r="F61" s="293"/>
      <c r="G61" s="293"/>
      <c r="H61" s="293"/>
      <c r="I61" s="293"/>
      <c r="J61" s="293"/>
      <c r="K61" s="293"/>
      <c r="L61" s="294"/>
      <c r="M61" s="301"/>
      <c r="N61" s="302"/>
      <c r="O61" s="302"/>
      <c r="P61" s="302"/>
      <c r="Q61" s="302"/>
      <c r="R61" s="302"/>
      <c r="S61" s="302"/>
      <c r="T61" s="302"/>
      <c r="U61" s="302"/>
      <c r="V61" s="302"/>
      <c r="W61" s="302"/>
      <c r="X61" s="302"/>
      <c r="Y61" s="302"/>
      <c r="Z61" s="302"/>
      <c r="AA61" s="302"/>
      <c r="AB61" s="303"/>
    </row>
    <row r="62" spans="1:28" x14ac:dyDescent="0.2">
      <c r="A62" s="286"/>
      <c r="B62" s="287"/>
      <c r="C62" s="287"/>
      <c r="D62" s="287"/>
      <c r="E62" s="287"/>
      <c r="F62" s="287"/>
      <c r="G62" s="287"/>
      <c r="H62" s="287"/>
      <c r="I62" s="287"/>
      <c r="J62" s="287"/>
      <c r="K62" s="287"/>
      <c r="L62" s="288"/>
      <c r="M62" s="286"/>
      <c r="N62" s="287"/>
      <c r="O62" s="287"/>
      <c r="P62" s="287"/>
      <c r="Q62" s="287"/>
      <c r="R62" s="287"/>
      <c r="S62" s="287"/>
      <c r="T62" s="287"/>
      <c r="U62" s="287"/>
      <c r="V62" s="287"/>
      <c r="W62" s="287"/>
      <c r="X62" s="287"/>
      <c r="Y62" s="287"/>
      <c r="Z62" s="287"/>
      <c r="AA62" s="287"/>
      <c r="AB62" s="288"/>
    </row>
    <row r="63" spans="1:28" x14ac:dyDescent="0.2">
      <c r="A63" s="289"/>
      <c r="B63" s="290"/>
      <c r="C63" s="290"/>
      <c r="D63" s="290"/>
      <c r="E63" s="290"/>
      <c r="F63" s="290"/>
      <c r="G63" s="290"/>
      <c r="H63" s="290"/>
      <c r="I63" s="290"/>
      <c r="J63" s="290"/>
      <c r="K63" s="290"/>
      <c r="L63" s="291"/>
      <c r="M63" s="289"/>
      <c r="N63" s="290"/>
      <c r="O63" s="290"/>
      <c r="P63" s="290"/>
      <c r="Q63" s="290"/>
      <c r="R63" s="290"/>
      <c r="S63" s="290"/>
      <c r="T63" s="290"/>
      <c r="U63" s="290"/>
      <c r="V63" s="290"/>
      <c r="W63" s="290"/>
      <c r="X63" s="290"/>
      <c r="Y63" s="290"/>
      <c r="Z63" s="290"/>
      <c r="AA63" s="290"/>
      <c r="AB63" s="291"/>
    </row>
    <row r="64" spans="1:28" x14ac:dyDescent="0.2">
      <c r="A64" s="289"/>
      <c r="B64" s="290"/>
      <c r="C64" s="290"/>
      <c r="D64" s="290"/>
      <c r="E64" s="290"/>
      <c r="F64" s="290"/>
      <c r="G64" s="290"/>
      <c r="H64" s="290"/>
      <c r="I64" s="290"/>
      <c r="J64" s="290"/>
      <c r="K64" s="290"/>
      <c r="L64" s="291"/>
      <c r="M64" s="289"/>
      <c r="N64" s="290"/>
      <c r="O64" s="290"/>
      <c r="P64" s="290"/>
      <c r="Q64" s="290"/>
      <c r="R64" s="290"/>
      <c r="S64" s="290"/>
      <c r="T64" s="290"/>
      <c r="U64" s="290"/>
      <c r="V64" s="290"/>
      <c r="W64" s="290"/>
      <c r="X64" s="290"/>
      <c r="Y64" s="290"/>
      <c r="Z64" s="290"/>
      <c r="AA64" s="290"/>
      <c r="AB64" s="291"/>
    </row>
    <row r="65" spans="1:28" x14ac:dyDescent="0.2">
      <c r="A65" s="289"/>
      <c r="B65" s="290"/>
      <c r="C65" s="290"/>
      <c r="D65" s="290"/>
      <c r="E65" s="290"/>
      <c r="F65" s="290"/>
      <c r="G65" s="290"/>
      <c r="H65" s="290"/>
      <c r="I65" s="290"/>
      <c r="J65" s="290"/>
      <c r="K65" s="290"/>
      <c r="L65" s="291"/>
      <c r="M65" s="289"/>
      <c r="N65" s="290"/>
      <c r="O65" s="290"/>
      <c r="P65" s="290"/>
      <c r="Q65" s="290"/>
      <c r="R65" s="290"/>
      <c r="S65" s="290"/>
      <c r="T65" s="290"/>
      <c r="U65" s="290"/>
      <c r="V65" s="290"/>
      <c r="W65" s="290"/>
      <c r="X65" s="290"/>
      <c r="Y65" s="290"/>
      <c r="Z65" s="290"/>
      <c r="AA65" s="290"/>
      <c r="AB65" s="291"/>
    </row>
    <row r="66" spans="1:28" x14ac:dyDescent="0.2">
      <c r="A66" s="289"/>
      <c r="B66" s="290"/>
      <c r="C66" s="290"/>
      <c r="D66" s="290"/>
      <c r="E66" s="290"/>
      <c r="F66" s="290"/>
      <c r="G66" s="290"/>
      <c r="H66" s="290"/>
      <c r="I66" s="290"/>
      <c r="J66" s="290"/>
      <c r="K66" s="290"/>
      <c r="L66" s="291"/>
      <c r="M66" s="289"/>
      <c r="N66" s="290"/>
      <c r="O66" s="290"/>
      <c r="P66" s="290"/>
      <c r="Q66" s="290"/>
      <c r="R66" s="290"/>
      <c r="S66" s="290"/>
      <c r="T66" s="290"/>
      <c r="U66" s="290"/>
      <c r="V66" s="290"/>
      <c r="W66" s="290"/>
      <c r="X66" s="290"/>
      <c r="Y66" s="290"/>
      <c r="Z66" s="290"/>
      <c r="AA66" s="290"/>
      <c r="AB66" s="291"/>
    </row>
    <row r="67" spans="1:28" x14ac:dyDescent="0.2">
      <c r="A67" s="289"/>
      <c r="B67" s="290"/>
      <c r="C67" s="290"/>
      <c r="D67" s="290"/>
      <c r="E67" s="290"/>
      <c r="F67" s="290"/>
      <c r="G67" s="290"/>
      <c r="H67" s="290"/>
      <c r="I67" s="290"/>
      <c r="J67" s="290"/>
      <c r="K67" s="290"/>
      <c r="L67" s="291"/>
      <c r="M67" s="289"/>
      <c r="N67" s="290"/>
      <c r="O67" s="290"/>
      <c r="P67" s="290"/>
      <c r="Q67" s="290"/>
      <c r="R67" s="290"/>
      <c r="S67" s="290"/>
      <c r="T67" s="290"/>
      <c r="U67" s="290"/>
      <c r="V67" s="290"/>
      <c r="W67" s="290"/>
      <c r="X67" s="290"/>
      <c r="Y67" s="290"/>
      <c r="Z67" s="290"/>
      <c r="AA67" s="290"/>
      <c r="AB67" s="291"/>
    </row>
    <row r="68" spans="1:28" x14ac:dyDescent="0.2">
      <c r="A68" s="289"/>
      <c r="B68" s="290"/>
      <c r="C68" s="290"/>
      <c r="D68" s="290"/>
      <c r="E68" s="290"/>
      <c r="F68" s="290"/>
      <c r="G68" s="290"/>
      <c r="H68" s="290"/>
      <c r="I68" s="290"/>
      <c r="J68" s="290"/>
      <c r="K68" s="290"/>
      <c r="L68" s="291"/>
      <c r="M68" s="289"/>
      <c r="N68" s="290"/>
      <c r="O68" s="290"/>
      <c r="P68" s="290"/>
      <c r="Q68" s="290"/>
      <c r="R68" s="290"/>
      <c r="S68" s="290"/>
      <c r="T68" s="290"/>
      <c r="U68" s="290"/>
      <c r="V68" s="290"/>
      <c r="W68" s="290"/>
      <c r="X68" s="290"/>
      <c r="Y68" s="290"/>
      <c r="Z68" s="290"/>
      <c r="AA68" s="290"/>
      <c r="AB68" s="291"/>
    </row>
    <row r="69" spans="1:28" x14ac:dyDescent="0.2">
      <c r="A69" s="289"/>
      <c r="B69" s="290"/>
      <c r="C69" s="290"/>
      <c r="D69" s="290"/>
      <c r="E69" s="290"/>
      <c r="F69" s="290"/>
      <c r="G69" s="290"/>
      <c r="H69" s="290"/>
      <c r="I69" s="290"/>
      <c r="J69" s="290"/>
      <c r="K69" s="290"/>
      <c r="L69" s="291"/>
      <c r="M69" s="289"/>
      <c r="N69" s="290"/>
      <c r="O69" s="290"/>
      <c r="P69" s="290"/>
      <c r="Q69" s="290"/>
      <c r="R69" s="290"/>
      <c r="S69" s="290"/>
      <c r="T69" s="290"/>
      <c r="U69" s="290"/>
      <c r="V69" s="290"/>
      <c r="W69" s="290"/>
      <c r="X69" s="290"/>
      <c r="Y69" s="290"/>
      <c r="Z69" s="290"/>
      <c r="AA69" s="290"/>
      <c r="AB69" s="291"/>
    </row>
    <row r="70" spans="1:28" x14ac:dyDescent="0.2">
      <c r="A70" s="289"/>
      <c r="B70" s="290"/>
      <c r="C70" s="290"/>
      <c r="D70" s="290"/>
      <c r="E70" s="290"/>
      <c r="F70" s="290"/>
      <c r="G70" s="290"/>
      <c r="H70" s="290"/>
      <c r="I70" s="290"/>
      <c r="J70" s="290"/>
      <c r="K70" s="290"/>
      <c r="L70" s="291"/>
      <c r="M70" s="289"/>
      <c r="N70" s="290"/>
      <c r="O70" s="290"/>
      <c r="P70" s="290"/>
      <c r="Q70" s="290"/>
      <c r="R70" s="290"/>
      <c r="S70" s="290"/>
      <c r="T70" s="290"/>
      <c r="U70" s="290"/>
      <c r="V70" s="290"/>
      <c r="W70" s="290"/>
      <c r="X70" s="290"/>
      <c r="Y70" s="290"/>
      <c r="Z70" s="290"/>
      <c r="AA70" s="290"/>
      <c r="AB70" s="291"/>
    </row>
    <row r="71" spans="1:28" x14ac:dyDescent="0.2">
      <c r="A71" s="289"/>
      <c r="B71" s="290"/>
      <c r="C71" s="290"/>
      <c r="D71" s="290"/>
      <c r="E71" s="290"/>
      <c r="F71" s="290"/>
      <c r="G71" s="290"/>
      <c r="H71" s="290"/>
      <c r="I71" s="290"/>
      <c r="J71" s="290"/>
      <c r="K71" s="290"/>
      <c r="L71" s="291"/>
      <c r="M71" s="289"/>
      <c r="N71" s="290"/>
      <c r="O71" s="290"/>
      <c r="P71" s="290"/>
      <c r="Q71" s="290"/>
      <c r="R71" s="290"/>
      <c r="S71" s="290"/>
      <c r="T71" s="290"/>
      <c r="U71" s="290"/>
      <c r="V71" s="290"/>
      <c r="W71" s="290"/>
      <c r="X71" s="290"/>
      <c r="Y71" s="290"/>
      <c r="Z71" s="290"/>
      <c r="AA71" s="290"/>
      <c r="AB71" s="291"/>
    </row>
    <row r="72" spans="1:28" x14ac:dyDescent="0.2">
      <c r="A72" s="289"/>
      <c r="B72" s="290"/>
      <c r="C72" s="290"/>
      <c r="D72" s="290"/>
      <c r="E72" s="290"/>
      <c r="F72" s="290"/>
      <c r="G72" s="290"/>
      <c r="H72" s="290"/>
      <c r="I72" s="290"/>
      <c r="J72" s="290"/>
      <c r="K72" s="290"/>
      <c r="L72" s="291"/>
      <c r="M72" s="289"/>
      <c r="N72" s="290"/>
      <c r="O72" s="290"/>
      <c r="P72" s="290"/>
      <c r="Q72" s="290"/>
      <c r="R72" s="290"/>
      <c r="S72" s="290"/>
      <c r="T72" s="290"/>
      <c r="U72" s="290"/>
      <c r="V72" s="290"/>
      <c r="W72" s="290"/>
      <c r="X72" s="290"/>
      <c r="Y72" s="290"/>
      <c r="Z72" s="290"/>
      <c r="AA72" s="290"/>
      <c r="AB72" s="291"/>
    </row>
    <row r="73" spans="1:28" x14ac:dyDescent="0.2">
      <c r="A73" s="289"/>
      <c r="B73" s="290"/>
      <c r="C73" s="290"/>
      <c r="D73" s="290"/>
      <c r="E73" s="290"/>
      <c r="F73" s="290"/>
      <c r="G73" s="290"/>
      <c r="H73" s="290"/>
      <c r="I73" s="290"/>
      <c r="J73" s="290"/>
      <c r="K73" s="290"/>
      <c r="L73" s="291"/>
      <c r="M73" s="289"/>
      <c r="N73" s="290"/>
      <c r="O73" s="290"/>
      <c r="P73" s="290"/>
      <c r="Q73" s="290"/>
      <c r="R73" s="290"/>
      <c r="S73" s="290"/>
      <c r="T73" s="290"/>
      <c r="U73" s="290"/>
      <c r="V73" s="290"/>
      <c r="W73" s="290"/>
      <c r="X73" s="290"/>
      <c r="Y73" s="290"/>
      <c r="Z73" s="290"/>
      <c r="AA73" s="290"/>
      <c r="AB73" s="291"/>
    </row>
    <row r="74" spans="1:28" x14ac:dyDescent="0.2">
      <c r="A74" s="289"/>
      <c r="B74" s="290"/>
      <c r="C74" s="290"/>
      <c r="D74" s="290"/>
      <c r="E74" s="290"/>
      <c r="F74" s="290"/>
      <c r="G74" s="290"/>
      <c r="H74" s="290"/>
      <c r="I74" s="290"/>
      <c r="J74" s="290"/>
      <c r="K74" s="290"/>
      <c r="L74" s="291"/>
      <c r="M74" s="289"/>
      <c r="N74" s="290"/>
      <c r="O74" s="290"/>
      <c r="P74" s="290"/>
      <c r="Q74" s="290"/>
      <c r="R74" s="290"/>
      <c r="S74" s="290"/>
      <c r="T74" s="290"/>
      <c r="U74" s="290"/>
      <c r="V74" s="290"/>
      <c r="W74" s="290"/>
      <c r="X74" s="290"/>
      <c r="Y74" s="290"/>
      <c r="Z74" s="290"/>
      <c r="AA74" s="290"/>
      <c r="AB74" s="291"/>
    </row>
    <row r="75" spans="1:28" x14ac:dyDescent="0.2">
      <c r="A75" s="289"/>
      <c r="B75" s="290"/>
      <c r="C75" s="290"/>
      <c r="D75" s="290"/>
      <c r="E75" s="290"/>
      <c r="F75" s="290"/>
      <c r="G75" s="290"/>
      <c r="H75" s="290"/>
      <c r="I75" s="290"/>
      <c r="J75" s="290"/>
      <c r="K75" s="290"/>
      <c r="L75" s="291"/>
      <c r="M75" s="289"/>
      <c r="N75" s="290"/>
      <c r="O75" s="290"/>
      <c r="P75" s="290"/>
      <c r="Q75" s="290"/>
      <c r="R75" s="290"/>
      <c r="S75" s="290"/>
      <c r="T75" s="290"/>
      <c r="U75" s="290"/>
      <c r="V75" s="290"/>
      <c r="W75" s="290"/>
      <c r="X75" s="290"/>
      <c r="Y75" s="290"/>
      <c r="Z75" s="290"/>
      <c r="AA75" s="290"/>
      <c r="AB75" s="291"/>
    </row>
    <row r="76" spans="1:28" x14ac:dyDescent="0.2">
      <c r="A76" s="292"/>
      <c r="B76" s="293"/>
      <c r="C76" s="293"/>
      <c r="D76" s="293"/>
      <c r="E76" s="293"/>
      <c r="F76" s="293"/>
      <c r="G76" s="293"/>
      <c r="H76" s="293"/>
      <c r="I76" s="293"/>
      <c r="J76" s="293"/>
      <c r="K76" s="293"/>
      <c r="L76" s="294"/>
      <c r="M76" s="292"/>
      <c r="N76" s="293"/>
      <c r="O76" s="293"/>
      <c r="P76" s="293"/>
      <c r="Q76" s="293"/>
      <c r="R76" s="293"/>
      <c r="S76" s="293"/>
      <c r="T76" s="293"/>
      <c r="U76" s="293"/>
      <c r="V76" s="293"/>
      <c r="W76" s="293"/>
      <c r="X76" s="293"/>
      <c r="Y76" s="293"/>
      <c r="Z76" s="293"/>
      <c r="AA76" s="293"/>
      <c r="AB76" s="294"/>
    </row>
    <row r="77" spans="1:28" x14ac:dyDescent="0.2">
      <c r="A77" s="286"/>
      <c r="B77" s="287"/>
      <c r="C77" s="287"/>
      <c r="D77" s="287"/>
      <c r="E77" s="287"/>
      <c r="F77" s="287"/>
      <c r="G77" s="287"/>
      <c r="H77" s="287"/>
      <c r="I77" s="287"/>
      <c r="J77" s="287"/>
      <c r="K77" s="287"/>
      <c r="L77" s="288"/>
      <c r="M77" s="286"/>
      <c r="N77" s="287"/>
      <c r="O77" s="287"/>
      <c r="P77" s="287"/>
      <c r="Q77" s="287"/>
      <c r="R77" s="287"/>
      <c r="S77" s="287"/>
      <c r="T77" s="287"/>
      <c r="U77" s="287"/>
      <c r="V77" s="287"/>
      <c r="W77" s="287"/>
      <c r="X77" s="287"/>
      <c r="Y77" s="287"/>
      <c r="Z77" s="287"/>
      <c r="AA77" s="287"/>
      <c r="AB77" s="288"/>
    </row>
    <row r="78" spans="1:28" x14ac:dyDescent="0.2">
      <c r="A78" s="289"/>
      <c r="B78" s="290"/>
      <c r="C78" s="290"/>
      <c r="D78" s="290"/>
      <c r="E78" s="290"/>
      <c r="F78" s="290"/>
      <c r="G78" s="290"/>
      <c r="H78" s="290"/>
      <c r="I78" s="290"/>
      <c r="J78" s="290"/>
      <c r="K78" s="290"/>
      <c r="L78" s="291"/>
      <c r="M78" s="289"/>
      <c r="N78" s="290"/>
      <c r="O78" s="290"/>
      <c r="P78" s="290"/>
      <c r="Q78" s="290"/>
      <c r="R78" s="290"/>
      <c r="S78" s="290"/>
      <c r="T78" s="290"/>
      <c r="U78" s="290"/>
      <c r="V78" s="290"/>
      <c r="W78" s="290"/>
      <c r="X78" s="290"/>
      <c r="Y78" s="290"/>
      <c r="Z78" s="290"/>
      <c r="AA78" s="290"/>
      <c r="AB78" s="291"/>
    </row>
    <row r="79" spans="1:28" x14ac:dyDescent="0.2">
      <c r="A79" s="289"/>
      <c r="B79" s="290"/>
      <c r="C79" s="290"/>
      <c r="D79" s="290"/>
      <c r="E79" s="290"/>
      <c r="F79" s="290"/>
      <c r="G79" s="290"/>
      <c r="H79" s="290"/>
      <c r="I79" s="290"/>
      <c r="J79" s="290"/>
      <c r="K79" s="290"/>
      <c r="L79" s="291"/>
      <c r="M79" s="289"/>
      <c r="N79" s="290"/>
      <c r="O79" s="290"/>
      <c r="P79" s="290"/>
      <c r="Q79" s="290"/>
      <c r="R79" s="290"/>
      <c r="S79" s="290"/>
      <c r="T79" s="290"/>
      <c r="U79" s="290"/>
      <c r="V79" s="290"/>
      <c r="W79" s="290"/>
      <c r="X79" s="290"/>
      <c r="Y79" s="290"/>
      <c r="Z79" s="290"/>
      <c r="AA79" s="290"/>
      <c r="AB79" s="291"/>
    </row>
    <row r="80" spans="1:28" x14ac:dyDescent="0.2">
      <c r="A80" s="289"/>
      <c r="B80" s="290"/>
      <c r="C80" s="290"/>
      <c r="D80" s="290"/>
      <c r="E80" s="290"/>
      <c r="F80" s="290"/>
      <c r="G80" s="290"/>
      <c r="H80" s="290"/>
      <c r="I80" s="290"/>
      <c r="J80" s="290"/>
      <c r="K80" s="290"/>
      <c r="L80" s="291"/>
      <c r="M80" s="289"/>
      <c r="N80" s="290"/>
      <c r="O80" s="290"/>
      <c r="P80" s="290"/>
      <c r="Q80" s="290"/>
      <c r="R80" s="290"/>
      <c r="S80" s="290"/>
      <c r="T80" s="290"/>
      <c r="U80" s="290"/>
      <c r="V80" s="290"/>
      <c r="W80" s="290"/>
      <c r="X80" s="290"/>
      <c r="Y80" s="290"/>
      <c r="Z80" s="290"/>
      <c r="AA80" s="290"/>
      <c r="AB80" s="291"/>
    </row>
    <row r="81" spans="1:28" x14ac:dyDescent="0.2">
      <c r="A81" s="289"/>
      <c r="B81" s="290"/>
      <c r="C81" s="290"/>
      <c r="D81" s="290"/>
      <c r="E81" s="290"/>
      <c r="F81" s="290"/>
      <c r="G81" s="290"/>
      <c r="H81" s="290"/>
      <c r="I81" s="290"/>
      <c r="J81" s="290"/>
      <c r="K81" s="290"/>
      <c r="L81" s="291"/>
      <c r="M81" s="289"/>
      <c r="N81" s="290"/>
      <c r="O81" s="290"/>
      <c r="P81" s="290"/>
      <c r="Q81" s="290"/>
      <c r="R81" s="290"/>
      <c r="S81" s="290"/>
      <c r="T81" s="290"/>
      <c r="U81" s="290"/>
      <c r="V81" s="290"/>
      <c r="W81" s="290"/>
      <c r="X81" s="290"/>
      <c r="Y81" s="290"/>
      <c r="Z81" s="290"/>
      <c r="AA81" s="290"/>
      <c r="AB81" s="291"/>
    </row>
    <row r="82" spans="1:28" x14ac:dyDescent="0.2">
      <c r="A82" s="289"/>
      <c r="B82" s="290"/>
      <c r="C82" s="290"/>
      <c r="D82" s="290"/>
      <c r="E82" s="290"/>
      <c r="F82" s="290"/>
      <c r="G82" s="290"/>
      <c r="H82" s="290"/>
      <c r="I82" s="290"/>
      <c r="J82" s="290"/>
      <c r="K82" s="290"/>
      <c r="L82" s="291"/>
      <c r="M82" s="289"/>
      <c r="N82" s="290"/>
      <c r="O82" s="290"/>
      <c r="P82" s="290"/>
      <c r="Q82" s="290"/>
      <c r="R82" s="290"/>
      <c r="S82" s="290"/>
      <c r="T82" s="290"/>
      <c r="U82" s="290"/>
      <c r="V82" s="290"/>
      <c r="W82" s="290"/>
      <c r="X82" s="290"/>
      <c r="Y82" s="290"/>
      <c r="Z82" s="290"/>
      <c r="AA82" s="290"/>
      <c r="AB82" s="291"/>
    </row>
    <row r="83" spans="1:28" x14ac:dyDescent="0.2">
      <c r="A83" s="289"/>
      <c r="B83" s="290"/>
      <c r="C83" s="290"/>
      <c r="D83" s="290"/>
      <c r="E83" s="290"/>
      <c r="F83" s="290"/>
      <c r="G83" s="290"/>
      <c r="H83" s="290"/>
      <c r="I83" s="290"/>
      <c r="J83" s="290"/>
      <c r="K83" s="290"/>
      <c r="L83" s="291"/>
      <c r="M83" s="289"/>
      <c r="N83" s="290"/>
      <c r="O83" s="290"/>
      <c r="P83" s="290"/>
      <c r="Q83" s="290"/>
      <c r="R83" s="290"/>
      <c r="S83" s="290"/>
      <c r="T83" s="290"/>
      <c r="U83" s="290"/>
      <c r="V83" s="290"/>
      <c r="W83" s="290"/>
      <c r="X83" s="290"/>
      <c r="Y83" s="290"/>
      <c r="Z83" s="290"/>
      <c r="AA83" s="290"/>
      <c r="AB83" s="291"/>
    </row>
    <row r="84" spans="1:28" x14ac:dyDescent="0.2">
      <c r="A84" s="289"/>
      <c r="B84" s="290"/>
      <c r="C84" s="290"/>
      <c r="D84" s="290"/>
      <c r="E84" s="290"/>
      <c r="F84" s="290"/>
      <c r="G84" s="290"/>
      <c r="H84" s="290"/>
      <c r="I84" s="290"/>
      <c r="J84" s="290"/>
      <c r="K84" s="290"/>
      <c r="L84" s="291"/>
      <c r="M84" s="289"/>
      <c r="N84" s="290"/>
      <c r="O84" s="290"/>
      <c r="P84" s="290"/>
      <c r="Q84" s="290"/>
      <c r="R84" s="290"/>
      <c r="S84" s="290"/>
      <c r="T84" s="290"/>
      <c r="U84" s="290"/>
      <c r="V84" s="290"/>
      <c r="W84" s="290"/>
      <c r="X84" s="290"/>
      <c r="Y84" s="290"/>
      <c r="Z84" s="290"/>
      <c r="AA84" s="290"/>
      <c r="AB84" s="291"/>
    </row>
    <row r="85" spans="1:28" x14ac:dyDescent="0.2">
      <c r="A85" s="289"/>
      <c r="B85" s="290"/>
      <c r="C85" s="290"/>
      <c r="D85" s="290"/>
      <c r="E85" s="290"/>
      <c r="F85" s="290"/>
      <c r="G85" s="290"/>
      <c r="H85" s="290"/>
      <c r="I85" s="290"/>
      <c r="J85" s="290"/>
      <c r="K85" s="290"/>
      <c r="L85" s="291"/>
      <c r="M85" s="289"/>
      <c r="N85" s="290"/>
      <c r="O85" s="290"/>
      <c r="P85" s="290"/>
      <c r="Q85" s="290"/>
      <c r="R85" s="290"/>
      <c r="S85" s="290"/>
      <c r="T85" s="290"/>
      <c r="U85" s="290"/>
      <c r="V85" s="290"/>
      <c r="W85" s="290"/>
      <c r="X85" s="290"/>
      <c r="Y85" s="290"/>
      <c r="Z85" s="290"/>
      <c r="AA85" s="290"/>
      <c r="AB85" s="291"/>
    </row>
    <row r="86" spans="1:28" x14ac:dyDescent="0.2">
      <c r="A86" s="289"/>
      <c r="B86" s="290"/>
      <c r="C86" s="290"/>
      <c r="D86" s="290"/>
      <c r="E86" s="290"/>
      <c r="F86" s="290"/>
      <c r="G86" s="290"/>
      <c r="H86" s="290"/>
      <c r="I86" s="290"/>
      <c r="J86" s="290"/>
      <c r="K86" s="290"/>
      <c r="L86" s="291"/>
      <c r="M86" s="289"/>
      <c r="N86" s="290"/>
      <c r="O86" s="290"/>
      <c r="P86" s="290"/>
      <c r="Q86" s="290"/>
      <c r="R86" s="290"/>
      <c r="S86" s="290"/>
      <c r="T86" s="290"/>
      <c r="U86" s="290"/>
      <c r="V86" s="290"/>
      <c r="W86" s="290"/>
      <c r="X86" s="290"/>
      <c r="Y86" s="290"/>
      <c r="Z86" s="290"/>
      <c r="AA86" s="290"/>
      <c r="AB86" s="291"/>
    </row>
    <row r="87" spans="1:28" x14ac:dyDescent="0.2">
      <c r="A87" s="289"/>
      <c r="B87" s="290"/>
      <c r="C87" s="290"/>
      <c r="D87" s="290"/>
      <c r="E87" s="290"/>
      <c r="F87" s="290"/>
      <c r="G87" s="290"/>
      <c r="H87" s="290"/>
      <c r="I87" s="290"/>
      <c r="J87" s="290"/>
      <c r="K87" s="290"/>
      <c r="L87" s="291"/>
      <c r="M87" s="289"/>
      <c r="N87" s="290"/>
      <c r="O87" s="290"/>
      <c r="P87" s="290"/>
      <c r="Q87" s="290"/>
      <c r="R87" s="290"/>
      <c r="S87" s="290"/>
      <c r="T87" s="290"/>
      <c r="U87" s="290"/>
      <c r="V87" s="290"/>
      <c r="W87" s="290"/>
      <c r="X87" s="290"/>
      <c r="Y87" s="290"/>
      <c r="Z87" s="290"/>
      <c r="AA87" s="290"/>
      <c r="AB87" s="291"/>
    </row>
    <row r="88" spans="1:28" x14ac:dyDescent="0.2">
      <c r="A88" s="289"/>
      <c r="B88" s="290"/>
      <c r="C88" s="290"/>
      <c r="D88" s="290"/>
      <c r="E88" s="290"/>
      <c r="F88" s="290"/>
      <c r="G88" s="290"/>
      <c r="H88" s="290"/>
      <c r="I88" s="290"/>
      <c r="J88" s="290"/>
      <c r="K88" s="290"/>
      <c r="L88" s="291"/>
      <c r="M88" s="289"/>
      <c r="N88" s="290"/>
      <c r="O88" s="290"/>
      <c r="P88" s="290"/>
      <c r="Q88" s="290"/>
      <c r="R88" s="290"/>
      <c r="S88" s="290"/>
      <c r="T88" s="290"/>
      <c r="U88" s="290"/>
      <c r="V88" s="290"/>
      <c r="W88" s="290"/>
      <c r="X88" s="290"/>
      <c r="Y88" s="290"/>
      <c r="Z88" s="290"/>
      <c r="AA88" s="290"/>
      <c r="AB88" s="291"/>
    </row>
    <row r="89" spans="1:28" x14ac:dyDescent="0.2">
      <c r="A89" s="289"/>
      <c r="B89" s="290"/>
      <c r="C89" s="290"/>
      <c r="D89" s="290"/>
      <c r="E89" s="290"/>
      <c r="F89" s="290"/>
      <c r="G89" s="290"/>
      <c r="H89" s="290"/>
      <c r="I89" s="290"/>
      <c r="J89" s="290"/>
      <c r="K89" s="290"/>
      <c r="L89" s="291"/>
      <c r="M89" s="289"/>
      <c r="N89" s="290"/>
      <c r="O89" s="290"/>
      <c r="P89" s="290"/>
      <c r="Q89" s="290"/>
      <c r="R89" s="290"/>
      <c r="S89" s="290"/>
      <c r="T89" s="290"/>
      <c r="U89" s="290"/>
      <c r="V89" s="290"/>
      <c r="W89" s="290"/>
      <c r="X89" s="290"/>
      <c r="Y89" s="290"/>
      <c r="Z89" s="290"/>
      <c r="AA89" s="290"/>
      <c r="AB89" s="291"/>
    </row>
    <row r="90" spans="1:28" x14ac:dyDescent="0.2">
      <c r="A90" s="289"/>
      <c r="B90" s="290"/>
      <c r="C90" s="290"/>
      <c r="D90" s="290"/>
      <c r="E90" s="290"/>
      <c r="F90" s="290"/>
      <c r="G90" s="290"/>
      <c r="H90" s="290"/>
      <c r="I90" s="290"/>
      <c r="J90" s="290"/>
      <c r="K90" s="290"/>
      <c r="L90" s="291"/>
      <c r="M90" s="289"/>
      <c r="N90" s="290"/>
      <c r="O90" s="290"/>
      <c r="P90" s="290"/>
      <c r="Q90" s="290"/>
      <c r="R90" s="290"/>
      <c r="S90" s="290"/>
      <c r="T90" s="290"/>
      <c r="U90" s="290"/>
      <c r="V90" s="290"/>
      <c r="W90" s="290"/>
      <c r="X90" s="290"/>
      <c r="Y90" s="290"/>
      <c r="Z90" s="290"/>
      <c r="AA90" s="290"/>
      <c r="AB90" s="291"/>
    </row>
    <row r="91" spans="1:28" x14ac:dyDescent="0.2">
      <c r="A91" s="292"/>
      <c r="B91" s="293"/>
      <c r="C91" s="293"/>
      <c r="D91" s="293"/>
      <c r="E91" s="293"/>
      <c r="F91" s="293"/>
      <c r="G91" s="293"/>
      <c r="H91" s="293"/>
      <c r="I91" s="293"/>
      <c r="J91" s="293"/>
      <c r="K91" s="293"/>
      <c r="L91" s="294"/>
      <c r="M91" s="292"/>
      <c r="N91" s="293"/>
      <c r="O91" s="293"/>
      <c r="P91" s="293"/>
      <c r="Q91" s="293"/>
      <c r="R91" s="293"/>
      <c r="S91" s="293"/>
      <c r="T91" s="293"/>
      <c r="U91" s="293"/>
      <c r="V91" s="293"/>
      <c r="W91" s="293"/>
      <c r="X91" s="293"/>
      <c r="Y91" s="293"/>
      <c r="Z91" s="293"/>
      <c r="AA91" s="293"/>
      <c r="AB91" s="294"/>
    </row>
    <row r="92" spans="1:28" x14ac:dyDescent="0.2">
      <c r="A92" s="76" t="s">
        <v>582</v>
      </c>
    </row>
  </sheetData>
  <sheetProtection algorithmName="SHA-512" hashValue="hxpJaBtUwuYw6URTGoFcTTAy+ikVRFxeF0zbzWEXgn+gt9+YN0KNglt+0oNtphbj7XTjMXaoAcjI6/HfnNN10w==" saltValue="xDJXuKkimSGIlmfwcZJOHg==" spinCount="100000" sheet="1" objects="1" scenarios="1"/>
  <mergeCells count="6">
    <mergeCell ref="M77:AB91"/>
    <mergeCell ref="A77:L91"/>
    <mergeCell ref="M37:AB61"/>
    <mergeCell ref="A37:L61"/>
    <mergeCell ref="M62:AB76"/>
    <mergeCell ref="A62:L76"/>
  </mergeCells>
  <phoneticPr fontId="3"/>
  <pageMargins left="0.75" right="0.51" top="0.59" bottom="0.61" header="0.41" footer="0.28999999999999998"/>
  <pageSetup paperSize="9" scale="7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T82"/>
  <sheetViews>
    <sheetView zoomScaleNormal="100" workbookViewId="0">
      <pane xSplit="3" ySplit="4" topLeftCell="D5" activePane="bottomRight" state="frozen"/>
      <selection pane="topRight" activeCell="D1" sqref="D1"/>
      <selection pane="bottomLeft" activeCell="A5" sqref="A5"/>
      <selection pane="bottomRight"/>
    </sheetView>
  </sheetViews>
  <sheetFormatPr defaultColWidth="9" defaultRowHeight="13.2" x14ac:dyDescent="0.2"/>
  <cols>
    <col min="1" max="1" width="2.21875" customWidth="1"/>
    <col min="2" max="2" width="30.44140625" customWidth="1"/>
    <col min="3" max="3" width="4.77734375" customWidth="1"/>
    <col min="4" max="4" width="1.44140625" customWidth="1"/>
    <col min="5" max="5" width="10" style="26" customWidth="1"/>
    <col min="6" max="6" width="2.88671875" customWidth="1"/>
    <col min="7" max="7" width="4.33203125" customWidth="1"/>
    <col min="8" max="8" width="8.109375" style="27" customWidth="1"/>
    <col min="9" max="9" width="1.44140625" customWidth="1"/>
    <col min="10" max="10" width="10" style="26" customWidth="1"/>
    <col min="11" max="11" width="2.88671875" customWidth="1"/>
    <col min="12" max="12" width="4.33203125" customWidth="1"/>
    <col min="13" max="13" width="8.21875" style="27" customWidth="1"/>
    <col min="14" max="14" width="1.44140625" customWidth="1"/>
    <col min="15" max="15" width="10" style="26" customWidth="1"/>
    <col min="16" max="16" width="2.88671875" customWidth="1"/>
    <col min="17" max="17" width="4.33203125" customWidth="1"/>
    <col min="18" max="18" width="8.21875" style="27" customWidth="1"/>
    <col min="19" max="19" width="1.44140625" customWidth="1"/>
    <col min="20" max="20" width="10" style="26" customWidth="1"/>
    <col min="21" max="21" width="2.88671875" customWidth="1"/>
    <col min="22" max="22" width="4.33203125" customWidth="1"/>
    <col min="23" max="23" width="8.109375" customWidth="1"/>
    <col min="24" max="24" width="1.44140625" customWidth="1"/>
    <col min="25" max="25" width="10.21875" style="26" customWidth="1"/>
    <col min="26" max="26" width="2.88671875" customWidth="1"/>
    <col min="27" max="27" width="4.33203125" customWidth="1"/>
    <col min="28" max="28" width="8.21875" customWidth="1"/>
    <col min="29" max="29" width="1.44140625" customWidth="1"/>
    <col min="30" max="30" width="10.21875" style="26" customWidth="1"/>
    <col min="31" max="31" width="2.88671875" customWidth="1"/>
    <col min="32" max="32" width="4.33203125" customWidth="1"/>
    <col min="33" max="33" width="8.21875" customWidth="1"/>
    <col min="34" max="34" width="1.44140625" customWidth="1"/>
    <col min="35" max="35" width="10" style="26" customWidth="1"/>
    <col min="36" max="36" width="2.88671875" customWidth="1"/>
    <col min="37" max="37" width="4.33203125" customWidth="1"/>
    <col min="38" max="38" width="8.21875" style="27" customWidth="1"/>
    <col min="39" max="39" width="1.44140625" customWidth="1"/>
    <col min="40" max="40" width="10" style="26" customWidth="1"/>
    <col min="41" max="41" width="2.88671875" customWidth="1"/>
    <col min="42" max="42" width="4.33203125" customWidth="1"/>
    <col min="43" max="43" width="8.109375" customWidth="1"/>
    <col min="44" max="44" width="1.44140625" customWidth="1"/>
    <col min="45" max="45" width="10.21875" style="26" customWidth="1"/>
    <col min="46" max="46" width="2.88671875" customWidth="1"/>
    <col min="47" max="47" width="4.33203125" customWidth="1"/>
    <col min="48" max="48" width="8.21875" customWidth="1"/>
    <col min="49" max="49" width="1.44140625" customWidth="1"/>
    <col min="50" max="50" width="10.21875" style="26" customWidth="1"/>
    <col min="51" max="51" width="2.88671875" customWidth="1"/>
    <col min="52" max="52" width="4.33203125" customWidth="1"/>
    <col min="53" max="53" width="8.21875" customWidth="1"/>
    <col min="54" max="54" width="1.44140625" customWidth="1"/>
    <col min="55" max="55" width="10.21875" style="26" customWidth="1"/>
    <col min="56" max="56" width="2.88671875" customWidth="1"/>
    <col min="57" max="57" width="4.33203125" customWidth="1"/>
    <col min="58" max="58" width="8.21875" customWidth="1"/>
    <col min="59" max="59" width="1.44140625" customWidth="1"/>
    <col min="60" max="60" width="10.21875" style="26" customWidth="1"/>
    <col min="61" max="61" width="2.88671875" customWidth="1"/>
    <col min="62" max="62" width="4.33203125" customWidth="1"/>
    <col min="63" max="63" width="8.21875" customWidth="1"/>
    <col min="64" max="64" width="1.44140625" customWidth="1"/>
    <col min="65" max="65" width="10.21875" style="26" customWidth="1"/>
    <col min="66" max="66" width="2.88671875" customWidth="1"/>
    <col min="67" max="67" width="4.33203125" customWidth="1"/>
    <col min="68" max="68" width="8.21875" customWidth="1"/>
    <col min="69" max="69" width="1.44140625" customWidth="1"/>
    <col min="70" max="70" width="10.21875" style="26" customWidth="1"/>
    <col min="71" max="71" width="2.88671875" customWidth="1"/>
    <col min="72" max="72" width="4.33203125" customWidth="1"/>
    <col min="73" max="73" width="8.21875" customWidth="1"/>
    <col min="74" max="74" width="1.44140625" customWidth="1"/>
    <col min="75" max="75" width="10.21875" style="26" customWidth="1"/>
    <col min="76" max="76" width="2.88671875" customWidth="1"/>
    <col min="77" max="77" width="4.33203125" customWidth="1"/>
    <col min="78" max="78" width="8.21875" customWidth="1"/>
    <col min="79" max="79" width="1.44140625" customWidth="1"/>
    <col min="80" max="80" width="10.21875" style="26" customWidth="1"/>
    <col min="81" max="81" width="2.88671875" customWidth="1"/>
    <col min="82" max="82" width="4.33203125" customWidth="1"/>
    <col min="83" max="83" width="8.21875" customWidth="1"/>
    <col min="84" max="84" width="1.44140625" customWidth="1"/>
    <col min="85" max="85" width="10.21875" style="26" customWidth="1"/>
    <col min="86" max="86" width="2.88671875" customWidth="1"/>
    <col min="87" max="87" width="4.33203125" customWidth="1"/>
    <col min="88" max="88" width="8.21875" customWidth="1"/>
    <col min="89" max="89" width="1.44140625" customWidth="1"/>
    <col min="90" max="90" width="10.21875" style="26" customWidth="1"/>
    <col min="91" max="91" width="2.88671875" customWidth="1"/>
    <col min="92" max="92" width="4.33203125" customWidth="1"/>
    <col min="93" max="93" width="8.21875" customWidth="1"/>
    <col min="94" max="94" width="1.44140625" customWidth="1"/>
    <col min="95" max="95" width="10.21875" style="26" customWidth="1"/>
    <col min="96" max="96" width="2.88671875" customWidth="1"/>
    <col min="97" max="97" width="4.33203125" customWidth="1"/>
    <col min="98" max="98" width="8.21875" customWidth="1"/>
  </cols>
  <sheetData>
    <row r="1" spans="1:98" ht="27.75" customHeight="1" x14ac:dyDescent="0.2">
      <c r="A1" s="6" t="s">
        <v>104</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row>
    <row r="2" spans="1:98" ht="19.5" customHeight="1" x14ac:dyDescent="0.2">
      <c r="B2" s="104" t="str">
        <f>BS!A2</f>
        <v>３１　輸送用機械器具製造業</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row>
    <row r="3" spans="1:98" ht="18" customHeight="1" x14ac:dyDescent="0.2">
      <c r="A3" s="316"/>
      <c r="B3" s="338" t="s">
        <v>105</v>
      </c>
      <c r="C3" s="322" t="s">
        <v>106</v>
      </c>
      <c r="D3" s="316" t="s">
        <v>107</v>
      </c>
      <c r="E3" s="317"/>
      <c r="F3" s="317"/>
      <c r="G3" s="317"/>
      <c r="H3" s="318"/>
      <c r="I3" s="316" t="s">
        <v>107</v>
      </c>
      <c r="J3" s="317"/>
      <c r="K3" s="317"/>
      <c r="L3" s="317"/>
      <c r="M3" s="318"/>
      <c r="N3" s="316" t="s">
        <v>107</v>
      </c>
      <c r="O3" s="317"/>
      <c r="P3" s="317"/>
      <c r="Q3" s="317"/>
      <c r="R3" s="318"/>
      <c r="S3" s="316" t="s">
        <v>107</v>
      </c>
      <c r="T3" s="317"/>
      <c r="U3" s="317"/>
      <c r="V3" s="317"/>
      <c r="W3" s="318"/>
      <c r="X3" s="316" t="s">
        <v>107</v>
      </c>
      <c r="Y3" s="317"/>
      <c r="Z3" s="317"/>
      <c r="AA3" s="317"/>
      <c r="AB3" s="318"/>
      <c r="AC3" s="316" t="s">
        <v>107</v>
      </c>
      <c r="AD3" s="317"/>
      <c r="AE3" s="317"/>
      <c r="AF3" s="317"/>
      <c r="AG3" s="318"/>
      <c r="AH3" s="316" t="s">
        <v>107</v>
      </c>
      <c r="AI3" s="317"/>
      <c r="AJ3" s="317"/>
      <c r="AK3" s="317"/>
      <c r="AL3" s="318"/>
      <c r="AM3" s="316" t="s">
        <v>107</v>
      </c>
      <c r="AN3" s="317"/>
      <c r="AO3" s="317"/>
      <c r="AP3" s="317"/>
      <c r="AQ3" s="318"/>
      <c r="AR3" s="316" t="s">
        <v>107</v>
      </c>
      <c r="AS3" s="317"/>
      <c r="AT3" s="317"/>
      <c r="AU3" s="317"/>
      <c r="AV3" s="318"/>
      <c r="AW3" s="316" t="s">
        <v>107</v>
      </c>
      <c r="AX3" s="317"/>
      <c r="AY3" s="317"/>
      <c r="AZ3" s="317"/>
      <c r="BA3" s="318"/>
      <c r="BB3" s="316" t="s">
        <v>107</v>
      </c>
      <c r="BC3" s="317"/>
      <c r="BD3" s="317"/>
      <c r="BE3" s="317"/>
      <c r="BF3" s="318"/>
      <c r="BG3" s="316" t="s">
        <v>107</v>
      </c>
      <c r="BH3" s="317"/>
      <c r="BI3" s="317"/>
      <c r="BJ3" s="317"/>
      <c r="BK3" s="318"/>
      <c r="BL3" s="316" t="s">
        <v>107</v>
      </c>
      <c r="BM3" s="317"/>
      <c r="BN3" s="317"/>
      <c r="BO3" s="317"/>
      <c r="BP3" s="318"/>
      <c r="BQ3" s="316" t="s">
        <v>107</v>
      </c>
      <c r="BR3" s="317"/>
      <c r="BS3" s="317"/>
      <c r="BT3" s="317"/>
      <c r="BU3" s="318"/>
      <c r="BV3" s="316" t="s">
        <v>107</v>
      </c>
      <c r="BW3" s="317"/>
      <c r="BX3" s="317"/>
      <c r="BY3" s="317"/>
      <c r="BZ3" s="318"/>
      <c r="CA3" s="316" t="s">
        <v>107</v>
      </c>
      <c r="CB3" s="317"/>
      <c r="CC3" s="317"/>
      <c r="CD3" s="317"/>
      <c r="CE3" s="318"/>
      <c r="CF3" s="316" t="s">
        <v>107</v>
      </c>
      <c r="CG3" s="317"/>
      <c r="CH3" s="317"/>
      <c r="CI3" s="317"/>
      <c r="CJ3" s="318"/>
      <c r="CK3" s="316" t="s">
        <v>107</v>
      </c>
      <c r="CL3" s="317"/>
      <c r="CM3" s="317"/>
      <c r="CN3" s="317"/>
      <c r="CO3" s="318"/>
      <c r="CP3" s="316" t="s">
        <v>107</v>
      </c>
      <c r="CQ3" s="317"/>
      <c r="CR3" s="317"/>
      <c r="CS3" s="317"/>
      <c r="CT3" s="318"/>
    </row>
    <row r="4" spans="1:98" ht="18" customHeight="1" x14ac:dyDescent="0.2">
      <c r="A4" s="316"/>
      <c r="B4" s="307"/>
      <c r="C4" s="323"/>
      <c r="D4" s="319" t="s">
        <v>533</v>
      </c>
      <c r="E4" s="319"/>
      <c r="F4" s="319"/>
      <c r="G4" s="319"/>
      <c r="H4" s="319"/>
      <c r="I4" s="319" t="s">
        <v>526</v>
      </c>
      <c r="J4" s="319"/>
      <c r="K4" s="319"/>
      <c r="L4" s="319"/>
      <c r="M4" s="319"/>
      <c r="N4" s="319" t="s">
        <v>525</v>
      </c>
      <c r="O4" s="319"/>
      <c r="P4" s="319"/>
      <c r="Q4" s="319"/>
      <c r="R4" s="319"/>
      <c r="S4" s="319" t="s">
        <v>524</v>
      </c>
      <c r="T4" s="319"/>
      <c r="U4" s="319"/>
      <c r="V4" s="319"/>
      <c r="W4" s="319"/>
      <c r="X4" s="319" t="s">
        <v>523</v>
      </c>
      <c r="Y4" s="319"/>
      <c r="Z4" s="319"/>
      <c r="AA4" s="319"/>
      <c r="AB4" s="319"/>
      <c r="AC4" s="319" t="s">
        <v>358</v>
      </c>
      <c r="AD4" s="319"/>
      <c r="AE4" s="319"/>
      <c r="AF4" s="319"/>
      <c r="AG4" s="319"/>
      <c r="AH4" s="319" t="s">
        <v>507</v>
      </c>
      <c r="AI4" s="319"/>
      <c r="AJ4" s="319"/>
      <c r="AK4" s="319"/>
      <c r="AL4" s="319"/>
      <c r="AM4" s="319" t="s">
        <v>512</v>
      </c>
      <c r="AN4" s="319"/>
      <c r="AO4" s="319"/>
      <c r="AP4" s="319"/>
      <c r="AQ4" s="319"/>
      <c r="AR4" s="319" t="s">
        <v>516</v>
      </c>
      <c r="AS4" s="319"/>
      <c r="AT4" s="319"/>
      <c r="AU4" s="319"/>
      <c r="AV4" s="319"/>
      <c r="AW4" s="319" t="s">
        <v>518</v>
      </c>
      <c r="AX4" s="319"/>
      <c r="AY4" s="319"/>
      <c r="AZ4" s="319"/>
      <c r="BA4" s="319"/>
      <c r="BB4" s="319" t="s">
        <v>537</v>
      </c>
      <c r="BC4" s="319"/>
      <c r="BD4" s="319"/>
      <c r="BE4" s="319"/>
      <c r="BF4" s="319"/>
      <c r="BG4" s="319" t="s">
        <v>538</v>
      </c>
      <c r="BH4" s="319"/>
      <c r="BI4" s="319"/>
      <c r="BJ4" s="319"/>
      <c r="BK4" s="319"/>
      <c r="BL4" s="319" t="s">
        <v>556</v>
      </c>
      <c r="BM4" s="319"/>
      <c r="BN4" s="319"/>
      <c r="BO4" s="319"/>
      <c r="BP4" s="319"/>
      <c r="BQ4" s="319" t="s">
        <v>555</v>
      </c>
      <c r="BR4" s="319"/>
      <c r="BS4" s="319"/>
      <c r="BT4" s="319"/>
      <c r="BU4" s="319"/>
      <c r="BV4" s="319" t="s">
        <v>558</v>
      </c>
      <c r="BW4" s="319"/>
      <c r="BX4" s="319"/>
      <c r="BY4" s="319"/>
      <c r="BZ4" s="319"/>
      <c r="CA4" s="319" t="s">
        <v>561</v>
      </c>
      <c r="CB4" s="319"/>
      <c r="CC4" s="319"/>
      <c r="CD4" s="319"/>
      <c r="CE4" s="319"/>
      <c r="CF4" s="319" t="s">
        <v>565</v>
      </c>
      <c r="CG4" s="319"/>
      <c r="CH4" s="319"/>
      <c r="CI4" s="319"/>
      <c r="CJ4" s="319"/>
      <c r="CK4" s="319" t="s">
        <v>579</v>
      </c>
      <c r="CL4" s="319"/>
      <c r="CM4" s="319"/>
      <c r="CN4" s="319"/>
      <c r="CO4" s="319"/>
      <c r="CP4" s="319" t="s">
        <v>583</v>
      </c>
      <c r="CQ4" s="319"/>
      <c r="CR4" s="319"/>
      <c r="CS4" s="319"/>
      <c r="CT4" s="319"/>
    </row>
    <row r="5" spans="1:98" ht="18" customHeight="1" x14ac:dyDescent="0.2">
      <c r="A5" s="324" t="s">
        <v>108</v>
      </c>
      <c r="B5" s="325"/>
      <c r="C5" s="326"/>
      <c r="D5" s="7"/>
      <c r="E5" s="7"/>
      <c r="F5" s="7"/>
      <c r="G5" s="7"/>
      <c r="H5" s="8"/>
      <c r="I5" s="7"/>
      <c r="J5" s="7"/>
      <c r="K5" s="7"/>
      <c r="L5" s="7"/>
      <c r="M5" s="8"/>
      <c r="N5" s="7"/>
      <c r="O5" s="7"/>
      <c r="P5" s="7"/>
      <c r="Q5" s="7"/>
      <c r="R5" s="8"/>
      <c r="S5" s="7"/>
      <c r="T5" s="7"/>
      <c r="U5" s="7"/>
      <c r="V5" s="7"/>
      <c r="W5" s="8"/>
      <c r="X5" s="7"/>
      <c r="Y5" s="7"/>
      <c r="Z5" s="7"/>
      <c r="AA5" s="7"/>
      <c r="AB5" s="8"/>
      <c r="AC5" s="7"/>
      <c r="AD5" s="7"/>
      <c r="AE5" s="7"/>
      <c r="AF5" s="7"/>
      <c r="AG5" s="8"/>
      <c r="AH5" s="7"/>
      <c r="AI5" s="7"/>
      <c r="AJ5" s="7"/>
      <c r="AK5" s="7"/>
      <c r="AL5" s="8"/>
      <c r="AM5" s="7"/>
      <c r="AN5" s="7"/>
      <c r="AO5" s="7"/>
      <c r="AP5" s="7"/>
      <c r="AQ5" s="8"/>
      <c r="AR5" s="7"/>
      <c r="AS5" s="7"/>
      <c r="AT5" s="7"/>
      <c r="AU5" s="7"/>
      <c r="AV5" s="8"/>
      <c r="AW5" s="7"/>
      <c r="AX5" s="7"/>
      <c r="AY5" s="7"/>
      <c r="AZ5" s="7"/>
      <c r="BA5" s="8"/>
      <c r="BB5" s="7"/>
      <c r="BC5" s="7"/>
      <c r="BD5" s="7"/>
      <c r="BE5" s="7"/>
      <c r="BF5" s="8"/>
      <c r="BG5" s="7"/>
      <c r="BH5" s="7"/>
      <c r="BI5" s="7"/>
      <c r="BJ5" s="7"/>
      <c r="BK5" s="8"/>
      <c r="BL5" s="7"/>
      <c r="BM5" s="7"/>
      <c r="BN5" s="7"/>
      <c r="BO5" s="7"/>
      <c r="BP5" s="8"/>
      <c r="BQ5" s="7"/>
      <c r="BR5" s="7"/>
      <c r="BS5" s="7"/>
      <c r="BT5" s="7"/>
      <c r="BU5" s="8"/>
      <c r="BV5" s="7"/>
      <c r="BW5" s="7"/>
      <c r="BX5" s="7"/>
      <c r="BY5" s="7"/>
      <c r="BZ5" s="8"/>
      <c r="CA5" s="7"/>
      <c r="CB5" s="7"/>
      <c r="CC5" s="7"/>
      <c r="CD5" s="7"/>
      <c r="CE5" s="8"/>
      <c r="CF5" s="7"/>
      <c r="CG5" s="7"/>
      <c r="CH5" s="7"/>
      <c r="CI5" s="7"/>
      <c r="CJ5" s="8"/>
      <c r="CK5" s="7"/>
      <c r="CL5" s="7"/>
      <c r="CM5" s="7"/>
      <c r="CN5" s="7"/>
      <c r="CO5" s="8"/>
      <c r="CP5" s="7"/>
      <c r="CQ5" s="7"/>
      <c r="CR5" s="7"/>
      <c r="CS5" s="7"/>
      <c r="CT5" s="8"/>
    </row>
    <row r="6" spans="1:98" ht="18" customHeight="1" x14ac:dyDescent="0.2">
      <c r="A6" s="9"/>
      <c r="B6" s="320" t="s">
        <v>109</v>
      </c>
      <c r="C6" s="322" t="s">
        <v>110</v>
      </c>
      <c r="D6" s="304"/>
      <c r="E6" s="10">
        <f>+PL!K38</f>
        <v>18320.843179884701</v>
      </c>
      <c r="F6" s="306" t="s">
        <v>111</v>
      </c>
      <c r="G6" s="308">
        <v>100</v>
      </c>
      <c r="H6" s="310">
        <f>IF(E7=0,"-",(E6/E7)*G6)</f>
        <v>2.4921615341173884</v>
      </c>
      <c r="I6" s="304"/>
      <c r="J6" s="10">
        <f>+PL!L38</f>
        <v>13954.599256002704</v>
      </c>
      <c r="K6" s="306" t="s">
        <v>111</v>
      </c>
      <c r="L6" s="308">
        <v>100</v>
      </c>
      <c r="M6" s="310">
        <f>IF(J7=0,"-",(J6/J7)*L6)</f>
        <v>2.3335229219091582</v>
      </c>
      <c r="N6" s="304"/>
      <c r="O6" s="10">
        <f>+PL!M38</f>
        <v>16791.532730697661</v>
      </c>
      <c r="P6" s="306" t="s">
        <v>111</v>
      </c>
      <c r="Q6" s="308">
        <v>100</v>
      </c>
      <c r="R6" s="310">
        <f>IF(O7=0,"-",(O6/O7)*Q6)</f>
        <v>2.4207597773035046</v>
      </c>
      <c r="S6" s="304"/>
      <c r="T6" s="10">
        <f>+PL!N38</f>
        <v>17066.42728697725</v>
      </c>
      <c r="U6" s="306" t="s">
        <v>111</v>
      </c>
      <c r="V6" s="308">
        <v>100</v>
      </c>
      <c r="W6" s="310">
        <f>IF(T7=0,"-",(T6/T7)*V6)</f>
        <v>2.9858176207081142</v>
      </c>
      <c r="X6" s="304"/>
      <c r="Y6" s="10">
        <f>+PL!O38</f>
        <v>14347.263632501921</v>
      </c>
      <c r="Z6" s="306" t="s">
        <v>111</v>
      </c>
      <c r="AA6" s="308">
        <v>100</v>
      </c>
      <c r="AB6" s="310">
        <f>IF(Y7=0,"-",(Y6/Y7)*AA6)</f>
        <v>2.2531128491999159</v>
      </c>
      <c r="AC6" s="304"/>
      <c r="AD6" s="10">
        <f>+PL!P38</f>
        <v>3336.344587106295</v>
      </c>
      <c r="AE6" s="306" t="s">
        <v>111</v>
      </c>
      <c r="AF6" s="308">
        <v>100</v>
      </c>
      <c r="AG6" s="310">
        <f>IF(AD7=0,"-",(AD6/AD7)*AF6)</f>
        <v>0.51925635288579464</v>
      </c>
      <c r="AH6" s="304"/>
      <c r="AI6" s="10">
        <f>+PL!Q38</f>
        <v>-3787.4927325674339</v>
      </c>
      <c r="AJ6" s="306" t="s">
        <v>111</v>
      </c>
      <c r="AK6" s="308">
        <v>100</v>
      </c>
      <c r="AL6" s="310">
        <f>IF(AI7=0,"-",(AI6/AI7)*AK6)</f>
        <v>-0.61979278196232723</v>
      </c>
      <c r="AM6" s="304"/>
      <c r="AN6" s="10">
        <f>+PL!R38</f>
        <v>8943.8958575843117</v>
      </c>
      <c r="AO6" s="306" t="s">
        <v>112</v>
      </c>
      <c r="AP6" s="308">
        <v>100</v>
      </c>
      <c r="AQ6" s="310">
        <f>IF(AN7=0,"-",(AN6/AN7)*AP6)</f>
        <v>1.9836553318717229</v>
      </c>
      <c r="AR6" s="304"/>
      <c r="AS6" s="10">
        <f>+PL!S38</f>
        <v>9741.340224918873</v>
      </c>
      <c r="AT6" s="306" t="s">
        <v>111</v>
      </c>
      <c r="AU6" s="308">
        <v>100</v>
      </c>
      <c r="AV6" s="310">
        <f>IF(AS7=0,"-",(AS6/AS7)*AU6)</f>
        <v>2.0893950897408331</v>
      </c>
      <c r="AW6" s="304"/>
      <c r="AX6" s="10">
        <f>+PL!T38</f>
        <v>6788.3790503388864</v>
      </c>
      <c r="AY6" s="306" t="s">
        <v>111</v>
      </c>
      <c r="AZ6" s="308">
        <v>100</v>
      </c>
      <c r="BA6" s="310">
        <f>IF(AX7=0,"-",(AX6/AX7)*AZ6)</f>
        <v>1.8730378286070655</v>
      </c>
      <c r="BB6" s="304"/>
      <c r="BC6" s="10">
        <f>+PL!U38</f>
        <v>13634.560437288017</v>
      </c>
      <c r="BD6" s="306" t="s">
        <v>111</v>
      </c>
      <c r="BE6" s="308">
        <v>100</v>
      </c>
      <c r="BF6" s="310">
        <f>IF(BC7=0,"-",(BC6/BC7)*BE6)</f>
        <v>2.3611874953431533</v>
      </c>
      <c r="BG6" s="304"/>
      <c r="BH6" s="10">
        <f>+PL!V38</f>
        <v>14688.782980817279</v>
      </c>
      <c r="BI6" s="306" t="s">
        <v>111</v>
      </c>
      <c r="BJ6" s="308">
        <v>100</v>
      </c>
      <c r="BK6" s="310">
        <f>IF(BH7=0,"-",(BH6/BH7)*BJ6)</f>
        <v>2.4245752136009284</v>
      </c>
      <c r="BL6" s="304"/>
      <c r="BM6" s="10">
        <f>+PL!W38</f>
        <v>15268.957590105378</v>
      </c>
      <c r="BN6" s="306" t="s">
        <v>111</v>
      </c>
      <c r="BO6" s="308">
        <v>100</v>
      </c>
      <c r="BP6" s="310">
        <f>IF(BM7=0,"-",(BM6/BM7)*BO6)</f>
        <v>2.5596671820410579</v>
      </c>
      <c r="BQ6" s="304"/>
      <c r="BR6" s="10">
        <f>+PL!X38</f>
        <v>17681.423167918401</v>
      </c>
      <c r="BS6" s="306" t="s">
        <v>111</v>
      </c>
      <c r="BT6" s="308">
        <v>100</v>
      </c>
      <c r="BU6" s="310">
        <f>IF(BR7=0,"-",(BR6/BR7)*BT6)</f>
        <v>2.9893108964935076</v>
      </c>
      <c r="BV6" s="304"/>
      <c r="BW6" s="10">
        <f>+PL!Y38</f>
        <v>21167.97179714057</v>
      </c>
      <c r="BX6" s="306" t="s">
        <v>111</v>
      </c>
      <c r="BY6" s="308">
        <v>100</v>
      </c>
      <c r="BZ6" s="310">
        <f>IF(BW7=0,"-",(BW6/BW7)*BY6)</f>
        <v>3.0963648958992254</v>
      </c>
      <c r="CA6" s="304"/>
      <c r="CB6" s="10">
        <f>+PL!Z38</f>
        <v>20386.951280725621</v>
      </c>
      <c r="CC6" s="306" t="s">
        <v>111</v>
      </c>
      <c r="CD6" s="308">
        <v>100</v>
      </c>
      <c r="CE6" s="310">
        <f>IF(CB7=0,"-",(CB6/CB7)*CD6)</f>
        <v>2.7890233282431027</v>
      </c>
      <c r="CF6" s="304"/>
      <c r="CG6" s="10">
        <f>+PL!AA38</f>
        <v>20336.771033653848</v>
      </c>
      <c r="CH6" s="306" t="s">
        <v>111</v>
      </c>
      <c r="CI6" s="308">
        <v>100</v>
      </c>
      <c r="CJ6" s="310">
        <f>IF(CG7=0,"-",(CG6/CG7)*CI6)</f>
        <v>2.0684867326806944</v>
      </c>
      <c r="CK6" s="304"/>
      <c r="CL6" s="10">
        <f>+PL!AB38</f>
        <v>8776.397833748817</v>
      </c>
      <c r="CM6" s="306" t="s">
        <v>111</v>
      </c>
      <c r="CN6" s="308">
        <v>100</v>
      </c>
      <c r="CO6" s="310">
        <f>IF(CL7=0,"-",(CL6/CL7)*CN6)</f>
        <v>1.0096409982260715</v>
      </c>
      <c r="CP6" s="304"/>
      <c r="CQ6" s="10">
        <f>+PL!AC38</f>
        <v>20806.53212183261</v>
      </c>
      <c r="CR6" s="306" t="s">
        <v>111</v>
      </c>
      <c r="CS6" s="308">
        <v>100</v>
      </c>
      <c r="CT6" s="310">
        <f>IF(CQ7=0,"-",(CQ6/CQ7)*CS6)</f>
        <v>2.6395067424579413</v>
      </c>
    </row>
    <row r="7" spans="1:98" ht="18" customHeight="1" x14ac:dyDescent="0.2">
      <c r="A7" s="11"/>
      <c r="B7" s="321"/>
      <c r="C7" s="323"/>
      <c r="D7" s="305"/>
      <c r="E7" s="12">
        <f>+BS!K8</f>
        <v>735138.67095188599</v>
      </c>
      <c r="F7" s="307"/>
      <c r="G7" s="309"/>
      <c r="H7" s="311"/>
      <c r="I7" s="305"/>
      <c r="J7" s="12">
        <f>+BS!L8</f>
        <v>598005.66452485626</v>
      </c>
      <c r="K7" s="307"/>
      <c r="L7" s="309"/>
      <c r="M7" s="311"/>
      <c r="N7" s="305"/>
      <c r="O7" s="12">
        <f>+BS!M8</f>
        <v>693647.21308290353</v>
      </c>
      <c r="P7" s="307"/>
      <c r="Q7" s="309"/>
      <c r="R7" s="311"/>
      <c r="S7" s="305"/>
      <c r="T7" s="12">
        <f>+BS!N8</f>
        <v>571583.04541486991</v>
      </c>
      <c r="U7" s="307"/>
      <c r="V7" s="309"/>
      <c r="W7" s="311"/>
      <c r="X7" s="305"/>
      <c r="Y7" s="12">
        <f>+BS!O8</f>
        <v>636775.19027050328</v>
      </c>
      <c r="Z7" s="307"/>
      <c r="AA7" s="309"/>
      <c r="AB7" s="311"/>
      <c r="AC7" s="305"/>
      <c r="AD7" s="12">
        <f>+BS!P8</f>
        <v>642523.595246237</v>
      </c>
      <c r="AE7" s="307"/>
      <c r="AF7" s="309"/>
      <c r="AG7" s="311"/>
      <c r="AH7" s="305"/>
      <c r="AI7" s="12">
        <f>+BS!Q8</f>
        <v>611090.16477666062</v>
      </c>
      <c r="AJ7" s="307"/>
      <c r="AK7" s="309"/>
      <c r="AL7" s="311"/>
      <c r="AM7" s="305"/>
      <c r="AN7" s="12">
        <f>+BS!R8</f>
        <v>450879.5310294705</v>
      </c>
      <c r="AO7" s="307"/>
      <c r="AP7" s="309"/>
      <c r="AQ7" s="311"/>
      <c r="AR7" s="305"/>
      <c r="AS7" s="12">
        <f>+BS!S8</f>
        <v>466227.77438072674</v>
      </c>
      <c r="AT7" s="307"/>
      <c r="AU7" s="309"/>
      <c r="AV7" s="311"/>
      <c r="AW7" s="305"/>
      <c r="AX7" s="12">
        <f>+BS!T8</f>
        <v>362426.15854626091</v>
      </c>
      <c r="AY7" s="307"/>
      <c r="AZ7" s="309"/>
      <c r="BA7" s="311"/>
      <c r="BB7" s="305"/>
      <c r="BC7" s="12">
        <f>+BS!U8</f>
        <v>577445.05526048853</v>
      </c>
      <c r="BD7" s="307"/>
      <c r="BE7" s="309"/>
      <c r="BF7" s="311"/>
      <c r="BG7" s="305"/>
      <c r="BH7" s="12">
        <f>+BS!V8</f>
        <v>605829.1323947754</v>
      </c>
      <c r="BI7" s="307"/>
      <c r="BJ7" s="309"/>
      <c r="BK7" s="311"/>
      <c r="BL7" s="305"/>
      <c r="BM7" s="12">
        <f>+BS!W8</f>
        <v>596521.20780522865</v>
      </c>
      <c r="BN7" s="307"/>
      <c r="BO7" s="309"/>
      <c r="BP7" s="311"/>
      <c r="BQ7" s="305"/>
      <c r="BR7" s="12">
        <f>+BS!X8</f>
        <v>591488.26536105329</v>
      </c>
      <c r="BS7" s="307"/>
      <c r="BT7" s="309"/>
      <c r="BU7" s="311"/>
      <c r="BV7" s="305"/>
      <c r="BW7" s="12">
        <f>+BS!Y8</f>
        <v>683639.44524674991</v>
      </c>
      <c r="BX7" s="307"/>
      <c r="BY7" s="309"/>
      <c r="BZ7" s="311"/>
      <c r="CA7" s="305"/>
      <c r="CB7" s="12">
        <f>+BS!Z8</f>
        <v>730970.98451191629</v>
      </c>
      <c r="CC7" s="307"/>
      <c r="CD7" s="309"/>
      <c r="CE7" s="311"/>
      <c r="CF7" s="305"/>
      <c r="CG7" s="12">
        <f>+BS!AA8</f>
        <v>983171.45149381866</v>
      </c>
      <c r="CH7" s="307"/>
      <c r="CI7" s="309"/>
      <c r="CJ7" s="311"/>
      <c r="CK7" s="305"/>
      <c r="CL7" s="12">
        <f>+BS!AB8</f>
        <v>869259.25642568548</v>
      </c>
      <c r="CM7" s="307"/>
      <c r="CN7" s="309"/>
      <c r="CO7" s="311"/>
      <c r="CP7" s="305"/>
      <c r="CQ7" s="12">
        <f>+BS!AC8</f>
        <v>788273.49773910071</v>
      </c>
      <c r="CR7" s="307"/>
      <c r="CS7" s="309"/>
      <c r="CT7" s="311"/>
    </row>
    <row r="8" spans="1:98" ht="18" customHeight="1" x14ac:dyDescent="0.2">
      <c r="A8" s="11"/>
      <c r="B8" s="320" t="s">
        <v>113</v>
      </c>
      <c r="C8" s="322" t="s">
        <v>110</v>
      </c>
      <c r="D8" s="304"/>
      <c r="E8" s="10">
        <f>+E6</f>
        <v>18320.843179884701</v>
      </c>
      <c r="F8" s="306" t="s">
        <v>114</v>
      </c>
      <c r="G8" s="308">
        <v>100</v>
      </c>
      <c r="H8" s="310">
        <f>IF(E9=0,"-",(E8/E9)*G8)</f>
        <v>8.5447610179848521</v>
      </c>
      <c r="I8" s="304"/>
      <c r="J8" s="10">
        <f>+J6</f>
        <v>13954.599256002704</v>
      </c>
      <c r="K8" s="306" t="s">
        <v>111</v>
      </c>
      <c r="L8" s="308">
        <v>100</v>
      </c>
      <c r="M8" s="310">
        <f>IF(J9=0,"-",(J8/J9)*L8)</f>
        <v>9.1991902951343025</v>
      </c>
      <c r="N8" s="304"/>
      <c r="O8" s="10">
        <f>+O6</f>
        <v>16791.532730697661</v>
      </c>
      <c r="P8" s="306" t="s">
        <v>111</v>
      </c>
      <c r="Q8" s="308">
        <v>100</v>
      </c>
      <c r="R8" s="310">
        <f>IF(O9=0,"-",(O8/O9)*Q8)</f>
        <v>7.1491036499589056</v>
      </c>
      <c r="S8" s="304"/>
      <c r="T8" s="10">
        <f>+T6</f>
        <v>17066.42728697725</v>
      </c>
      <c r="U8" s="306" t="s">
        <v>111</v>
      </c>
      <c r="V8" s="308">
        <v>100</v>
      </c>
      <c r="W8" s="310">
        <f>IF(T9=0,"-",(T8/T9)*V8)</f>
        <v>8.6684308406482202</v>
      </c>
      <c r="X8" s="304"/>
      <c r="Y8" s="10">
        <f>+Y6</f>
        <v>14347.263632501921</v>
      </c>
      <c r="Z8" s="306" t="s">
        <v>111</v>
      </c>
      <c r="AA8" s="308">
        <v>100</v>
      </c>
      <c r="AB8" s="310">
        <f>IF(Y9=0,"-",(Y8/Y9)*AA8)</f>
        <v>7.3683116605292431</v>
      </c>
      <c r="AC8" s="304"/>
      <c r="AD8" s="10">
        <f>+AD6</f>
        <v>3336.344587106295</v>
      </c>
      <c r="AE8" s="306" t="s">
        <v>111</v>
      </c>
      <c r="AF8" s="308">
        <v>100</v>
      </c>
      <c r="AG8" s="310">
        <f>IF(AD9=0,"-",(AD8/AD9)*AF8)</f>
        <v>1.5658725601435437</v>
      </c>
      <c r="AH8" s="304"/>
      <c r="AI8" s="10">
        <f>+AI6</f>
        <v>-3787.4927325674339</v>
      </c>
      <c r="AJ8" s="306" t="s">
        <v>114</v>
      </c>
      <c r="AK8" s="308">
        <v>100</v>
      </c>
      <c r="AL8" s="310">
        <f>IF(AI9=0,"-",(AI8/AI9)*AK8)</f>
        <v>-1.6430818750060014</v>
      </c>
      <c r="AM8" s="304"/>
      <c r="AN8" s="10">
        <f>+AN6</f>
        <v>8943.8958575843117</v>
      </c>
      <c r="AO8" s="306" t="s">
        <v>114</v>
      </c>
      <c r="AP8" s="308">
        <v>100</v>
      </c>
      <c r="AQ8" s="310">
        <f>IF(AN9=0,"-",(AN8/AN9)*AP8)</f>
        <v>5.4649617912686059</v>
      </c>
      <c r="AR8" s="304"/>
      <c r="AS8" s="10">
        <f>+AS6</f>
        <v>9741.340224918873</v>
      </c>
      <c r="AT8" s="306" t="s">
        <v>111</v>
      </c>
      <c r="AU8" s="308">
        <v>100</v>
      </c>
      <c r="AV8" s="310">
        <f>IF(AS9=0,"-",(AS8/AS9)*AU8)</f>
        <v>5.7470098592936845</v>
      </c>
      <c r="AW8" s="304"/>
      <c r="AX8" s="10">
        <f>+AX6</f>
        <v>6788.3790503388864</v>
      </c>
      <c r="AY8" s="306" t="s">
        <v>111</v>
      </c>
      <c r="AZ8" s="308">
        <v>100</v>
      </c>
      <c r="BA8" s="310">
        <f>IF(AX9=0,"-",(AX8/AX9)*AZ8)</f>
        <v>5.4538655676135432</v>
      </c>
      <c r="BB8" s="304"/>
      <c r="BC8" s="10">
        <f>+BC6</f>
        <v>13634.560437288017</v>
      </c>
      <c r="BD8" s="306" t="s">
        <v>111</v>
      </c>
      <c r="BE8" s="308">
        <v>100</v>
      </c>
      <c r="BF8" s="310">
        <f>IF(BC9=0,"-",(BC8/BC9)*BE8)</f>
        <v>6.3715598864956311</v>
      </c>
      <c r="BG8" s="304"/>
      <c r="BH8" s="10">
        <f>+BH6</f>
        <v>14688.782980817279</v>
      </c>
      <c r="BI8" s="306" t="s">
        <v>111</v>
      </c>
      <c r="BJ8" s="308">
        <v>100</v>
      </c>
      <c r="BK8" s="310">
        <f>IF(BH9=0,"-",(BH8/BH9)*BJ8)</f>
        <v>6.4002533895090945</v>
      </c>
      <c r="BL8" s="304"/>
      <c r="BM8" s="10">
        <f>+BM6</f>
        <v>15268.957590105378</v>
      </c>
      <c r="BN8" s="306" t="s">
        <v>111</v>
      </c>
      <c r="BO8" s="308">
        <v>100</v>
      </c>
      <c r="BP8" s="310">
        <f>IF(BM9=0,"-",(BM8/BM9)*BO8)</f>
        <v>6.9260383541360468</v>
      </c>
      <c r="BQ8" s="304"/>
      <c r="BR8" s="10">
        <f>+BR6</f>
        <v>17681.423167918401</v>
      </c>
      <c r="BS8" s="306" t="s">
        <v>111</v>
      </c>
      <c r="BT8" s="308">
        <v>100</v>
      </c>
      <c r="BU8" s="310">
        <f>IF(BR9=0,"-",(BR8/BR9)*BT8)</f>
        <v>7.1577720282349588</v>
      </c>
      <c r="BV8" s="304"/>
      <c r="BW8" s="10">
        <f>+BW6</f>
        <v>21167.97179714057</v>
      </c>
      <c r="BX8" s="306" t="s">
        <v>111</v>
      </c>
      <c r="BY8" s="308">
        <v>100</v>
      </c>
      <c r="BZ8" s="310">
        <f>IF(BW9=0,"-",(BW8/BW9)*BY8)</f>
        <v>7.4382339433573712</v>
      </c>
      <c r="CA8" s="304"/>
      <c r="CB8" s="10">
        <f>+CB6</f>
        <v>20386.951280725621</v>
      </c>
      <c r="CC8" s="306" t="s">
        <v>111</v>
      </c>
      <c r="CD8" s="308">
        <v>100</v>
      </c>
      <c r="CE8" s="310">
        <f>IF(CB9=0,"-",(CB8/CB9)*CD8)</f>
        <v>6.3777742593785769</v>
      </c>
      <c r="CF8" s="304"/>
      <c r="CG8" s="10">
        <f>+CG6</f>
        <v>20336.771033653848</v>
      </c>
      <c r="CH8" s="306" t="s">
        <v>114</v>
      </c>
      <c r="CI8" s="308">
        <v>100</v>
      </c>
      <c r="CJ8" s="310">
        <f>IF(CG9=0,"-",(CG8/CG9)*CI8)</f>
        <v>4.3657905433843647</v>
      </c>
      <c r="CK8" s="304"/>
      <c r="CL8" s="10">
        <f>+CL6</f>
        <v>8776.397833748817</v>
      </c>
      <c r="CM8" s="306" t="s">
        <v>111</v>
      </c>
      <c r="CN8" s="308">
        <v>100</v>
      </c>
      <c r="CO8" s="310">
        <f>IF(CL9=0,"-",(CL8/CL9)*CN8)</f>
        <v>2.3663112146038423</v>
      </c>
      <c r="CP8" s="304"/>
      <c r="CQ8" s="10">
        <f>+CQ6</f>
        <v>20806.53212183261</v>
      </c>
      <c r="CR8" s="306" t="s">
        <v>111</v>
      </c>
      <c r="CS8" s="308">
        <v>100</v>
      </c>
      <c r="CT8" s="310">
        <f>IF(CQ9=0,"-",(CQ8/CQ9)*CS8)</f>
        <v>6.3388046401564351</v>
      </c>
    </row>
    <row r="9" spans="1:98" ht="18" customHeight="1" x14ac:dyDescent="0.2">
      <c r="A9" s="11"/>
      <c r="B9" s="321"/>
      <c r="C9" s="323"/>
      <c r="D9" s="305"/>
      <c r="E9" s="12">
        <f>+BS!K43</f>
        <v>214410.24671519001</v>
      </c>
      <c r="F9" s="307"/>
      <c r="G9" s="309"/>
      <c r="H9" s="311"/>
      <c r="I9" s="305"/>
      <c r="J9" s="12">
        <f>+BS!L43</f>
        <v>151693.77747717281</v>
      </c>
      <c r="K9" s="307"/>
      <c r="L9" s="309"/>
      <c r="M9" s="311"/>
      <c r="N9" s="305"/>
      <c r="O9" s="12">
        <f>+BS!M43</f>
        <v>234876.05653604114</v>
      </c>
      <c r="P9" s="307"/>
      <c r="Q9" s="309"/>
      <c r="R9" s="311"/>
      <c r="S9" s="305"/>
      <c r="T9" s="12">
        <f>+BS!N43</f>
        <v>196880.23819661731</v>
      </c>
      <c r="U9" s="307"/>
      <c r="V9" s="309"/>
      <c r="W9" s="311"/>
      <c r="X9" s="305"/>
      <c r="Y9" s="12">
        <f>+BS!O43</f>
        <v>194715.75434787461</v>
      </c>
      <c r="Z9" s="307"/>
      <c r="AA9" s="309"/>
      <c r="AB9" s="311"/>
      <c r="AC9" s="305"/>
      <c r="AD9" s="12">
        <f>+BS!P43</f>
        <v>213066.16336647802</v>
      </c>
      <c r="AE9" s="307"/>
      <c r="AF9" s="309"/>
      <c r="AG9" s="311"/>
      <c r="AH9" s="305"/>
      <c r="AI9" s="12">
        <f>+BS!Q43</f>
        <v>230511.5034242344</v>
      </c>
      <c r="AJ9" s="307"/>
      <c r="AK9" s="309"/>
      <c r="AL9" s="311"/>
      <c r="AM9" s="305"/>
      <c r="AN9" s="12">
        <f>+BS!R43</f>
        <v>163658.89093449863</v>
      </c>
      <c r="AO9" s="307"/>
      <c r="AP9" s="309"/>
      <c r="AQ9" s="311"/>
      <c r="AR9" s="305"/>
      <c r="AS9" s="12">
        <f>+BS!S43</f>
        <v>169502.7581893882</v>
      </c>
      <c r="AT9" s="307"/>
      <c r="AU9" s="309"/>
      <c r="AV9" s="311"/>
      <c r="AW9" s="305"/>
      <c r="AX9" s="12">
        <f>+BS!T43</f>
        <v>124469.13049434198</v>
      </c>
      <c r="AY9" s="307"/>
      <c r="AZ9" s="309"/>
      <c r="BA9" s="311"/>
      <c r="BB9" s="305"/>
      <c r="BC9" s="12">
        <f>+BS!U43</f>
        <v>213990.93283555479</v>
      </c>
      <c r="BD9" s="307"/>
      <c r="BE9" s="309"/>
      <c r="BF9" s="311"/>
      <c r="BG9" s="305"/>
      <c r="BH9" s="12">
        <f>+BS!V43</f>
        <v>229503.14756122368</v>
      </c>
      <c r="BI9" s="307"/>
      <c r="BJ9" s="309"/>
      <c r="BK9" s="311"/>
      <c r="BL9" s="305"/>
      <c r="BM9" s="12">
        <f>+BS!W43</f>
        <v>220457.3063183683</v>
      </c>
      <c r="BN9" s="307"/>
      <c r="BO9" s="309"/>
      <c r="BP9" s="311"/>
      <c r="BQ9" s="305"/>
      <c r="BR9" s="12">
        <f>+BS!X43</f>
        <v>247024.11725563827</v>
      </c>
      <c r="BS9" s="307"/>
      <c r="BT9" s="309"/>
      <c r="BU9" s="311"/>
      <c r="BV9" s="305"/>
      <c r="BW9" s="12">
        <f>+BS!Y43</f>
        <v>284583.30241205147</v>
      </c>
      <c r="BX9" s="307"/>
      <c r="BY9" s="309"/>
      <c r="BZ9" s="311"/>
      <c r="CA9" s="305"/>
      <c r="CB9" s="12">
        <f>+BS!Z43</f>
        <v>319656.20687728823</v>
      </c>
      <c r="CC9" s="307"/>
      <c r="CD9" s="309"/>
      <c r="CE9" s="311"/>
      <c r="CF9" s="305"/>
      <c r="CG9" s="12">
        <f>+BS!AA43</f>
        <v>465821.04275412089</v>
      </c>
      <c r="CH9" s="307"/>
      <c r="CI9" s="309"/>
      <c r="CJ9" s="311"/>
      <c r="CK9" s="305"/>
      <c r="CL9" s="12">
        <f>+BS!AB43</f>
        <v>370889.41554199264</v>
      </c>
      <c r="CM9" s="307"/>
      <c r="CN9" s="309"/>
      <c r="CO9" s="311"/>
      <c r="CP9" s="305"/>
      <c r="CQ9" s="12">
        <f>+BS!AC43</f>
        <v>328240.62742086849</v>
      </c>
      <c r="CR9" s="307"/>
      <c r="CS9" s="309"/>
      <c r="CT9" s="311"/>
    </row>
    <row r="10" spans="1:98" ht="18" customHeight="1" x14ac:dyDescent="0.2">
      <c r="A10" s="327" t="s">
        <v>115</v>
      </c>
      <c r="B10" s="328"/>
      <c r="C10" s="329"/>
      <c r="D10" s="13"/>
      <c r="E10" s="14"/>
      <c r="F10" s="13"/>
      <c r="G10" s="13"/>
      <c r="H10" s="15"/>
      <c r="I10" s="13"/>
      <c r="J10" s="14"/>
      <c r="K10" s="13"/>
      <c r="L10" s="13"/>
      <c r="M10" s="15"/>
      <c r="N10" s="13"/>
      <c r="O10" s="14"/>
      <c r="P10" s="13"/>
      <c r="Q10" s="13"/>
      <c r="R10" s="15"/>
      <c r="S10" s="13"/>
      <c r="T10" s="14"/>
      <c r="U10" s="13"/>
      <c r="V10" s="13"/>
      <c r="W10" s="15"/>
      <c r="X10" s="13"/>
      <c r="Y10" s="14"/>
      <c r="Z10" s="13"/>
      <c r="AA10" s="13"/>
      <c r="AB10" s="15"/>
      <c r="AC10" s="13"/>
      <c r="AD10" s="14"/>
      <c r="AE10" s="13"/>
      <c r="AF10" s="13"/>
      <c r="AG10" s="15"/>
      <c r="AH10" s="13"/>
      <c r="AI10" s="14"/>
      <c r="AJ10" s="13"/>
      <c r="AK10" s="13"/>
      <c r="AL10" s="15"/>
      <c r="AM10" s="13"/>
      <c r="AN10" s="14"/>
      <c r="AO10" s="13"/>
      <c r="AP10" s="13"/>
      <c r="AQ10" s="15"/>
      <c r="AR10" s="13"/>
      <c r="AS10" s="14"/>
      <c r="AT10" s="13"/>
      <c r="AU10" s="13"/>
      <c r="AV10" s="15"/>
      <c r="AW10" s="13"/>
      <c r="AX10" s="14"/>
      <c r="AY10" s="13"/>
      <c r="AZ10" s="13"/>
      <c r="BA10" s="15"/>
      <c r="BB10" s="13"/>
      <c r="BC10" s="14"/>
      <c r="BD10" s="13"/>
      <c r="BE10" s="13"/>
      <c r="BF10" s="15"/>
      <c r="BG10" s="13"/>
      <c r="BH10" s="14"/>
      <c r="BI10" s="13"/>
      <c r="BJ10" s="13"/>
      <c r="BK10" s="15"/>
      <c r="BL10" s="13"/>
      <c r="BM10" s="14"/>
      <c r="BN10" s="13"/>
      <c r="BO10" s="13"/>
      <c r="BP10" s="15"/>
      <c r="BQ10" s="13"/>
      <c r="BR10" s="14"/>
      <c r="BS10" s="13"/>
      <c r="BT10" s="13"/>
      <c r="BU10" s="15"/>
      <c r="BV10" s="13"/>
      <c r="BW10" s="14"/>
      <c r="BX10" s="13"/>
      <c r="BY10" s="13"/>
      <c r="BZ10" s="15"/>
      <c r="CA10" s="13"/>
      <c r="CB10" s="14"/>
      <c r="CC10" s="13"/>
      <c r="CD10" s="13"/>
      <c r="CE10" s="15"/>
      <c r="CF10" s="13"/>
      <c r="CG10" s="14"/>
      <c r="CH10" s="13"/>
      <c r="CI10" s="13"/>
      <c r="CJ10" s="15"/>
      <c r="CK10" s="13"/>
      <c r="CL10" s="14"/>
      <c r="CM10" s="13"/>
      <c r="CN10" s="13"/>
      <c r="CO10" s="15"/>
      <c r="CP10" s="13"/>
      <c r="CQ10" s="14"/>
      <c r="CR10" s="13"/>
      <c r="CS10" s="13"/>
      <c r="CT10" s="15"/>
    </row>
    <row r="11" spans="1:98" ht="18" customHeight="1" x14ac:dyDescent="0.2">
      <c r="A11" s="16"/>
      <c r="B11" s="320" t="s">
        <v>116</v>
      </c>
      <c r="C11" s="322" t="s">
        <v>117</v>
      </c>
      <c r="D11" s="304"/>
      <c r="E11" s="10">
        <f>+PL!K41</f>
        <v>155477.87787125295</v>
      </c>
      <c r="F11" s="306" t="s">
        <v>118</v>
      </c>
      <c r="G11" s="308">
        <v>100</v>
      </c>
      <c r="H11" s="310">
        <f>IF(E12=0,"-",(E11/E12)*G11)</f>
        <v>15.108882380535832</v>
      </c>
      <c r="I11" s="304"/>
      <c r="J11" s="10">
        <f>+PL!L41</f>
        <v>116197.58200879279</v>
      </c>
      <c r="K11" s="306" t="s">
        <v>111</v>
      </c>
      <c r="L11" s="308">
        <v>100</v>
      </c>
      <c r="M11" s="310">
        <f>IF(J12=0,"-",(J11/J12)*L11)</f>
        <v>14.659559376449957</v>
      </c>
      <c r="N11" s="304"/>
      <c r="O11" s="10">
        <f>+PL!M41</f>
        <v>138184.64476992516</v>
      </c>
      <c r="P11" s="306" t="s">
        <v>111</v>
      </c>
      <c r="Q11" s="308">
        <v>100</v>
      </c>
      <c r="R11" s="310">
        <f>IF(O12=0,"-",(O11/O12)*Q11)</f>
        <v>16.587782684228848</v>
      </c>
      <c r="S11" s="304"/>
      <c r="T11" s="10">
        <f>+PL!N41</f>
        <v>121856.6151885296</v>
      </c>
      <c r="U11" s="306" t="s">
        <v>111</v>
      </c>
      <c r="V11" s="308">
        <v>100</v>
      </c>
      <c r="W11" s="310">
        <f>IF(T12=0,"-",(T11/T12)*V11)</f>
        <v>14.715840265279073</v>
      </c>
      <c r="X11" s="304"/>
      <c r="Y11" s="10">
        <f>+PL!O41</f>
        <v>118192.84219491843</v>
      </c>
      <c r="Z11" s="306" t="s">
        <v>111</v>
      </c>
      <c r="AA11" s="308">
        <v>100</v>
      </c>
      <c r="AB11" s="310">
        <f>IF(Y12=0,"-",(Y11/Y12)*AA11)</f>
        <v>14.742680227350613</v>
      </c>
      <c r="AC11" s="304"/>
      <c r="AD11" s="10">
        <f>+PL!P41</f>
        <v>101457.0164231502</v>
      </c>
      <c r="AE11" s="306" t="s">
        <v>111</v>
      </c>
      <c r="AF11" s="308">
        <v>100</v>
      </c>
      <c r="AG11" s="310">
        <f>IF(AD12=0,"-",(AD11/AD12)*AF11)</f>
        <v>11.004111077372086</v>
      </c>
      <c r="AH11" s="304"/>
      <c r="AI11" s="10">
        <f>+PL!Q41</f>
        <v>77649.250732335262</v>
      </c>
      <c r="AJ11" s="306" t="s">
        <v>118</v>
      </c>
      <c r="AK11" s="308">
        <v>100</v>
      </c>
      <c r="AL11" s="310">
        <f>IF(AI12=0,"-",(AI11/AI12)*AK11)</f>
        <v>11.769270524494855</v>
      </c>
      <c r="AM11" s="304"/>
      <c r="AN11" s="10">
        <f>+PL!R41</f>
        <v>77121.06066237537</v>
      </c>
      <c r="AO11" s="306" t="s">
        <v>119</v>
      </c>
      <c r="AP11" s="308">
        <v>100</v>
      </c>
      <c r="AQ11" s="310">
        <f>IF(AN12=0,"-",(AN11/AN12)*AP11)</f>
        <v>12.905415288289065</v>
      </c>
      <c r="AR11" s="304"/>
      <c r="AS11" s="10">
        <f>+PL!S41</f>
        <v>87846.097781635166</v>
      </c>
      <c r="AT11" s="306" t="s">
        <v>111</v>
      </c>
      <c r="AU11" s="308">
        <v>100</v>
      </c>
      <c r="AV11" s="310">
        <f>IF(AS12=0,"-",(AS11/AS12)*AU11)</f>
        <v>15.62697718408686</v>
      </c>
      <c r="AW11" s="304"/>
      <c r="AX11" s="10">
        <f>+PL!T41</f>
        <v>78739.312488092022</v>
      </c>
      <c r="AY11" s="306" t="s">
        <v>111</v>
      </c>
      <c r="AZ11" s="308">
        <v>100</v>
      </c>
      <c r="BA11" s="310">
        <f>IF(AX12=0,"-",(AX11/AX12)*AZ11)</f>
        <v>19.578618406294336</v>
      </c>
      <c r="BB11" s="304"/>
      <c r="BC11" s="10">
        <f>+PL!U41</f>
        <v>101390.18439640115</v>
      </c>
      <c r="BD11" s="306" t="s">
        <v>111</v>
      </c>
      <c r="BE11" s="308">
        <v>100</v>
      </c>
      <c r="BF11" s="310">
        <f>IF(BC12=0,"-",(BC11/BC12)*BE11)</f>
        <v>14.09219006491918</v>
      </c>
      <c r="BG11" s="304"/>
      <c r="BH11" s="10">
        <f>+PL!V41</f>
        <v>105270.2720705965</v>
      </c>
      <c r="BI11" s="306" t="s">
        <v>111</v>
      </c>
      <c r="BJ11" s="308">
        <v>100</v>
      </c>
      <c r="BK11" s="310">
        <f>IF(BH12=0,"-",(BH11/BH12)*BJ11)</f>
        <v>13.903110006705313</v>
      </c>
      <c r="BL11" s="304"/>
      <c r="BM11" s="10">
        <f>+PL!W41</f>
        <v>99283.942154162607</v>
      </c>
      <c r="BN11" s="306" t="s">
        <v>111</v>
      </c>
      <c r="BO11" s="308">
        <v>100</v>
      </c>
      <c r="BP11" s="310">
        <f>IF(BM12=0,"-",(BM11/BM12)*BO11)</f>
        <v>12.475576921063299</v>
      </c>
      <c r="BQ11" s="304"/>
      <c r="BR11" s="10">
        <f>+PL!X41</f>
        <v>99864.273896276325</v>
      </c>
      <c r="BS11" s="306" t="s">
        <v>111</v>
      </c>
      <c r="BT11" s="308">
        <v>100</v>
      </c>
      <c r="BU11" s="310">
        <f>IF(BR12=0,"-",(BR11/BR12)*BT11)</f>
        <v>13.133100421747205</v>
      </c>
      <c r="BV11" s="304"/>
      <c r="BW11" s="10">
        <f>+PL!Y41</f>
        <v>115762.20462165831</v>
      </c>
      <c r="BX11" s="306" t="s">
        <v>111</v>
      </c>
      <c r="BY11" s="308">
        <v>100</v>
      </c>
      <c r="BZ11" s="310">
        <f>IF(BW12=0,"-",(BW11/BW12)*BY11)</f>
        <v>15.209672069823124</v>
      </c>
      <c r="CA11" s="304"/>
      <c r="CB11" s="10">
        <f>+PL!Z41</f>
        <v>123690.27025246824</v>
      </c>
      <c r="CC11" s="306" t="s">
        <v>111</v>
      </c>
      <c r="CD11" s="308">
        <v>100</v>
      </c>
      <c r="CE11" s="310">
        <f>IF(CB12=0,"-",(CB11/CB12)*CD11)</f>
        <v>14.281529703090879</v>
      </c>
      <c r="CF11" s="304"/>
      <c r="CG11" s="10">
        <f>+PL!AA41</f>
        <v>109089.29764766483</v>
      </c>
      <c r="CH11" s="306" t="s">
        <v>119</v>
      </c>
      <c r="CI11" s="308">
        <v>100</v>
      </c>
      <c r="CJ11" s="310">
        <f>IF(CG12=0,"-",(CG11/CG12)*CI11)</f>
        <v>12.795895942759866</v>
      </c>
      <c r="CK11" s="304"/>
      <c r="CL11" s="10">
        <f>+PL!AB41</f>
        <v>105795.61016074961</v>
      </c>
      <c r="CM11" s="306" t="s">
        <v>111</v>
      </c>
      <c r="CN11" s="308">
        <v>100</v>
      </c>
      <c r="CO11" s="310">
        <f>IF(CL12=0,"-",(CL11/CL12)*CN11)</f>
        <v>11.982528366106804</v>
      </c>
      <c r="CP11" s="304"/>
      <c r="CQ11" s="10">
        <f>+PL!AC41</f>
        <v>119880.72630321645</v>
      </c>
      <c r="CR11" s="306" t="s">
        <v>111</v>
      </c>
      <c r="CS11" s="308">
        <v>100</v>
      </c>
      <c r="CT11" s="310">
        <f>IF(CQ12=0,"-",(CQ11/CQ12)*CS11)</f>
        <v>13.881700528886151</v>
      </c>
    </row>
    <row r="12" spans="1:98" ht="18" customHeight="1" x14ac:dyDescent="0.2">
      <c r="A12" s="16"/>
      <c r="B12" s="321"/>
      <c r="C12" s="323"/>
      <c r="D12" s="305"/>
      <c r="E12" s="12">
        <f>+PL!K6</f>
        <v>1029049.49522639</v>
      </c>
      <c r="F12" s="307"/>
      <c r="G12" s="309"/>
      <c r="H12" s="311"/>
      <c r="I12" s="305"/>
      <c r="J12" s="12">
        <f>+PL!L6</f>
        <v>792640.34494420025</v>
      </c>
      <c r="K12" s="307"/>
      <c r="L12" s="309"/>
      <c r="M12" s="311"/>
      <c r="N12" s="305"/>
      <c r="O12" s="12">
        <f>+PL!M6</f>
        <v>833050.73016966193</v>
      </c>
      <c r="P12" s="307"/>
      <c r="Q12" s="309"/>
      <c r="R12" s="311"/>
      <c r="S12" s="305"/>
      <c r="T12" s="12">
        <f>+PL!N6</f>
        <v>828064.26946642785</v>
      </c>
      <c r="U12" s="307"/>
      <c r="V12" s="309"/>
      <c r="W12" s="311"/>
      <c r="X12" s="305"/>
      <c r="Y12" s="12">
        <f>+PL!O6</f>
        <v>801705.25557250518</v>
      </c>
      <c r="Z12" s="307"/>
      <c r="AA12" s="309"/>
      <c r="AB12" s="311"/>
      <c r="AC12" s="305"/>
      <c r="AD12" s="12">
        <f>+PL!P6</f>
        <v>921991.9329220308</v>
      </c>
      <c r="AE12" s="307"/>
      <c r="AF12" s="309"/>
      <c r="AG12" s="311"/>
      <c r="AH12" s="305"/>
      <c r="AI12" s="12">
        <f>+PL!Q6</f>
        <v>659762.64689240814</v>
      </c>
      <c r="AJ12" s="307"/>
      <c r="AK12" s="309"/>
      <c r="AL12" s="311"/>
      <c r="AM12" s="305"/>
      <c r="AN12" s="12">
        <f>+PL!R6</f>
        <v>597586.81870825472</v>
      </c>
      <c r="AO12" s="307"/>
      <c r="AP12" s="309"/>
      <c r="AQ12" s="311"/>
      <c r="AR12" s="305"/>
      <c r="AS12" s="12">
        <f>+PL!S6</f>
        <v>562143.89223713661</v>
      </c>
      <c r="AT12" s="307"/>
      <c r="AU12" s="309"/>
      <c r="AV12" s="311"/>
      <c r="AW12" s="305"/>
      <c r="AX12" s="12">
        <f>+PL!T6</f>
        <v>402169.91237123299</v>
      </c>
      <c r="AY12" s="307"/>
      <c r="AZ12" s="309"/>
      <c r="BA12" s="311"/>
      <c r="BB12" s="305"/>
      <c r="BC12" s="12">
        <f>+PL!U6</f>
        <v>719477.8379323727</v>
      </c>
      <c r="BD12" s="307"/>
      <c r="BE12" s="309"/>
      <c r="BF12" s="311"/>
      <c r="BG12" s="305"/>
      <c r="BH12" s="12">
        <f>+PL!V6</f>
        <v>757170.67634382402</v>
      </c>
      <c r="BI12" s="307"/>
      <c r="BJ12" s="309"/>
      <c r="BK12" s="311"/>
      <c r="BL12" s="305"/>
      <c r="BM12" s="12">
        <f>+PL!W6</f>
        <v>795826.45982916676</v>
      </c>
      <c r="BN12" s="307"/>
      <c r="BO12" s="309"/>
      <c r="BP12" s="311"/>
      <c r="BQ12" s="305"/>
      <c r="BR12" s="12">
        <f>+PL!X6</f>
        <v>760401.3575568971</v>
      </c>
      <c r="BS12" s="307"/>
      <c r="BT12" s="309"/>
      <c r="BU12" s="311"/>
      <c r="BV12" s="305"/>
      <c r="BW12" s="12">
        <f>+PL!Y6</f>
        <v>761109.14219733421</v>
      </c>
      <c r="BX12" s="307"/>
      <c r="BY12" s="309"/>
      <c r="BZ12" s="311"/>
      <c r="CA12" s="305"/>
      <c r="CB12" s="12">
        <f>+PL!Z6</f>
        <v>866085.58623589599</v>
      </c>
      <c r="CC12" s="307"/>
      <c r="CD12" s="309"/>
      <c r="CE12" s="311"/>
      <c r="CF12" s="305"/>
      <c r="CG12" s="12">
        <f>+PL!AA6</f>
        <v>852533.48523351655</v>
      </c>
      <c r="CH12" s="307"/>
      <c r="CI12" s="309"/>
      <c r="CJ12" s="311"/>
      <c r="CK12" s="305"/>
      <c r="CL12" s="12">
        <f>+PL!AB6</f>
        <v>882915.58282472275</v>
      </c>
      <c r="CM12" s="307"/>
      <c r="CN12" s="309"/>
      <c r="CO12" s="311"/>
      <c r="CP12" s="305"/>
      <c r="CQ12" s="12">
        <f>+PL!AC6</f>
        <v>863588.18974490231</v>
      </c>
      <c r="CR12" s="307"/>
      <c r="CS12" s="309"/>
      <c r="CT12" s="311"/>
    </row>
    <row r="13" spans="1:98" ht="18" customHeight="1" x14ac:dyDescent="0.2">
      <c r="A13" s="17"/>
      <c r="B13" s="320" t="s">
        <v>120</v>
      </c>
      <c r="C13" s="322" t="s">
        <v>117</v>
      </c>
      <c r="D13" s="304"/>
      <c r="E13" s="10">
        <f>+PL!K42</f>
        <v>34273.196899514995</v>
      </c>
      <c r="F13" s="306" t="s">
        <v>121</v>
      </c>
      <c r="G13" s="308">
        <v>100</v>
      </c>
      <c r="H13" s="310">
        <f>IF(E14=0,"-",(E13/E14)*G13)</f>
        <v>3.3305683602687082</v>
      </c>
      <c r="I13" s="304"/>
      <c r="J13" s="10">
        <f>+PL!L42</f>
        <v>11643.895840378827</v>
      </c>
      <c r="K13" s="306" t="s">
        <v>111</v>
      </c>
      <c r="L13" s="308">
        <v>100</v>
      </c>
      <c r="M13" s="310">
        <f>IF(J14=0,"-",(J13/J14)*L13)</f>
        <v>1.469001157290136</v>
      </c>
      <c r="N13" s="304"/>
      <c r="O13" s="10">
        <f>+PL!M42</f>
        <v>29655.115108928643</v>
      </c>
      <c r="P13" s="306" t="s">
        <v>111</v>
      </c>
      <c r="Q13" s="308">
        <v>100</v>
      </c>
      <c r="R13" s="310">
        <f>IF(O14=0,"-",(O13/O14)*Q13)</f>
        <v>3.5598210330947051</v>
      </c>
      <c r="S13" s="304"/>
      <c r="T13" s="10">
        <f>+PL!N42</f>
        <v>26495.318308094866</v>
      </c>
      <c r="U13" s="306" t="s">
        <v>111</v>
      </c>
      <c r="V13" s="308">
        <v>100</v>
      </c>
      <c r="W13" s="310">
        <f>IF(T14=0,"-",(T13/T14)*V13)</f>
        <v>3.1996693113165491</v>
      </c>
      <c r="X13" s="304"/>
      <c r="Y13" s="10">
        <f>+PL!O42</f>
        <v>21820.961537866504</v>
      </c>
      <c r="Z13" s="306" t="s">
        <v>111</v>
      </c>
      <c r="AA13" s="308">
        <v>100</v>
      </c>
      <c r="AB13" s="310">
        <f>IF(Y14=0,"-",(Y13/Y14)*AA13)</f>
        <v>2.7218184471403961</v>
      </c>
      <c r="AC13" s="304"/>
      <c r="AD13" s="10">
        <f>+PL!P42</f>
        <v>10615.057059120038</v>
      </c>
      <c r="AE13" s="306" t="s">
        <v>111</v>
      </c>
      <c r="AF13" s="308">
        <v>100</v>
      </c>
      <c r="AG13" s="310">
        <f>IF(AD14=0,"-",(AD13/AD14)*AF13)</f>
        <v>1.1513177805664934</v>
      </c>
      <c r="AH13" s="304"/>
      <c r="AI13" s="10">
        <f>+PL!Q42</f>
        <v>-5720.5274381988838</v>
      </c>
      <c r="AJ13" s="306" t="s">
        <v>121</v>
      </c>
      <c r="AK13" s="308">
        <v>100</v>
      </c>
      <c r="AL13" s="310">
        <f>IF(AI14=0,"-",(AI13/AI14)*AK13)</f>
        <v>-0.86705839821995379</v>
      </c>
      <c r="AM13" s="304"/>
      <c r="AN13" s="10">
        <f>+PL!R42</f>
        <v>15572.303212306466</v>
      </c>
      <c r="AO13" s="306" t="s">
        <v>118</v>
      </c>
      <c r="AP13" s="308">
        <v>100</v>
      </c>
      <c r="AQ13" s="310">
        <f>IF(AN14=0,"-",(AN13/AN14)*AP13)</f>
        <v>2.605864574785568</v>
      </c>
      <c r="AR13" s="304"/>
      <c r="AS13" s="10">
        <f>+PL!S42</f>
        <v>14829.407960750677</v>
      </c>
      <c r="AT13" s="306" t="s">
        <v>111</v>
      </c>
      <c r="AU13" s="308">
        <v>100</v>
      </c>
      <c r="AV13" s="310">
        <f>IF(AS14=0,"-",(AS13/AS14)*AU13)</f>
        <v>2.6380092651607057</v>
      </c>
      <c r="AW13" s="304"/>
      <c r="AX13" s="10">
        <f>+PL!T42</f>
        <v>10929.281830871134</v>
      </c>
      <c r="AY13" s="306" t="s">
        <v>111</v>
      </c>
      <c r="AZ13" s="308">
        <v>100</v>
      </c>
      <c r="BA13" s="310">
        <f>IF(AX14=0,"-",(AX13/AX14)*AZ13)</f>
        <v>2.7175781913746415</v>
      </c>
      <c r="BB13" s="304"/>
      <c r="BC13" s="10">
        <f>+PL!U42</f>
        <v>24441.410992555953</v>
      </c>
      <c r="BD13" s="306" t="s">
        <v>111</v>
      </c>
      <c r="BE13" s="308">
        <v>100</v>
      </c>
      <c r="BF13" s="310">
        <f>IF(BC14=0,"-",(BC13/BC14)*BE13)</f>
        <v>3.3971040807588184</v>
      </c>
      <c r="BG13" s="304"/>
      <c r="BH13" s="10">
        <f>+PL!V42</f>
        <v>22774.960269996802</v>
      </c>
      <c r="BI13" s="306" t="s">
        <v>111</v>
      </c>
      <c r="BJ13" s="308">
        <v>100</v>
      </c>
      <c r="BK13" s="310">
        <f>IF(BH14=0,"-",(BH13/BH14)*BJ13)</f>
        <v>3.0079031031644057</v>
      </c>
      <c r="BL13" s="304"/>
      <c r="BM13" s="10">
        <f>+PL!W42</f>
        <v>18698.309246235993</v>
      </c>
      <c r="BN13" s="306" t="s">
        <v>111</v>
      </c>
      <c r="BO13" s="308">
        <v>100</v>
      </c>
      <c r="BP13" s="310">
        <f>IF(BM14=0,"-",(BM13/BM14)*BO13)</f>
        <v>2.3495460618700461</v>
      </c>
      <c r="BQ13" s="304"/>
      <c r="BR13" s="10">
        <f>+PL!X42</f>
        <v>23380.273491645799</v>
      </c>
      <c r="BS13" s="306" t="s">
        <v>111</v>
      </c>
      <c r="BT13" s="308">
        <v>100</v>
      </c>
      <c r="BU13" s="310">
        <f>IF(BR14=0,"-",(BR13/BR14)*BT13)</f>
        <v>3.074728005058351</v>
      </c>
      <c r="BV13" s="304"/>
      <c r="BW13" s="10">
        <f>+PL!Y42</f>
        <v>29526.198929435017</v>
      </c>
      <c r="BX13" s="306" t="s">
        <v>111</v>
      </c>
      <c r="BY13" s="308">
        <v>100</v>
      </c>
      <c r="BZ13" s="310">
        <f>IF(BW14=0,"-",(BW13/BW14)*BY13)</f>
        <v>3.8793646393725361</v>
      </c>
      <c r="CA13" s="304"/>
      <c r="CB13" s="10">
        <f>+PL!Z42</f>
        <v>25452.029889026253</v>
      </c>
      <c r="CC13" s="306" t="s">
        <v>111</v>
      </c>
      <c r="CD13" s="308">
        <v>100</v>
      </c>
      <c r="CE13" s="310">
        <f>IF(CB14=0,"-",(CB13/CB14)*CD13)</f>
        <v>2.9387430403551225</v>
      </c>
      <c r="CF13" s="304"/>
      <c r="CG13" s="10">
        <f>+PL!AA42</f>
        <v>14916.701579670329</v>
      </c>
      <c r="CH13" s="306" t="s">
        <v>118</v>
      </c>
      <c r="CI13" s="308">
        <v>100</v>
      </c>
      <c r="CJ13" s="310">
        <f>IF(CG14=0,"-",(CG13/CG14)*CI13)</f>
        <v>1.7496909902118989</v>
      </c>
      <c r="CK13" s="304"/>
      <c r="CL13" s="10">
        <f>+PL!AB42</f>
        <v>6444.6221954783796</v>
      </c>
      <c r="CM13" s="306" t="s">
        <v>111</v>
      </c>
      <c r="CN13" s="308">
        <v>100</v>
      </c>
      <c r="CO13" s="310">
        <f>IF(CL14=0,"-",(CL13/CL14)*CN13)</f>
        <v>0.72992507107644644</v>
      </c>
      <c r="CP13" s="304"/>
      <c r="CQ13" s="10">
        <f>+PL!AC42</f>
        <v>19039.015698319257</v>
      </c>
      <c r="CR13" s="306" t="s">
        <v>111</v>
      </c>
      <c r="CS13" s="308">
        <v>100</v>
      </c>
      <c r="CT13" s="310">
        <f>IF(CQ14=0,"-",(CQ13/CQ14)*CS13)</f>
        <v>2.204640582676709</v>
      </c>
    </row>
    <row r="14" spans="1:98" ht="18" customHeight="1" x14ac:dyDescent="0.2">
      <c r="A14" s="17"/>
      <c r="B14" s="321"/>
      <c r="C14" s="323"/>
      <c r="D14" s="305"/>
      <c r="E14" s="12">
        <f>+E12</f>
        <v>1029049.49522639</v>
      </c>
      <c r="F14" s="307"/>
      <c r="G14" s="309"/>
      <c r="H14" s="311"/>
      <c r="I14" s="305"/>
      <c r="J14" s="12">
        <f>+J12</f>
        <v>792640.34494420025</v>
      </c>
      <c r="K14" s="307"/>
      <c r="L14" s="309"/>
      <c r="M14" s="311"/>
      <c r="N14" s="305"/>
      <c r="O14" s="12">
        <f>+O12</f>
        <v>833050.73016966193</v>
      </c>
      <c r="P14" s="307"/>
      <c r="Q14" s="309"/>
      <c r="R14" s="311"/>
      <c r="S14" s="305"/>
      <c r="T14" s="12">
        <f>+T12</f>
        <v>828064.26946642785</v>
      </c>
      <c r="U14" s="307"/>
      <c r="V14" s="309"/>
      <c r="W14" s="311"/>
      <c r="X14" s="305"/>
      <c r="Y14" s="12">
        <f>+Y12</f>
        <v>801705.25557250518</v>
      </c>
      <c r="Z14" s="307"/>
      <c r="AA14" s="309"/>
      <c r="AB14" s="311"/>
      <c r="AC14" s="305"/>
      <c r="AD14" s="12">
        <f>+AD12</f>
        <v>921991.9329220308</v>
      </c>
      <c r="AE14" s="307"/>
      <c r="AF14" s="309"/>
      <c r="AG14" s="311"/>
      <c r="AH14" s="305"/>
      <c r="AI14" s="12">
        <f>+AI12</f>
        <v>659762.64689240814</v>
      </c>
      <c r="AJ14" s="307"/>
      <c r="AK14" s="309"/>
      <c r="AL14" s="311"/>
      <c r="AM14" s="305"/>
      <c r="AN14" s="12">
        <f>+AN12</f>
        <v>597586.81870825472</v>
      </c>
      <c r="AO14" s="307"/>
      <c r="AP14" s="309"/>
      <c r="AQ14" s="311"/>
      <c r="AR14" s="305"/>
      <c r="AS14" s="12">
        <f>+AS12</f>
        <v>562143.89223713661</v>
      </c>
      <c r="AT14" s="307"/>
      <c r="AU14" s="309"/>
      <c r="AV14" s="311"/>
      <c r="AW14" s="305"/>
      <c r="AX14" s="12">
        <f>+AX12</f>
        <v>402169.91237123299</v>
      </c>
      <c r="AY14" s="307"/>
      <c r="AZ14" s="309"/>
      <c r="BA14" s="311"/>
      <c r="BB14" s="305"/>
      <c r="BC14" s="12">
        <f>+BC12</f>
        <v>719477.8379323727</v>
      </c>
      <c r="BD14" s="307"/>
      <c r="BE14" s="309"/>
      <c r="BF14" s="311"/>
      <c r="BG14" s="305"/>
      <c r="BH14" s="12">
        <f>+BH12</f>
        <v>757170.67634382402</v>
      </c>
      <c r="BI14" s="307"/>
      <c r="BJ14" s="309"/>
      <c r="BK14" s="311"/>
      <c r="BL14" s="305"/>
      <c r="BM14" s="12">
        <f>+BM12</f>
        <v>795826.45982916676</v>
      </c>
      <c r="BN14" s="307"/>
      <c r="BO14" s="309"/>
      <c r="BP14" s="311"/>
      <c r="BQ14" s="305"/>
      <c r="BR14" s="12">
        <f>+BR12</f>
        <v>760401.3575568971</v>
      </c>
      <c r="BS14" s="307"/>
      <c r="BT14" s="309"/>
      <c r="BU14" s="311"/>
      <c r="BV14" s="305"/>
      <c r="BW14" s="12">
        <f>+BW12</f>
        <v>761109.14219733421</v>
      </c>
      <c r="BX14" s="307"/>
      <c r="BY14" s="309"/>
      <c r="BZ14" s="311"/>
      <c r="CA14" s="305"/>
      <c r="CB14" s="12">
        <f>+CB12</f>
        <v>866085.58623589599</v>
      </c>
      <c r="CC14" s="307"/>
      <c r="CD14" s="309"/>
      <c r="CE14" s="311"/>
      <c r="CF14" s="305"/>
      <c r="CG14" s="12">
        <f>+CG12</f>
        <v>852533.48523351655</v>
      </c>
      <c r="CH14" s="307"/>
      <c r="CI14" s="309"/>
      <c r="CJ14" s="311"/>
      <c r="CK14" s="305"/>
      <c r="CL14" s="12">
        <f>+CL12</f>
        <v>882915.58282472275</v>
      </c>
      <c r="CM14" s="307"/>
      <c r="CN14" s="309"/>
      <c r="CO14" s="311"/>
      <c r="CP14" s="305"/>
      <c r="CQ14" s="12">
        <f>+CQ12</f>
        <v>863588.18974490231</v>
      </c>
      <c r="CR14" s="307"/>
      <c r="CS14" s="309"/>
      <c r="CT14" s="311"/>
    </row>
    <row r="15" spans="1:98" ht="18" customHeight="1" x14ac:dyDescent="0.2">
      <c r="A15" s="17"/>
      <c r="B15" s="320" t="s">
        <v>122</v>
      </c>
      <c r="C15" s="322" t="s">
        <v>117</v>
      </c>
      <c r="D15" s="304"/>
      <c r="E15" s="10">
        <f>+PL!K34</f>
        <v>36680.219302391604</v>
      </c>
      <c r="F15" s="306" t="s">
        <v>123</v>
      </c>
      <c r="G15" s="308">
        <v>100</v>
      </c>
      <c r="H15" s="310">
        <f>IF(E16=0,"-",(E15/E16)*G15)</f>
        <v>3.5644757101136313</v>
      </c>
      <c r="I15" s="304"/>
      <c r="J15" s="10">
        <f>+PL!L34</f>
        <v>23439.972945552923</v>
      </c>
      <c r="K15" s="306" t="s">
        <v>111</v>
      </c>
      <c r="L15" s="308">
        <v>100</v>
      </c>
      <c r="M15" s="310">
        <f>IF(J16=0,"-",(J15/J16)*L15)</f>
        <v>2.957201597807015</v>
      </c>
      <c r="N15" s="304"/>
      <c r="O15" s="10">
        <f>+PL!M34</f>
        <v>35253.252258014058</v>
      </c>
      <c r="P15" s="306" t="s">
        <v>111</v>
      </c>
      <c r="Q15" s="308">
        <v>100</v>
      </c>
      <c r="R15" s="310">
        <f>IF(O16=0,"-",(O15/O16)*Q15)</f>
        <v>4.2318253836515174</v>
      </c>
      <c r="S15" s="304"/>
      <c r="T15" s="10">
        <f>+PL!N34</f>
        <v>29271.720821107461</v>
      </c>
      <c r="U15" s="306" t="s">
        <v>111</v>
      </c>
      <c r="V15" s="308">
        <v>100</v>
      </c>
      <c r="W15" s="310">
        <f>IF(T16=0,"-",(T15/T16)*V15)</f>
        <v>3.5349575993623068</v>
      </c>
      <c r="X15" s="304"/>
      <c r="Y15" s="10">
        <f>+PL!O34</f>
        <v>29607.704240969095</v>
      </c>
      <c r="Z15" s="306" t="s">
        <v>111</v>
      </c>
      <c r="AA15" s="308">
        <v>100</v>
      </c>
      <c r="AB15" s="310">
        <f>IF(Y16=0,"-",(Y15/Y16)*AA15)</f>
        <v>3.6930909502178526</v>
      </c>
      <c r="AC15" s="304"/>
      <c r="AD15" s="10">
        <f>+PL!P34</f>
        <v>13705.028982010861</v>
      </c>
      <c r="AE15" s="306" t="s">
        <v>111</v>
      </c>
      <c r="AF15" s="308">
        <v>100</v>
      </c>
      <c r="AG15" s="310">
        <f>IF(AD16=0,"-",(AD15/AD16)*AF15)</f>
        <v>1.4864586654870267</v>
      </c>
      <c r="AH15" s="304"/>
      <c r="AI15" s="10">
        <f>+PL!Q34</f>
        <v>2357.4660602179861</v>
      </c>
      <c r="AJ15" s="306" t="s">
        <v>123</v>
      </c>
      <c r="AK15" s="308">
        <v>100</v>
      </c>
      <c r="AL15" s="310">
        <f>IF(AI16=0,"-",(AI15/AI16)*AK15)</f>
        <v>0.35732032895800386</v>
      </c>
      <c r="AM15" s="304"/>
      <c r="AN15" s="10">
        <f>+PL!R34</f>
        <v>18598.183865541032</v>
      </c>
      <c r="AO15" s="306" t="s">
        <v>123</v>
      </c>
      <c r="AP15" s="308">
        <v>100</v>
      </c>
      <c r="AQ15" s="310">
        <f>IF(AN16=0,"-",(AN15/AN16)*AP15)</f>
        <v>3.1122145407662964</v>
      </c>
      <c r="AR15" s="304"/>
      <c r="AS15" s="10">
        <f>+PL!S34</f>
        <v>20601.110010521905</v>
      </c>
      <c r="AT15" s="306" t="s">
        <v>111</v>
      </c>
      <c r="AU15" s="308">
        <v>100</v>
      </c>
      <c r="AV15" s="310">
        <f>IF(AS16=0,"-",(AS15/AS16)*AU15)</f>
        <v>3.6647396325052419</v>
      </c>
      <c r="AW15" s="304"/>
      <c r="AX15" s="10">
        <f>+PL!T34</f>
        <v>15208.823254356255</v>
      </c>
      <c r="AY15" s="306" t="s">
        <v>111</v>
      </c>
      <c r="AZ15" s="308">
        <v>100</v>
      </c>
      <c r="BA15" s="310">
        <f>IF(AX16=0,"-",(AX15/AX16)*AZ15)</f>
        <v>3.7816909685469886</v>
      </c>
      <c r="BB15" s="304"/>
      <c r="BC15" s="10">
        <f>+PL!U34</f>
        <v>26669.231257427666</v>
      </c>
      <c r="BD15" s="306" t="s">
        <v>111</v>
      </c>
      <c r="BE15" s="308">
        <v>100</v>
      </c>
      <c r="BF15" s="310">
        <f>IF(BC16=0,"-",(BC15/BC16)*BE15)</f>
        <v>3.7067481236210695</v>
      </c>
      <c r="BG15" s="304"/>
      <c r="BH15" s="10">
        <f>+PL!V34</f>
        <v>28909.500117482617</v>
      </c>
      <c r="BI15" s="306" t="s">
        <v>111</v>
      </c>
      <c r="BJ15" s="308">
        <v>100</v>
      </c>
      <c r="BK15" s="310">
        <f>IF(BH16=0,"-",(BH15/BH16)*BJ15)</f>
        <v>3.818095578803832</v>
      </c>
      <c r="BL15" s="304"/>
      <c r="BM15" s="10">
        <f>+PL!W34</f>
        <v>25667.52029935893</v>
      </c>
      <c r="BN15" s="306" t="s">
        <v>111</v>
      </c>
      <c r="BO15" s="308">
        <v>100</v>
      </c>
      <c r="BP15" s="310">
        <f>IF(BM16=0,"-",(BM15/BM16)*BO15)</f>
        <v>3.2252660089825054</v>
      </c>
      <c r="BQ15" s="304"/>
      <c r="BR15" s="10">
        <f>+PL!X34</f>
        <v>27611.826477772567</v>
      </c>
      <c r="BS15" s="306" t="s">
        <v>111</v>
      </c>
      <c r="BT15" s="308">
        <v>100</v>
      </c>
      <c r="BU15" s="310">
        <f>IF(BR16=0,"-",(BR15/BR16)*BT15)</f>
        <v>3.6312174095121219</v>
      </c>
      <c r="BV15" s="304"/>
      <c r="BW15" s="10">
        <f>+PL!Y34</f>
        <v>34772.061526559577</v>
      </c>
      <c r="BX15" s="306" t="s">
        <v>111</v>
      </c>
      <c r="BY15" s="308">
        <v>100</v>
      </c>
      <c r="BZ15" s="310">
        <f>IF(BW16=0,"-",(BW15/BW16)*BY15)</f>
        <v>4.5686038438813235</v>
      </c>
      <c r="CA15" s="304"/>
      <c r="CB15" s="10">
        <f>+PL!Z34</f>
        <v>33208.697255198298</v>
      </c>
      <c r="CC15" s="306" t="s">
        <v>111</v>
      </c>
      <c r="CD15" s="308">
        <v>100</v>
      </c>
      <c r="CE15" s="310">
        <f>IF(CB16=0,"-",(CB15/CB16)*CD15)</f>
        <v>3.8343436010206546</v>
      </c>
      <c r="CF15" s="304"/>
      <c r="CG15" s="10">
        <f>+PL!AA34</f>
        <v>25361.665436126372</v>
      </c>
      <c r="CH15" s="306" t="s">
        <v>121</v>
      </c>
      <c r="CI15" s="308">
        <v>100</v>
      </c>
      <c r="CJ15" s="310">
        <f>IF(CG16=0,"-",(CG15/CG16)*CI15)</f>
        <v>2.9748585686554687</v>
      </c>
      <c r="CK15" s="304"/>
      <c r="CL15" s="10">
        <f>+PL!AB34</f>
        <v>22049.530043840798</v>
      </c>
      <c r="CM15" s="306" t="s">
        <v>111</v>
      </c>
      <c r="CN15" s="308">
        <v>100</v>
      </c>
      <c r="CO15" s="310">
        <f>IF(CL16=0,"-",(CL15/CL16)*CN15)</f>
        <v>2.4973542740402728</v>
      </c>
      <c r="CP15" s="304"/>
      <c r="CQ15" s="10">
        <f>+PL!AC34</f>
        <v>31664.228478798741</v>
      </c>
      <c r="CR15" s="306" t="s">
        <v>111</v>
      </c>
      <c r="CS15" s="308">
        <v>100</v>
      </c>
      <c r="CT15" s="310">
        <f>IF(CQ16=0,"-",(CQ15/CQ16)*CS15)</f>
        <v>3.6665888735870884</v>
      </c>
    </row>
    <row r="16" spans="1:98" ht="18" customHeight="1" x14ac:dyDescent="0.2">
      <c r="A16" s="17"/>
      <c r="B16" s="321"/>
      <c r="C16" s="323"/>
      <c r="D16" s="305"/>
      <c r="E16" s="12">
        <f>+E12</f>
        <v>1029049.49522639</v>
      </c>
      <c r="F16" s="307"/>
      <c r="G16" s="309"/>
      <c r="H16" s="311"/>
      <c r="I16" s="305"/>
      <c r="J16" s="12">
        <f>+J12</f>
        <v>792640.34494420025</v>
      </c>
      <c r="K16" s="307"/>
      <c r="L16" s="309"/>
      <c r="M16" s="311"/>
      <c r="N16" s="305"/>
      <c r="O16" s="12">
        <f>+O12</f>
        <v>833050.73016966193</v>
      </c>
      <c r="P16" s="307"/>
      <c r="Q16" s="309"/>
      <c r="R16" s="311"/>
      <c r="S16" s="305"/>
      <c r="T16" s="12">
        <f>+T12</f>
        <v>828064.26946642785</v>
      </c>
      <c r="U16" s="307"/>
      <c r="V16" s="309"/>
      <c r="W16" s="311"/>
      <c r="X16" s="305"/>
      <c r="Y16" s="12">
        <f>+Y12</f>
        <v>801705.25557250518</v>
      </c>
      <c r="Z16" s="307"/>
      <c r="AA16" s="309"/>
      <c r="AB16" s="311"/>
      <c r="AC16" s="305"/>
      <c r="AD16" s="12">
        <f>+AD12</f>
        <v>921991.9329220308</v>
      </c>
      <c r="AE16" s="307"/>
      <c r="AF16" s="309"/>
      <c r="AG16" s="311"/>
      <c r="AH16" s="305"/>
      <c r="AI16" s="12">
        <f>+AI12</f>
        <v>659762.64689240814</v>
      </c>
      <c r="AJ16" s="307"/>
      <c r="AK16" s="309"/>
      <c r="AL16" s="311"/>
      <c r="AM16" s="305"/>
      <c r="AN16" s="12">
        <f>+AN12</f>
        <v>597586.81870825472</v>
      </c>
      <c r="AO16" s="307"/>
      <c r="AP16" s="309"/>
      <c r="AQ16" s="311"/>
      <c r="AR16" s="305"/>
      <c r="AS16" s="12">
        <f>+AS12</f>
        <v>562143.89223713661</v>
      </c>
      <c r="AT16" s="307"/>
      <c r="AU16" s="309"/>
      <c r="AV16" s="311"/>
      <c r="AW16" s="305"/>
      <c r="AX16" s="12">
        <f>+AX12</f>
        <v>402169.91237123299</v>
      </c>
      <c r="AY16" s="307"/>
      <c r="AZ16" s="309"/>
      <c r="BA16" s="311"/>
      <c r="BB16" s="305"/>
      <c r="BC16" s="12">
        <f>+BC12</f>
        <v>719477.8379323727</v>
      </c>
      <c r="BD16" s="307"/>
      <c r="BE16" s="309"/>
      <c r="BF16" s="311"/>
      <c r="BG16" s="305"/>
      <c r="BH16" s="12">
        <f>+BH12</f>
        <v>757170.67634382402</v>
      </c>
      <c r="BI16" s="307"/>
      <c r="BJ16" s="309"/>
      <c r="BK16" s="311"/>
      <c r="BL16" s="305"/>
      <c r="BM16" s="12">
        <f>+BM12</f>
        <v>795826.45982916676</v>
      </c>
      <c r="BN16" s="307"/>
      <c r="BO16" s="309"/>
      <c r="BP16" s="311"/>
      <c r="BQ16" s="305"/>
      <c r="BR16" s="12">
        <f>+BR12</f>
        <v>760401.3575568971</v>
      </c>
      <c r="BS16" s="307"/>
      <c r="BT16" s="309"/>
      <c r="BU16" s="311"/>
      <c r="BV16" s="305"/>
      <c r="BW16" s="12">
        <f>+BW12</f>
        <v>761109.14219733421</v>
      </c>
      <c r="BX16" s="307"/>
      <c r="BY16" s="309"/>
      <c r="BZ16" s="311"/>
      <c r="CA16" s="305"/>
      <c r="CB16" s="12">
        <f>+CB12</f>
        <v>866085.58623589599</v>
      </c>
      <c r="CC16" s="307"/>
      <c r="CD16" s="309"/>
      <c r="CE16" s="311"/>
      <c r="CF16" s="305"/>
      <c r="CG16" s="12">
        <f>+CG12</f>
        <v>852533.48523351655</v>
      </c>
      <c r="CH16" s="307"/>
      <c r="CI16" s="309"/>
      <c r="CJ16" s="311"/>
      <c r="CK16" s="305"/>
      <c r="CL16" s="12">
        <f>+CL12</f>
        <v>882915.58282472275</v>
      </c>
      <c r="CM16" s="307"/>
      <c r="CN16" s="309"/>
      <c r="CO16" s="311"/>
      <c r="CP16" s="305"/>
      <c r="CQ16" s="12">
        <f>+CQ12</f>
        <v>863588.18974490231</v>
      </c>
      <c r="CR16" s="307"/>
      <c r="CS16" s="309"/>
      <c r="CT16" s="311"/>
    </row>
    <row r="17" spans="1:98" ht="18" customHeight="1" x14ac:dyDescent="0.2">
      <c r="A17" s="17"/>
      <c r="B17" s="320" t="s">
        <v>124</v>
      </c>
      <c r="C17" s="322" t="s">
        <v>117</v>
      </c>
      <c r="D17" s="304"/>
      <c r="E17" s="10">
        <f>+E6</f>
        <v>18320.843179884701</v>
      </c>
      <c r="F17" s="306" t="s">
        <v>123</v>
      </c>
      <c r="G17" s="308">
        <v>100</v>
      </c>
      <c r="H17" s="310">
        <f>IF(E18=0,"-",(E17/E18)*G17)</f>
        <v>1.7803655961032401</v>
      </c>
      <c r="I17" s="304"/>
      <c r="J17" s="10">
        <f>+J6</f>
        <v>13954.599256002704</v>
      </c>
      <c r="K17" s="306" t="s">
        <v>111</v>
      </c>
      <c r="L17" s="308">
        <v>100</v>
      </c>
      <c r="M17" s="310">
        <f>IF(J18=0,"-",(J17/J18)*L17)</f>
        <v>1.7605209405515525</v>
      </c>
      <c r="N17" s="304"/>
      <c r="O17" s="10">
        <f>+O6</f>
        <v>16791.532730697661</v>
      </c>
      <c r="P17" s="306" t="s">
        <v>111</v>
      </c>
      <c r="Q17" s="308">
        <v>100</v>
      </c>
      <c r="R17" s="310">
        <f>IF(O18=0,"-",(O17/O18)*Q17)</f>
        <v>2.0156674884947092</v>
      </c>
      <c r="S17" s="304"/>
      <c r="T17" s="10">
        <f>+T6</f>
        <v>17066.42728697725</v>
      </c>
      <c r="U17" s="306" t="s">
        <v>111</v>
      </c>
      <c r="V17" s="308">
        <v>100</v>
      </c>
      <c r="W17" s="310">
        <f>IF(T18=0,"-",(T17/T18)*V17)</f>
        <v>2.0610027405208764</v>
      </c>
      <c r="X17" s="304"/>
      <c r="Y17" s="10">
        <f>+Y6</f>
        <v>14347.263632501921</v>
      </c>
      <c r="Z17" s="306" t="s">
        <v>111</v>
      </c>
      <c r="AA17" s="308">
        <v>100</v>
      </c>
      <c r="AB17" s="310">
        <f>IF(Y18=0,"-",(Y17/Y18)*AA17)</f>
        <v>1.7895933116038272</v>
      </c>
      <c r="AC17" s="304"/>
      <c r="AD17" s="10">
        <f>+AD6</f>
        <v>3336.344587106295</v>
      </c>
      <c r="AE17" s="306" t="s">
        <v>111</v>
      </c>
      <c r="AF17" s="308">
        <v>100</v>
      </c>
      <c r="AG17" s="310">
        <f>IF(AD18=0,"-",(AD17/AD18)*AF17)</f>
        <v>0.36186266581883814</v>
      </c>
      <c r="AH17" s="304"/>
      <c r="AI17" s="10">
        <f>+AI6</f>
        <v>-3787.4927325674339</v>
      </c>
      <c r="AJ17" s="306" t="s">
        <v>123</v>
      </c>
      <c r="AK17" s="308">
        <v>100</v>
      </c>
      <c r="AL17" s="310">
        <f>IF(AI18=0,"-",(AI17/AI18)*AK17)</f>
        <v>-0.57406898532482176</v>
      </c>
      <c r="AM17" s="304"/>
      <c r="AN17" s="10">
        <f>+AN6</f>
        <v>8943.8958575843117</v>
      </c>
      <c r="AO17" s="306" t="s">
        <v>125</v>
      </c>
      <c r="AP17" s="308">
        <v>100</v>
      </c>
      <c r="AQ17" s="310">
        <f>IF(AN18=0,"-",(AN17/AN18)*AP17)</f>
        <v>1.4966688651060713</v>
      </c>
      <c r="AR17" s="304"/>
      <c r="AS17" s="10">
        <f>+AS6</f>
        <v>9741.340224918873</v>
      </c>
      <c r="AT17" s="306" t="s">
        <v>111</v>
      </c>
      <c r="AU17" s="308">
        <v>100</v>
      </c>
      <c r="AV17" s="310">
        <f>IF(AS18=0,"-",(AS17/AS18)*AU17)</f>
        <v>1.7328908771296503</v>
      </c>
      <c r="AW17" s="304"/>
      <c r="AX17" s="10">
        <f>+AX6</f>
        <v>6788.3790503388864</v>
      </c>
      <c r="AY17" s="306" t="s">
        <v>111</v>
      </c>
      <c r="AZ17" s="308">
        <v>100</v>
      </c>
      <c r="BA17" s="310">
        <f>IF(AX18=0,"-",(AX17/AX18)*AZ17)</f>
        <v>1.6879380683437857</v>
      </c>
      <c r="BB17" s="304"/>
      <c r="BC17" s="10">
        <f>+BC6</f>
        <v>13634.560437288017</v>
      </c>
      <c r="BD17" s="306" t="s">
        <v>111</v>
      </c>
      <c r="BE17" s="308">
        <v>100</v>
      </c>
      <c r="BF17" s="310">
        <f>IF(BC18=0,"-",(BC17/BC18)*BE17)</f>
        <v>1.8950632970809584</v>
      </c>
      <c r="BG17" s="304"/>
      <c r="BH17" s="10">
        <f>+BH6</f>
        <v>14688.782980817279</v>
      </c>
      <c r="BI17" s="306" t="s">
        <v>111</v>
      </c>
      <c r="BJ17" s="308">
        <v>100</v>
      </c>
      <c r="BK17" s="310">
        <f>IF(BH18=0,"-",(BH17/BH18)*BJ17)</f>
        <v>1.9399566623136422</v>
      </c>
      <c r="BL17" s="304"/>
      <c r="BM17" s="10">
        <f>+BM6</f>
        <v>15268.957590105378</v>
      </c>
      <c r="BN17" s="306" t="s">
        <v>111</v>
      </c>
      <c r="BO17" s="308">
        <v>100</v>
      </c>
      <c r="BP17" s="310">
        <f>IF(BM18=0,"-",(BM17/BM18)*BO17)</f>
        <v>1.9186290429929955</v>
      </c>
      <c r="BQ17" s="304"/>
      <c r="BR17" s="10">
        <f>+BR6</f>
        <v>17681.423167918401</v>
      </c>
      <c r="BS17" s="306" t="s">
        <v>111</v>
      </c>
      <c r="BT17" s="308">
        <v>100</v>
      </c>
      <c r="BU17" s="310">
        <f>IF(BR18=0,"-",(BR17/BR18)*BT17)</f>
        <v>2.3252750658845827</v>
      </c>
      <c r="BV17" s="304"/>
      <c r="BW17" s="10">
        <f>+BW6</f>
        <v>21167.97179714057</v>
      </c>
      <c r="BX17" s="306" t="s">
        <v>111</v>
      </c>
      <c r="BY17" s="308">
        <v>100</v>
      </c>
      <c r="BZ17" s="310">
        <f>IF(BW18=0,"-",(BW17/BW18)*BY17)</f>
        <v>2.7812005694778938</v>
      </c>
      <c r="CA17" s="304"/>
      <c r="CB17" s="10">
        <f>+CB6</f>
        <v>20386.951280725621</v>
      </c>
      <c r="CC17" s="306" t="s">
        <v>111</v>
      </c>
      <c r="CD17" s="308">
        <v>100</v>
      </c>
      <c r="CE17" s="310">
        <f>IF(CB18=0,"-",(CB17/CB18)*CD17)</f>
        <v>2.3539187817834</v>
      </c>
      <c r="CF17" s="304"/>
      <c r="CG17" s="10">
        <f>+CG6</f>
        <v>20336.771033653848</v>
      </c>
      <c r="CH17" s="306" t="s">
        <v>126</v>
      </c>
      <c r="CI17" s="308">
        <v>100</v>
      </c>
      <c r="CJ17" s="310">
        <f>IF(CG18=0,"-",(CG17/CG18)*CI17)</f>
        <v>2.3854512914625778</v>
      </c>
      <c r="CK17" s="304"/>
      <c r="CL17" s="10">
        <f>+CL6</f>
        <v>8776.397833748817</v>
      </c>
      <c r="CM17" s="306" t="s">
        <v>111</v>
      </c>
      <c r="CN17" s="308">
        <v>100</v>
      </c>
      <c r="CO17" s="310">
        <f>IF(CL18=0,"-",(CL17/CL18)*CN17)</f>
        <v>0.99402457091881635</v>
      </c>
      <c r="CP17" s="304"/>
      <c r="CQ17" s="10">
        <f>+CQ6</f>
        <v>20806.53212183261</v>
      </c>
      <c r="CR17" s="306" t="s">
        <v>111</v>
      </c>
      <c r="CS17" s="308">
        <v>100</v>
      </c>
      <c r="CT17" s="310">
        <f>IF(CQ18=0,"-",(CQ17/CQ18)*CS17)</f>
        <v>2.409311795704236</v>
      </c>
    </row>
    <row r="18" spans="1:98" ht="18" customHeight="1" x14ac:dyDescent="0.2">
      <c r="A18" s="17"/>
      <c r="B18" s="321"/>
      <c r="C18" s="323"/>
      <c r="D18" s="305"/>
      <c r="E18" s="12">
        <f>+E12</f>
        <v>1029049.49522639</v>
      </c>
      <c r="F18" s="307"/>
      <c r="G18" s="309"/>
      <c r="H18" s="311"/>
      <c r="I18" s="305"/>
      <c r="J18" s="12">
        <f>+J12</f>
        <v>792640.34494420025</v>
      </c>
      <c r="K18" s="307"/>
      <c r="L18" s="309"/>
      <c r="M18" s="311"/>
      <c r="N18" s="305"/>
      <c r="O18" s="12">
        <f>+O12</f>
        <v>833050.73016966193</v>
      </c>
      <c r="P18" s="307"/>
      <c r="Q18" s="309"/>
      <c r="R18" s="311"/>
      <c r="S18" s="305"/>
      <c r="T18" s="12">
        <f>+T12</f>
        <v>828064.26946642785</v>
      </c>
      <c r="U18" s="307"/>
      <c r="V18" s="309"/>
      <c r="W18" s="311"/>
      <c r="X18" s="305"/>
      <c r="Y18" s="12">
        <f>+Y12</f>
        <v>801705.25557250518</v>
      </c>
      <c r="Z18" s="307"/>
      <c r="AA18" s="309"/>
      <c r="AB18" s="311"/>
      <c r="AC18" s="305"/>
      <c r="AD18" s="12">
        <f>+AD12</f>
        <v>921991.9329220308</v>
      </c>
      <c r="AE18" s="307"/>
      <c r="AF18" s="309"/>
      <c r="AG18" s="311"/>
      <c r="AH18" s="305"/>
      <c r="AI18" s="12">
        <f>+AI12</f>
        <v>659762.64689240814</v>
      </c>
      <c r="AJ18" s="307"/>
      <c r="AK18" s="309"/>
      <c r="AL18" s="311"/>
      <c r="AM18" s="305"/>
      <c r="AN18" s="12">
        <f>+AN12</f>
        <v>597586.81870825472</v>
      </c>
      <c r="AO18" s="307"/>
      <c r="AP18" s="309"/>
      <c r="AQ18" s="311"/>
      <c r="AR18" s="305"/>
      <c r="AS18" s="12">
        <f>+AS12</f>
        <v>562143.89223713661</v>
      </c>
      <c r="AT18" s="307"/>
      <c r="AU18" s="309"/>
      <c r="AV18" s="311"/>
      <c r="AW18" s="305"/>
      <c r="AX18" s="12">
        <f>+AX12</f>
        <v>402169.91237123299</v>
      </c>
      <c r="AY18" s="307"/>
      <c r="AZ18" s="309"/>
      <c r="BA18" s="311"/>
      <c r="BB18" s="305"/>
      <c r="BC18" s="12">
        <f>+BC12</f>
        <v>719477.8379323727</v>
      </c>
      <c r="BD18" s="307"/>
      <c r="BE18" s="309"/>
      <c r="BF18" s="311"/>
      <c r="BG18" s="305"/>
      <c r="BH18" s="12">
        <f>+BH12</f>
        <v>757170.67634382402</v>
      </c>
      <c r="BI18" s="307"/>
      <c r="BJ18" s="309"/>
      <c r="BK18" s="311"/>
      <c r="BL18" s="305"/>
      <c r="BM18" s="12">
        <f>+BM12</f>
        <v>795826.45982916676</v>
      </c>
      <c r="BN18" s="307"/>
      <c r="BO18" s="309"/>
      <c r="BP18" s="311"/>
      <c r="BQ18" s="305"/>
      <c r="BR18" s="12">
        <f>+BR12</f>
        <v>760401.3575568971</v>
      </c>
      <c r="BS18" s="307"/>
      <c r="BT18" s="309"/>
      <c r="BU18" s="311"/>
      <c r="BV18" s="305"/>
      <c r="BW18" s="12">
        <f>+BW12</f>
        <v>761109.14219733421</v>
      </c>
      <c r="BX18" s="307"/>
      <c r="BY18" s="309"/>
      <c r="BZ18" s="311"/>
      <c r="CA18" s="305"/>
      <c r="CB18" s="12">
        <f>+CB12</f>
        <v>866085.58623589599</v>
      </c>
      <c r="CC18" s="307"/>
      <c r="CD18" s="309"/>
      <c r="CE18" s="311"/>
      <c r="CF18" s="305"/>
      <c r="CG18" s="12">
        <f>+CG12</f>
        <v>852533.48523351655</v>
      </c>
      <c r="CH18" s="307"/>
      <c r="CI18" s="309"/>
      <c r="CJ18" s="311"/>
      <c r="CK18" s="305"/>
      <c r="CL18" s="12">
        <f>+CL12</f>
        <v>882915.58282472275</v>
      </c>
      <c r="CM18" s="307"/>
      <c r="CN18" s="309"/>
      <c r="CO18" s="311"/>
      <c r="CP18" s="305"/>
      <c r="CQ18" s="12">
        <f>+CQ12</f>
        <v>863588.18974490231</v>
      </c>
      <c r="CR18" s="307"/>
      <c r="CS18" s="309"/>
      <c r="CT18" s="311"/>
    </row>
    <row r="19" spans="1:98" ht="18" customHeight="1" x14ac:dyDescent="0.2">
      <c r="A19" s="17"/>
      <c r="B19" s="320" t="s">
        <v>127</v>
      </c>
      <c r="C19" s="322" t="s">
        <v>117</v>
      </c>
      <c r="D19" s="304"/>
      <c r="E19" s="10">
        <f>+PL!K16</f>
        <v>121204.680971736</v>
      </c>
      <c r="F19" s="306" t="s">
        <v>123</v>
      </c>
      <c r="G19" s="308">
        <v>100</v>
      </c>
      <c r="H19" s="310">
        <f>IF(E20=0,"-",(E19/E20)*G19)</f>
        <v>11.778314020266933</v>
      </c>
      <c r="I19" s="304"/>
      <c r="J19" s="10">
        <f>+PL!L16</f>
        <v>104553.68616841393</v>
      </c>
      <c r="K19" s="306" t="s">
        <v>111</v>
      </c>
      <c r="L19" s="308">
        <v>100</v>
      </c>
      <c r="M19" s="310">
        <f>IF(J20=0,"-",(J19/J20)*L19)</f>
        <v>13.190558219159817</v>
      </c>
      <c r="N19" s="304"/>
      <c r="O19" s="10">
        <f>+PL!M16</f>
        <v>108529.52966099646</v>
      </c>
      <c r="P19" s="306" t="s">
        <v>111</v>
      </c>
      <c r="Q19" s="308">
        <v>100</v>
      </c>
      <c r="R19" s="310">
        <f>IF(O20=0,"-",(O19/O20)*Q19)</f>
        <v>13.027961651134135</v>
      </c>
      <c r="S19" s="304"/>
      <c r="T19" s="10">
        <f>+PL!N16</f>
        <v>95361.296880434806</v>
      </c>
      <c r="U19" s="306" t="s">
        <v>111</v>
      </c>
      <c r="V19" s="308">
        <v>100</v>
      </c>
      <c r="W19" s="310">
        <f>IF(T20=0,"-",(T19/T20)*V19)</f>
        <v>11.516170953962533</v>
      </c>
      <c r="X19" s="304"/>
      <c r="Y19" s="10">
        <f>+PL!O16</f>
        <v>96371.880657051806</v>
      </c>
      <c r="Z19" s="306" t="s">
        <v>111</v>
      </c>
      <c r="AA19" s="308">
        <v>100</v>
      </c>
      <c r="AB19" s="310">
        <f>IF(Y20=0,"-",(Y19/Y20)*AA19)</f>
        <v>12.020861780210202</v>
      </c>
      <c r="AC19" s="304"/>
      <c r="AD19" s="10">
        <f>+PL!P16</f>
        <v>90841.959364027658</v>
      </c>
      <c r="AE19" s="306" t="s">
        <v>111</v>
      </c>
      <c r="AF19" s="308">
        <v>100</v>
      </c>
      <c r="AG19" s="310">
        <f>IF(AD20=0,"-",(AD19/AD20)*AF19)</f>
        <v>9.85279329680532</v>
      </c>
      <c r="AH19" s="304"/>
      <c r="AI19" s="10">
        <f>+PL!Q16</f>
        <v>83369.778170534584</v>
      </c>
      <c r="AJ19" s="306" t="s">
        <v>123</v>
      </c>
      <c r="AK19" s="308">
        <v>100</v>
      </c>
      <c r="AL19" s="310">
        <f>IF(AI20=0,"-",(AI19/AI20)*AK19)</f>
        <v>12.636328922714876</v>
      </c>
      <c r="AM19" s="304"/>
      <c r="AN19" s="10">
        <f>+PL!R16</f>
        <v>61548.757450068901</v>
      </c>
      <c r="AO19" s="306" t="s">
        <v>123</v>
      </c>
      <c r="AP19" s="308">
        <v>100</v>
      </c>
      <c r="AQ19" s="310">
        <f>IF(AN20=0,"-",(AN19/AN20)*AP19)</f>
        <v>10.299550713503496</v>
      </c>
      <c r="AR19" s="304"/>
      <c r="AS19" s="10">
        <f>+PL!S16</f>
        <v>73016.68982088448</v>
      </c>
      <c r="AT19" s="306" t="s">
        <v>111</v>
      </c>
      <c r="AU19" s="308">
        <v>100</v>
      </c>
      <c r="AV19" s="310">
        <f>IF(AS20=0,"-",(AS19/AS20)*AU19)</f>
        <v>12.988967918926154</v>
      </c>
      <c r="AW19" s="304"/>
      <c r="AX19" s="10">
        <f>+PL!T16</f>
        <v>67810.030657220894</v>
      </c>
      <c r="AY19" s="306" t="s">
        <v>111</v>
      </c>
      <c r="AZ19" s="308">
        <v>100</v>
      </c>
      <c r="BA19" s="310">
        <f>IF(AX20=0,"-",(AX19/AX20)*AZ19)</f>
        <v>16.861040214919694</v>
      </c>
      <c r="BB19" s="304"/>
      <c r="BC19" s="10">
        <f>+PL!U16</f>
        <v>76948.773403845189</v>
      </c>
      <c r="BD19" s="306" t="s">
        <v>111</v>
      </c>
      <c r="BE19" s="308">
        <v>100</v>
      </c>
      <c r="BF19" s="310">
        <f>IF(BC20=0,"-",(BC19/BC20)*BE19)</f>
        <v>10.695085984160361</v>
      </c>
      <c r="BG19" s="304"/>
      <c r="BH19" s="10">
        <f>+PL!V16</f>
        <v>82495.311800599695</v>
      </c>
      <c r="BI19" s="306" t="s">
        <v>111</v>
      </c>
      <c r="BJ19" s="308">
        <v>100</v>
      </c>
      <c r="BK19" s="310">
        <f>IF(BH20=0,"-",(BH19/BH20)*BJ19)</f>
        <v>10.895206903540908</v>
      </c>
      <c r="BL19" s="304"/>
      <c r="BM19" s="10">
        <f>+PL!W16</f>
        <v>80585.632907926614</v>
      </c>
      <c r="BN19" s="306" t="s">
        <v>111</v>
      </c>
      <c r="BO19" s="308">
        <v>100</v>
      </c>
      <c r="BP19" s="310">
        <f>IF(BM20=0,"-",(BM19/BM20)*BO19)</f>
        <v>10.126030859193252</v>
      </c>
      <c r="BQ19" s="304"/>
      <c r="BR19" s="10">
        <f>+PL!X16</f>
        <v>76484.00040463054</v>
      </c>
      <c r="BS19" s="306" t="s">
        <v>111</v>
      </c>
      <c r="BT19" s="308">
        <v>100</v>
      </c>
      <c r="BU19" s="310">
        <f>IF(BR20=0,"-",(BR19/BR20)*BT19)</f>
        <v>10.058372416688856</v>
      </c>
      <c r="BV19" s="304"/>
      <c r="BW19" s="10">
        <f>+PL!Y16</f>
        <v>86236.005692223305</v>
      </c>
      <c r="BX19" s="306" t="s">
        <v>111</v>
      </c>
      <c r="BY19" s="308">
        <v>100</v>
      </c>
      <c r="BZ19" s="310">
        <f>IF(BW20=0,"-",(BW19/BW20)*BY19)</f>
        <v>11.33030743045059</v>
      </c>
      <c r="CA19" s="304"/>
      <c r="CB19" s="10">
        <f>+PL!Z16</f>
        <v>98238.240363441859</v>
      </c>
      <c r="CC19" s="306" t="s">
        <v>111</v>
      </c>
      <c r="CD19" s="308">
        <v>100</v>
      </c>
      <c r="CE19" s="310">
        <f>IF(CB20=0,"-",(CB19/CB20)*CD19)</f>
        <v>11.34278666273574</v>
      </c>
      <c r="CF19" s="304"/>
      <c r="CG19" s="10">
        <f>+PL!AA16</f>
        <v>94172.596067994498</v>
      </c>
      <c r="CH19" s="306" t="s">
        <v>123</v>
      </c>
      <c r="CI19" s="308">
        <v>100</v>
      </c>
      <c r="CJ19" s="310">
        <f>IF(CG20=0,"-",(CG19/CG20)*CI19)</f>
        <v>11.046204952547967</v>
      </c>
      <c r="CK19" s="304"/>
      <c r="CL19" s="10">
        <f>+PL!AB16</f>
        <v>99350.987965271212</v>
      </c>
      <c r="CM19" s="306" t="s">
        <v>111</v>
      </c>
      <c r="CN19" s="308">
        <v>100</v>
      </c>
      <c r="CO19" s="310">
        <f>IF(CL20=0,"-",(CL19/CL20)*CN19)</f>
        <v>11.252603295030355</v>
      </c>
      <c r="CP19" s="304"/>
      <c r="CQ19" s="10">
        <f>+PL!AC16</f>
        <v>100841.71060489719</v>
      </c>
      <c r="CR19" s="306" t="s">
        <v>111</v>
      </c>
      <c r="CS19" s="308">
        <v>100</v>
      </c>
      <c r="CT19" s="310">
        <f>IF(CQ20=0,"-",(CQ19/CQ20)*CS19)</f>
        <v>11.677059946209443</v>
      </c>
    </row>
    <row r="20" spans="1:98" ht="18" customHeight="1" x14ac:dyDescent="0.2">
      <c r="A20" s="17"/>
      <c r="B20" s="321"/>
      <c r="C20" s="323"/>
      <c r="D20" s="305"/>
      <c r="E20" s="12">
        <f>+E12</f>
        <v>1029049.49522639</v>
      </c>
      <c r="F20" s="307"/>
      <c r="G20" s="309"/>
      <c r="H20" s="311"/>
      <c r="I20" s="305"/>
      <c r="J20" s="12">
        <f>+J12</f>
        <v>792640.34494420025</v>
      </c>
      <c r="K20" s="307"/>
      <c r="L20" s="309"/>
      <c r="M20" s="311"/>
      <c r="N20" s="305"/>
      <c r="O20" s="12">
        <f>+O12</f>
        <v>833050.73016966193</v>
      </c>
      <c r="P20" s="307"/>
      <c r="Q20" s="309"/>
      <c r="R20" s="311"/>
      <c r="S20" s="305"/>
      <c r="T20" s="12">
        <f>+T12</f>
        <v>828064.26946642785</v>
      </c>
      <c r="U20" s="307"/>
      <c r="V20" s="309"/>
      <c r="W20" s="311"/>
      <c r="X20" s="305"/>
      <c r="Y20" s="12">
        <f>+Y12</f>
        <v>801705.25557250518</v>
      </c>
      <c r="Z20" s="307"/>
      <c r="AA20" s="309"/>
      <c r="AB20" s="311"/>
      <c r="AC20" s="305"/>
      <c r="AD20" s="12">
        <f>+AD12</f>
        <v>921991.9329220308</v>
      </c>
      <c r="AE20" s="307"/>
      <c r="AF20" s="309"/>
      <c r="AG20" s="311"/>
      <c r="AH20" s="305"/>
      <c r="AI20" s="12">
        <f>+AI12</f>
        <v>659762.64689240814</v>
      </c>
      <c r="AJ20" s="307"/>
      <c r="AK20" s="309"/>
      <c r="AL20" s="311"/>
      <c r="AM20" s="305"/>
      <c r="AN20" s="12">
        <f>+AN12</f>
        <v>597586.81870825472</v>
      </c>
      <c r="AO20" s="307"/>
      <c r="AP20" s="309"/>
      <c r="AQ20" s="311"/>
      <c r="AR20" s="305"/>
      <c r="AS20" s="12">
        <f>+AS12</f>
        <v>562143.89223713661</v>
      </c>
      <c r="AT20" s="307"/>
      <c r="AU20" s="309"/>
      <c r="AV20" s="311"/>
      <c r="AW20" s="305"/>
      <c r="AX20" s="12">
        <f>+AX12</f>
        <v>402169.91237123299</v>
      </c>
      <c r="AY20" s="307"/>
      <c r="AZ20" s="309"/>
      <c r="BA20" s="311"/>
      <c r="BB20" s="305"/>
      <c r="BC20" s="12">
        <f>+BC12</f>
        <v>719477.8379323727</v>
      </c>
      <c r="BD20" s="307"/>
      <c r="BE20" s="309"/>
      <c r="BF20" s="311"/>
      <c r="BG20" s="305"/>
      <c r="BH20" s="12">
        <f>+BH12</f>
        <v>757170.67634382402</v>
      </c>
      <c r="BI20" s="307"/>
      <c r="BJ20" s="309"/>
      <c r="BK20" s="311"/>
      <c r="BL20" s="305"/>
      <c r="BM20" s="12">
        <f>+BM12</f>
        <v>795826.45982916676</v>
      </c>
      <c r="BN20" s="307"/>
      <c r="BO20" s="309"/>
      <c r="BP20" s="311"/>
      <c r="BQ20" s="305"/>
      <c r="BR20" s="12">
        <f>+BR12</f>
        <v>760401.3575568971</v>
      </c>
      <c r="BS20" s="307"/>
      <c r="BT20" s="309"/>
      <c r="BU20" s="311"/>
      <c r="BV20" s="305"/>
      <c r="BW20" s="12">
        <f>+BW12</f>
        <v>761109.14219733421</v>
      </c>
      <c r="BX20" s="307"/>
      <c r="BY20" s="309"/>
      <c r="BZ20" s="311"/>
      <c r="CA20" s="305"/>
      <c r="CB20" s="12">
        <f>+CB12</f>
        <v>866085.58623589599</v>
      </c>
      <c r="CC20" s="307"/>
      <c r="CD20" s="309"/>
      <c r="CE20" s="311"/>
      <c r="CF20" s="305"/>
      <c r="CG20" s="12">
        <f>+CG12</f>
        <v>852533.48523351655</v>
      </c>
      <c r="CH20" s="307"/>
      <c r="CI20" s="309"/>
      <c r="CJ20" s="311"/>
      <c r="CK20" s="305"/>
      <c r="CL20" s="12">
        <f>+CL12</f>
        <v>882915.58282472275</v>
      </c>
      <c r="CM20" s="307"/>
      <c r="CN20" s="309"/>
      <c r="CO20" s="311"/>
      <c r="CP20" s="305"/>
      <c r="CQ20" s="12">
        <f>+CQ12</f>
        <v>863588.18974490231</v>
      </c>
      <c r="CR20" s="307"/>
      <c r="CS20" s="309"/>
      <c r="CT20" s="311"/>
    </row>
    <row r="21" spans="1:98" ht="18" customHeight="1" x14ac:dyDescent="0.2">
      <c r="A21" s="324" t="s">
        <v>128</v>
      </c>
      <c r="B21" s="325"/>
      <c r="C21" s="326"/>
      <c r="D21" s="7"/>
      <c r="E21" s="18"/>
      <c r="F21" s="7"/>
      <c r="G21" s="7"/>
      <c r="H21" s="8"/>
      <c r="I21" s="7"/>
      <c r="J21" s="18"/>
      <c r="K21" s="7"/>
      <c r="L21" s="7"/>
      <c r="M21" s="8"/>
      <c r="N21" s="7"/>
      <c r="O21" s="18"/>
      <c r="P21" s="7"/>
      <c r="Q21" s="7"/>
      <c r="R21" s="8"/>
      <c r="S21" s="7"/>
      <c r="T21" s="18"/>
      <c r="U21" s="7"/>
      <c r="V21" s="7"/>
      <c r="W21" s="8"/>
      <c r="X21" s="7"/>
      <c r="Y21" s="18"/>
      <c r="Z21" s="7"/>
      <c r="AA21" s="7"/>
      <c r="AB21" s="8"/>
      <c r="AC21" s="7"/>
      <c r="AD21" s="18"/>
      <c r="AE21" s="7"/>
      <c r="AF21" s="7"/>
      <c r="AG21" s="8"/>
      <c r="AH21" s="7"/>
      <c r="AI21" s="18"/>
      <c r="AJ21" s="7"/>
      <c r="AK21" s="7"/>
      <c r="AL21" s="8"/>
      <c r="AM21" s="7"/>
      <c r="AN21" s="18"/>
      <c r="AO21" s="7"/>
      <c r="AP21" s="7"/>
      <c r="AQ21" s="8"/>
      <c r="AR21" s="7"/>
      <c r="AS21" s="18"/>
      <c r="AT21" s="7"/>
      <c r="AU21" s="7"/>
      <c r="AV21" s="8"/>
      <c r="AW21" s="7"/>
      <c r="AX21" s="18"/>
      <c r="AY21" s="7"/>
      <c r="AZ21" s="7"/>
      <c r="BA21" s="8"/>
      <c r="BB21" s="7"/>
      <c r="BC21" s="18"/>
      <c r="BD21" s="7"/>
      <c r="BE21" s="7"/>
      <c r="BF21" s="8"/>
      <c r="BG21" s="7"/>
      <c r="BH21" s="18"/>
      <c r="BI21" s="7"/>
      <c r="BJ21" s="7"/>
      <c r="BK21" s="8"/>
      <c r="BL21" s="7"/>
      <c r="BM21" s="18"/>
      <c r="BN21" s="7"/>
      <c r="BO21" s="7"/>
      <c r="BP21" s="8"/>
      <c r="BQ21" s="7"/>
      <c r="BR21" s="18"/>
      <c r="BS21" s="7"/>
      <c r="BT21" s="7"/>
      <c r="BU21" s="8"/>
      <c r="BV21" s="7"/>
      <c r="BW21" s="18"/>
      <c r="BX21" s="7"/>
      <c r="BY21" s="7"/>
      <c r="BZ21" s="8"/>
      <c r="CA21" s="7"/>
      <c r="CB21" s="18"/>
      <c r="CC21" s="7"/>
      <c r="CD21" s="7"/>
      <c r="CE21" s="8"/>
      <c r="CF21" s="7"/>
      <c r="CG21" s="18"/>
      <c r="CH21" s="7"/>
      <c r="CI21" s="7"/>
      <c r="CJ21" s="8"/>
      <c r="CK21" s="7"/>
      <c r="CL21" s="18"/>
      <c r="CM21" s="7"/>
      <c r="CN21" s="7"/>
      <c r="CO21" s="8"/>
      <c r="CP21" s="7"/>
      <c r="CQ21" s="18"/>
      <c r="CR21" s="7"/>
      <c r="CS21" s="7"/>
      <c r="CT21" s="8"/>
    </row>
    <row r="22" spans="1:98" ht="18" customHeight="1" x14ac:dyDescent="0.2">
      <c r="A22" s="11"/>
      <c r="B22" s="320" t="s">
        <v>129</v>
      </c>
      <c r="C22" s="322" t="s">
        <v>130</v>
      </c>
      <c r="D22" s="304"/>
      <c r="E22" s="10">
        <f>+PL!K45</f>
        <v>358982.47849513101</v>
      </c>
      <c r="F22" s="306"/>
      <c r="G22" s="308"/>
      <c r="H22" s="314">
        <f>IF(E23=0,"-",(E22/E23))</f>
        <v>939365.30711175455</v>
      </c>
      <c r="I22" s="304"/>
      <c r="J22" s="10">
        <f>+PL!L45</f>
        <v>295479.20189381129</v>
      </c>
      <c r="K22" s="306"/>
      <c r="L22" s="308"/>
      <c r="M22" s="314">
        <f>IF(J23=0,"-",(J22/J23))</f>
        <v>762589.34190902009</v>
      </c>
      <c r="N22" s="304"/>
      <c r="O22" s="10">
        <f>+PL!M45</f>
        <v>316635.83886205981</v>
      </c>
      <c r="P22" s="306"/>
      <c r="Q22" s="308"/>
      <c r="R22" s="314">
        <f>IF(O23=0,"-",(O22/O23))</f>
        <v>761711.25389553537</v>
      </c>
      <c r="S22" s="304"/>
      <c r="T22" s="10">
        <f>+PL!N45</f>
        <v>293424.85148656601</v>
      </c>
      <c r="U22" s="306"/>
      <c r="V22" s="308"/>
      <c r="W22" s="314">
        <f>IF(T23=0,"-",(T22/T23))</f>
        <v>759485.2035914798</v>
      </c>
      <c r="X22" s="304"/>
      <c r="Y22" s="10">
        <f>+PL!O45</f>
        <v>310994.64560302824</v>
      </c>
      <c r="Z22" s="306"/>
      <c r="AA22" s="308"/>
      <c r="AB22" s="314">
        <f>IF(Y23=0,"-",(Y22/Y23))</f>
        <v>749141.67630758707</v>
      </c>
      <c r="AC22" s="304"/>
      <c r="AD22" s="10">
        <f>+PL!P45</f>
        <v>346445.45546908339</v>
      </c>
      <c r="AE22" s="306"/>
      <c r="AF22" s="308"/>
      <c r="AG22" s="314">
        <f>IF(AD23=0,"-",(AD22/AD23))</f>
        <v>894582.02162514557</v>
      </c>
      <c r="AH22" s="304"/>
      <c r="AI22" s="10">
        <f>+PL!Q45</f>
        <v>270425.6246281591</v>
      </c>
      <c r="AJ22" s="306"/>
      <c r="AK22" s="308"/>
      <c r="AL22" s="314">
        <f>IF(AI23=0,"-",(AI22/AI23))</f>
        <v>674020.74152040249</v>
      </c>
      <c r="AM22" s="304"/>
      <c r="AN22" s="10">
        <f>+PL!R45</f>
        <v>252217.44107419817</v>
      </c>
      <c r="AO22" s="306"/>
      <c r="AP22" s="308"/>
      <c r="AQ22" s="314">
        <f>IF(AN23=0,"-",(AN22/AN23))</f>
        <v>562836.40972079744</v>
      </c>
      <c r="AR22" s="304"/>
      <c r="AS22" s="10">
        <f>+PL!S45</f>
        <v>212208.48348888877</v>
      </c>
      <c r="AT22" s="306"/>
      <c r="AU22" s="308"/>
      <c r="AV22" s="314">
        <f>IF(AS23=0,"-",(AS22/AS23))</f>
        <v>525426.40399144427</v>
      </c>
      <c r="AW22" s="304"/>
      <c r="AX22" s="10">
        <f>+PL!T45</f>
        <v>181458.81103575838</v>
      </c>
      <c r="AY22" s="306"/>
      <c r="AZ22" s="308"/>
      <c r="BA22" s="314">
        <f>IF(AX23=0,"-",(AX22/AX23))</f>
        <v>379323.23693145363</v>
      </c>
      <c r="BB22" s="304"/>
      <c r="BC22" s="10">
        <f>+PL!U45</f>
        <v>279874.86391219631</v>
      </c>
      <c r="BD22" s="306"/>
      <c r="BE22" s="308"/>
      <c r="BF22" s="314">
        <f>IF(BC23=0,"-",(BC22/BC23))</f>
        <v>661692.38579891482</v>
      </c>
      <c r="BG22" s="304"/>
      <c r="BH22" s="10">
        <f>+PL!V45</f>
        <v>290179.86509491998</v>
      </c>
      <c r="BI22" s="306"/>
      <c r="BJ22" s="308"/>
      <c r="BK22" s="314">
        <f>IF(BH23=0,"-",(BH22/BH23))</f>
        <v>702068.37187790161</v>
      </c>
      <c r="BL22" s="304"/>
      <c r="BM22" s="10">
        <f>+PL!W45</f>
        <v>293221.93763862416</v>
      </c>
      <c r="BN22" s="306"/>
      <c r="BO22" s="308"/>
      <c r="BP22" s="314">
        <f>IF(BM23=0,"-",(BM22/BM23))</f>
        <v>748120.00473099505</v>
      </c>
      <c r="BQ22" s="304"/>
      <c r="BR22" s="10">
        <f>+PL!X45</f>
        <v>314689.79430767021</v>
      </c>
      <c r="BS22" s="306"/>
      <c r="BT22" s="308"/>
      <c r="BU22" s="314">
        <f>IF(BR23=0,"-",(BR22/BR23))</f>
        <v>707813.46706772002</v>
      </c>
      <c r="BV22" s="304"/>
      <c r="BW22" s="10">
        <f>+PL!Y45</f>
        <v>299606.75383171818</v>
      </c>
      <c r="BX22" s="306"/>
      <c r="BY22" s="308"/>
      <c r="BZ22" s="314">
        <f>IF(BW23=0,"-",(BW22/BW23))</f>
        <v>692830.77702300728</v>
      </c>
      <c r="CA22" s="304"/>
      <c r="CB22" s="10">
        <f>+PL!Z45</f>
        <v>359495.34224663128</v>
      </c>
      <c r="CC22" s="306"/>
      <c r="CD22" s="308"/>
      <c r="CE22" s="314">
        <f>IF(CB23=0,"-",(CB22/CB23))</f>
        <v>808821.56049379194</v>
      </c>
      <c r="CF22" s="304"/>
      <c r="CG22" s="10">
        <f>+PL!AA45</f>
        <v>353697.11057692312</v>
      </c>
      <c r="CH22" s="306"/>
      <c r="CI22" s="308"/>
      <c r="CJ22" s="314">
        <f>IF(CG23=0,"-",(CG22/CG23))</f>
        <v>818033.99759431812</v>
      </c>
      <c r="CK22" s="304"/>
      <c r="CL22" s="10">
        <f>+PL!AB45</f>
        <v>397191.50244992715</v>
      </c>
      <c r="CM22" s="306"/>
      <c r="CN22" s="308"/>
      <c r="CO22" s="314">
        <f>IF(CL23=0,"-",(CL22/CL23))</f>
        <v>868818.58551853639</v>
      </c>
      <c r="CP22" s="304"/>
      <c r="CQ22" s="10">
        <f>+PL!AC45</f>
        <v>355612.01373602927</v>
      </c>
      <c r="CR22" s="306"/>
      <c r="CS22" s="308"/>
      <c r="CT22" s="314">
        <f>IF(CQ23=0,"-",(CQ22/CQ23))</f>
        <v>819702.36584563158</v>
      </c>
    </row>
    <row r="23" spans="1:98" ht="18" customHeight="1" x14ac:dyDescent="0.2">
      <c r="A23" s="11"/>
      <c r="B23" s="321"/>
      <c r="C23" s="323"/>
      <c r="D23" s="305"/>
      <c r="E23" s="19">
        <f>PL!K44/PL!K6</f>
        <v>0.38215428627962256</v>
      </c>
      <c r="F23" s="307"/>
      <c r="G23" s="309"/>
      <c r="H23" s="315"/>
      <c r="I23" s="305"/>
      <c r="J23" s="19">
        <f>PL!L44/PL!L6</f>
        <v>0.38746830784984027</v>
      </c>
      <c r="K23" s="307"/>
      <c r="L23" s="309"/>
      <c r="M23" s="315"/>
      <c r="N23" s="305"/>
      <c r="O23" s="19">
        <f>PL!M44/PL!M6</f>
        <v>0.41569011517517201</v>
      </c>
      <c r="P23" s="307"/>
      <c r="Q23" s="309"/>
      <c r="R23" s="315"/>
      <c r="S23" s="305"/>
      <c r="T23" s="19">
        <f>PL!N44/PL!N6</f>
        <v>0.38634702835421736</v>
      </c>
      <c r="U23" s="307"/>
      <c r="V23" s="309"/>
      <c r="W23" s="315"/>
      <c r="X23" s="305"/>
      <c r="Y23" s="19">
        <f>PL!O44/PL!O6</f>
        <v>0.41513462064462447</v>
      </c>
      <c r="Z23" s="307"/>
      <c r="AA23" s="309"/>
      <c r="AB23" s="315"/>
      <c r="AC23" s="305"/>
      <c r="AD23" s="19">
        <f>PL!P44/PL!P6</f>
        <v>0.38727075560909668</v>
      </c>
      <c r="AE23" s="307"/>
      <c r="AF23" s="309"/>
      <c r="AG23" s="315"/>
      <c r="AH23" s="305"/>
      <c r="AI23" s="19">
        <f>PL!Q44/PL!Q6</f>
        <v>0.40121261553191145</v>
      </c>
      <c r="AJ23" s="307"/>
      <c r="AK23" s="309"/>
      <c r="AL23" s="315"/>
      <c r="AM23" s="305"/>
      <c r="AN23" s="19">
        <f>PL!R44/PL!R6</f>
        <v>0.44811855935068956</v>
      </c>
      <c r="AO23" s="307"/>
      <c r="AP23" s="309"/>
      <c r="AQ23" s="315"/>
      <c r="AR23" s="305"/>
      <c r="AS23" s="19">
        <f>PL!S44/PL!S6</f>
        <v>0.4038786057891835</v>
      </c>
      <c r="AT23" s="307"/>
      <c r="AU23" s="309"/>
      <c r="AV23" s="315"/>
      <c r="AW23" s="305"/>
      <c r="AX23" s="19">
        <f>PL!T44/PL!T6</f>
        <v>0.47837515176680112</v>
      </c>
      <c r="AY23" s="307"/>
      <c r="AZ23" s="309"/>
      <c r="BA23" s="315"/>
      <c r="BB23" s="305"/>
      <c r="BC23" s="19">
        <f>PL!U44/PL!U6</f>
        <v>0.42296824010492534</v>
      </c>
      <c r="BD23" s="307"/>
      <c r="BE23" s="309"/>
      <c r="BF23" s="315"/>
      <c r="BG23" s="305"/>
      <c r="BH23" s="19">
        <f>PL!V44/PL!V6</f>
        <v>0.41332137540784397</v>
      </c>
      <c r="BI23" s="307"/>
      <c r="BJ23" s="309"/>
      <c r="BK23" s="315"/>
      <c r="BL23" s="305"/>
      <c r="BM23" s="19">
        <f>PL!W44/PL!W6</f>
        <v>0.39194505665445922</v>
      </c>
      <c r="BN23" s="307"/>
      <c r="BO23" s="309"/>
      <c r="BP23" s="315"/>
      <c r="BQ23" s="305"/>
      <c r="BR23" s="19">
        <f>PL!X44/PL!X6</f>
        <v>0.44459424544625437</v>
      </c>
      <c r="BS23" s="307"/>
      <c r="BT23" s="309"/>
      <c r="BU23" s="315"/>
      <c r="BV23" s="305"/>
      <c r="BW23" s="19">
        <f>PL!Y44/PL!Y6</f>
        <v>0.43243857485529824</v>
      </c>
      <c r="BX23" s="307"/>
      <c r="BY23" s="309"/>
      <c r="BZ23" s="315"/>
      <c r="CA23" s="305"/>
      <c r="CB23" s="19">
        <f>PL!Z44/PL!Z6</f>
        <v>0.44446805056378136</v>
      </c>
      <c r="CC23" s="307"/>
      <c r="CD23" s="309"/>
      <c r="CE23" s="315"/>
      <c r="CF23" s="305"/>
      <c r="CG23" s="19">
        <f>PL!AA44/PL!AA6</f>
        <v>0.43237458542930834</v>
      </c>
      <c r="CH23" s="307"/>
      <c r="CI23" s="309"/>
      <c r="CJ23" s="315"/>
      <c r="CK23" s="305"/>
      <c r="CL23" s="19">
        <f>PL!AB44/PL!AB6</f>
        <v>0.45716275994817906</v>
      </c>
      <c r="CM23" s="307"/>
      <c r="CN23" s="309"/>
      <c r="CO23" s="315"/>
      <c r="CP23" s="305"/>
      <c r="CQ23" s="19">
        <f>PL!AC44/PL!AC6</f>
        <v>0.43383065433655099</v>
      </c>
      <c r="CR23" s="307"/>
      <c r="CS23" s="309"/>
      <c r="CT23" s="315"/>
    </row>
    <row r="24" spans="1:98" ht="18" customHeight="1" x14ac:dyDescent="0.2">
      <c r="A24" s="20"/>
      <c r="B24" s="320" t="s">
        <v>131</v>
      </c>
      <c r="C24" s="322" t="s">
        <v>132</v>
      </c>
      <c r="D24" s="304"/>
      <c r="E24" s="10">
        <f>+H22</f>
        <v>939365.30711175455</v>
      </c>
      <c r="F24" s="306" t="s">
        <v>133</v>
      </c>
      <c r="G24" s="308">
        <v>100</v>
      </c>
      <c r="H24" s="310">
        <f>IF(E25=0,"-",(E24/E25)*G24)</f>
        <v>91.284754666255878</v>
      </c>
      <c r="I24" s="304"/>
      <c r="J24" s="10">
        <f>+M22</f>
        <v>762589.34190902009</v>
      </c>
      <c r="K24" s="306" t="s">
        <v>111</v>
      </c>
      <c r="L24" s="308">
        <v>100</v>
      </c>
      <c r="M24" s="310">
        <f>IF(J25=0,"-",(J24/J25)*L24)</f>
        <v>96.208746725187737</v>
      </c>
      <c r="N24" s="304"/>
      <c r="O24" s="10">
        <f>+R22</f>
        <v>761711.25389553537</v>
      </c>
      <c r="P24" s="306" t="s">
        <v>111</v>
      </c>
      <c r="Q24" s="308">
        <v>100</v>
      </c>
      <c r="R24" s="310">
        <f>IF(O25=0,"-",(O24/O25)*Q24)</f>
        <v>91.436358712560363</v>
      </c>
      <c r="S24" s="304"/>
      <c r="T24" s="10">
        <f>+W22</f>
        <v>759485.2035914798</v>
      </c>
      <c r="U24" s="306" t="s">
        <v>111</v>
      </c>
      <c r="V24" s="308">
        <v>100</v>
      </c>
      <c r="W24" s="310">
        <f>IF(T25=0,"-",(T24/T25)*V24)</f>
        <v>91.718146959880571</v>
      </c>
      <c r="X24" s="304"/>
      <c r="Y24" s="10">
        <f>+AB22</f>
        <v>749141.67630758707</v>
      </c>
      <c r="Z24" s="306" t="s">
        <v>111</v>
      </c>
      <c r="AA24" s="308">
        <v>100</v>
      </c>
      <c r="AB24" s="310">
        <f>IF(Y25=0,"-",(Y24/Y25)*AA24)</f>
        <v>93.443528167046637</v>
      </c>
      <c r="AC24" s="304"/>
      <c r="AD24" s="10">
        <f>+AG22</f>
        <v>894582.02162514557</v>
      </c>
      <c r="AE24" s="306" t="s">
        <v>111</v>
      </c>
      <c r="AF24" s="308">
        <v>100</v>
      </c>
      <c r="AG24" s="310">
        <f>IF(AD25=0,"-",(AD24/AD25)*AF24)</f>
        <v>97.027098576663661</v>
      </c>
      <c r="AH24" s="304"/>
      <c r="AI24" s="10">
        <f>+AL22</f>
        <v>674020.74152040249</v>
      </c>
      <c r="AJ24" s="306" t="s">
        <v>133</v>
      </c>
      <c r="AK24" s="308">
        <v>100</v>
      </c>
      <c r="AL24" s="310">
        <f>IF(AI25=0,"-",(AI24/AI25)*AK24)</f>
        <v>102.16109455349623</v>
      </c>
      <c r="AM24" s="304"/>
      <c r="AN24" s="10">
        <f>+AQ22</f>
        <v>562836.40972079744</v>
      </c>
      <c r="AO24" s="306" t="s">
        <v>133</v>
      </c>
      <c r="AP24" s="308">
        <v>100</v>
      </c>
      <c r="AQ24" s="310">
        <f>IF(AN25=0,"-",(AN24/AN25)*AP24)</f>
        <v>94.184876925067755</v>
      </c>
      <c r="AR24" s="304"/>
      <c r="AS24" s="10">
        <f>+AV22</f>
        <v>525426.40399144427</v>
      </c>
      <c r="AT24" s="306" t="s">
        <v>111</v>
      </c>
      <c r="AU24" s="308">
        <v>100</v>
      </c>
      <c r="AV24" s="310">
        <f>IF(AS25=0,"-",(AS24/AS25)*AU24)</f>
        <v>93.468311449659353</v>
      </c>
      <c r="AW24" s="304"/>
      <c r="AX24" s="10">
        <f>+BA22</f>
        <v>379323.23693145363</v>
      </c>
      <c r="AY24" s="306" t="s">
        <v>111</v>
      </c>
      <c r="AZ24" s="308">
        <v>100</v>
      </c>
      <c r="BA24" s="310">
        <f>IF(AX25=0,"-",(AX24/AX25)*AZ24)</f>
        <v>94.319148514847086</v>
      </c>
      <c r="BB24" s="304"/>
      <c r="BC24" s="10">
        <f>+BF22</f>
        <v>661692.38579891482</v>
      </c>
      <c r="BD24" s="306" t="s">
        <v>111</v>
      </c>
      <c r="BE24" s="308">
        <v>100</v>
      </c>
      <c r="BF24" s="310">
        <f>IF(BC25=0,"-",(BC24/BC25)*BE24)</f>
        <v>91.96841805447113</v>
      </c>
      <c r="BG24" s="304"/>
      <c r="BH24" s="10">
        <f>+BK22</f>
        <v>702068.37187790161</v>
      </c>
      <c r="BI24" s="306" t="s">
        <v>111</v>
      </c>
      <c r="BJ24" s="308">
        <v>100</v>
      </c>
      <c r="BK24" s="310">
        <f>IF(BH25=0,"-",(BH24/BH25)*BJ24)</f>
        <v>92.722604534555302</v>
      </c>
      <c r="BL24" s="304"/>
      <c r="BM24" s="10">
        <f>+BP22</f>
        <v>748120.00473099505</v>
      </c>
      <c r="BN24" s="306" t="s">
        <v>111</v>
      </c>
      <c r="BO24" s="308">
        <v>100</v>
      </c>
      <c r="BP24" s="310">
        <f>IF(BM25=0,"-",(BM24/BM25)*BO24)</f>
        <v>94.005419836328073</v>
      </c>
      <c r="BQ24" s="304"/>
      <c r="BR24" s="10">
        <f>+BU22</f>
        <v>707813.46706772002</v>
      </c>
      <c r="BS24" s="306" t="s">
        <v>111</v>
      </c>
      <c r="BT24" s="308">
        <v>100</v>
      </c>
      <c r="BU24" s="310">
        <f>IF(BR25=0,"-",(BR24/BR25)*BT24)</f>
        <v>93.084192976964502</v>
      </c>
      <c r="BV24" s="304"/>
      <c r="BW24" s="10">
        <f>+BZ22</f>
        <v>692830.77702300728</v>
      </c>
      <c r="BX24" s="306" t="s">
        <v>111</v>
      </c>
      <c r="BY24" s="308">
        <v>100</v>
      </c>
      <c r="BZ24" s="310">
        <f>IF(BW25=0,"-",(BW24/BW25)*BY24)</f>
        <v>91.029096697326978</v>
      </c>
      <c r="CA24" s="304"/>
      <c r="CB24" s="10">
        <f>+CE22</f>
        <v>808821.56049379194</v>
      </c>
      <c r="CC24" s="306" t="s">
        <v>111</v>
      </c>
      <c r="CD24" s="308">
        <v>100</v>
      </c>
      <c r="CE24" s="310">
        <f>IF(CB25=0,"-",(CB24/CB25)*CD24)</f>
        <v>93.388179337912803</v>
      </c>
      <c r="CF24" s="304"/>
      <c r="CG24" s="10">
        <f>+CJ22</f>
        <v>818033.99759431812</v>
      </c>
      <c r="CH24" s="306" t="s">
        <v>126</v>
      </c>
      <c r="CI24" s="308">
        <v>100</v>
      </c>
      <c r="CJ24" s="310">
        <f>IF(CG25=0,"-",(CG24/CG25)*CI24)</f>
        <v>95.953298229717191</v>
      </c>
      <c r="CK24" s="304"/>
      <c r="CL24" s="10">
        <f>+CO22</f>
        <v>868818.58551853639</v>
      </c>
      <c r="CM24" s="306" t="s">
        <v>111</v>
      </c>
      <c r="CN24" s="308">
        <v>100</v>
      </c>
      <c r="CO24" s="310">
        <f>IF(CL25=0,"-",(CL24/CL25)*CN24)</f>
        <v>98.403358420622084</v>
      </c>
      <c r="CP24" s="304"/>
      <c r="CQ24" s="10">
        <f>+CT22</f>
        <v>819702.36584563158</v>
      </c>
      <c r="CR24" s="306" t="s">
        <v>111</v>
      </c>
      <c r="CS24" s="308">
        <v>100</v>
      </c>
      <c r="CT24" s="310">
        <f>IF(CQ25=0,"-",(CQ24/CQ25)*CS24)</f>
        <v>94.918200084205154</v>
      </c>
    </row>
    <row r="25" spans="1:98" ht="18" customHeight="1" x14ac:dyDescent="0.2">
      <c r="A25" s="20"/>
      <c r="B25" s="321"/>
      <c r="C25" s="323"/>
      <c r="D25" s="305"/>
      <c r="E25" s="12">
        <f>+E12</f>
        <v>1029049.49522639</v>
      </c>
      <c r="F25" s="307"/>
      <c r="G25" s="309"/>
      <c r="H25" s="311"/>
      <c r="I25" s="305"/>
      <c r="J25" s="12">
        <f>+J12</f>
        <v>792640.34494420025</v>
      </c>
      <c r="K25" s="307"/>
      <c r="L25" s="309"/>
      <c r="M25" s="311"/>
      <c r="N25" s="305"/>
      <c r="O25" s="12">
        <f>+O12</f>
        <v>833050.73016966193</v>
      </c>
      <c r="P25" s="307"/>
      <c r="Q25" s="309"/>
      <c r="R25" s="311"/>
      <c r="S25" s="305"/>
      <c r="T25" s="12">
        <f>+T12</f>
        <v>828064.26946642785</v>
      </c>
      <c r="U25" s="307"/>
      <c r="V25" s="309"/>
      <c r="W25" s="311"/>
      <c r="X25" s="305"/>
      <c r="Y25" s="12">
        <f>+Y12</f>
        <v>801705.25557250518</v>
      </c>
      <c r="Z25" s="307"/>
      <c r="AA25" s="309"/>
      <c r="AB25" s="311"/>
      <c r="AC25" s="305"/>
      <c r="AD25" s="12">
        <f>+AD12</f>
        <v>921991.9329220308</v>
      </c>
      <c r="AE25" s="307"/>
      <c r="AF25" s="309"/>
      <c r="AG25" s="311"/>
      <c r="AH25" s="305"/>
      <c r="AI25" s="12">
        <f>+AI12</f>
        <v>659762.64689240814</v>
      </c>
      <c r="AJ25" s="307"/>
      <c r="AK25" s="309"/>
      <c r="AL25" s="311"/>
      <c r="AM25" s="305"/>
      <c r="AN25" s="12">
        <f>+AN12</f>
        <v>597586.81870825472</v>
      </c>
      <c r="AO25" s="307"/>
      <c r="AP25" s="309"/>
      <c r="AQ25" s="311"/>
      <c r="AR25" s="305"/>
      <c r="AS25" s="12">
        <f>+AS12</f>
        <v>562143.89223713661</v>
      </c>
      <c r="AT25" s="307"/>
      <c r="AU25" s="309"/>
      <c r="AV25" s="311"/>
      <c r="AW25" s="305"/>
      <c r="AX25" s="12">
        <f>+AX12</f>
        <v>402169.91237123299</v>
      </c>
      <c r="AY25" s="307"/>
      <c r="AZ25" s="309"/>
      <c r="BA25" s="311"/>
      <c r="BB25" s="305"/>
      <c r="BC25" s="12">
        <f>+BC12</f>
        <v>719477.8379323727</v>
      </c>
      <c r="BD25" s="307"/>
      <c r="BE25" s="309"/>
      <c r="BF25" s="311"/>
      <c r="BG25" s="305"/>
      <c r="BH25" s="12">
        <f>+BH12</f>
        <v>757170.67634382402</v>
      </c>
      <c r="BI25" s="307"/>
      <c r="BJ25" s="309"/>
      <c r="BK25" s="311"/>
      <c r="BL25" s="305"/>
      <c r="BM25" s="12">
        <f>+BM12</f>
        <v>795826.45982916676</v>
      </c>
      <c r="BN25" s="307"/>
      <c r="BO25" s="309"/>
      <c r="BP25" s="311"/>
      <c r="BQ25" s="305"/>
      <c r="BR25" s="12">
        <f>+BR12</f>
        <v>760401.3575568971</v>
      </c>
      <c r="BS25" s="307"/>
      <c r="BT25" s="309"/>
      <c r="BU25" s="311"/>
      <c r="BV25" s="305"/>
      <c r="BW25" s="12">
        <f>+BW12</f>
        <v>761109.14219733421</v>
      </c>
      <c r="BX25" s="307"/>
      <c r="BY25" s="309"/>
      <c r="BZ25" s="311"/>
      <c r="CA25" s="305"/>
      <c r="CB25" s="12">
        <f>+CB12</f>
        <v>866085.58623589599</v>
      </c>
      <c r="CC25" s="307"/>
      <c r="CD25" s="309"/>
      <c r="CE25" s="311"/>
      <c r="CF25" s="305"/>
      <c r="CG25" s="12">
        <f>+CG12</f>
        <v>852533.48523351655</v>
      </c>
      <c r="CH25" s="307"/>
      <c r="CI25" s="309"/>
      <c r="CJ25" s="311"/>
      <c r="CK25" s="305"/>
      <c r="CL25" s="12">
        <f>+CL12</f>
        <v>882915.58282472275</v>
      </c>
      <c r="CM25" s="307"/>
      <c r="CN25" s="309"/>
      <c r="CO25" s="311"/>
      <c r="CP25" s="305"/>
      <c r="CQ25" s="12">
        <f>+CQ12</f>
        <v>863588.18974490231</v>
      </c>
      <c r="CR25" s="307"/>
      <c r="CS25" s="309"/>
      <c r="CT25" s="311"/>
    </row>
    <row r="26" spans="1:98" ht="18" customHeight="1" x14ac:dyDescent="0.2">
      <c r="A26" s="327" t="s">
        <v>134</v>
      </c>
      <c r="B26" s="328"/>
      <c r="C26" s="329"/>
      <c r="D26" s="13"/>
      <c r="E26" s="14"/>
      <c r="F26" s="13"/>
      <c r="G26" s="13"/>
      <c r="H26" s="15"/>
      <c r="I26" s="13"/>
      <c r="J26" s="14"/>
      <c r="K26" s="13"/>
      <c r="L26" s="13"/>
      <c r="M26" s="15"/>
      <c r="N26" s="13"/>
      <c r="O26" s="14"/>
      <c r="P26" s="13"/>
      <c r="Q26" s="13"/>
      <c r="R26" s="15"/>
      <c r="S26" s="13"/>
      <c r="T26" s="14"/>
      <c r="U26" s="13"/>
      <c r="V26" s="13"/>
      <c r="W26" s="15"/>
      <c r="X26" s="13"/>
      <c r="Y26" s="14"/>
      <c r="Z26" s="13"/>
      <c r="AA26" s="13"/>
      <c r="AB26" s="15"/>
      <c r="AC26" s="13"/>
      <c r="AD26" s="14"/>
      <c r="AE26" s="13"/>
      <c r="AF26" s="13"/>
      <c r="AG26" s="15"/>
      <c r="AH26" s="13"/>
      <c r="AI26" s="14"/>
      <c r="AJ26" s="13"/>
      <c r="AK26" s="13"/>
      <c r="AL26" s="15"/>
      <c r="AM26" s="13"/>
      <c r="AN26" s="14"/>
      <c r="AO26" s="13"/>
      <c r="AP26" s="13"/>
      <c r="AQ26" s="15"/>
      <c r="AR26" s="13"/>
      <c r="AS26" s="14"/>
      <c r="AT26" s="13"/>
      <c r="AU26" s="13"/>
      <c r="AV26" s="15"/>
      <c r="AW26" s="13"/>
      <c r="AX26" s="14"/>
      <c r="AY26" s="13"/>
      <c r="AZ26" s="13"/>
      <c r="BA26" s="15"/>
      <c r="BB26" s="13"/>
      <c r="BC26" s="14"/>
      <c r="BD26" s="13"/>
      <c r="BE26" s="13"/>
      <c r="BF26" s="15"/>
      <c r="BG26" s="13"/>
      <c r="BH26" s="14"/>
      <c r="BI26" s="13"/>
      <c r="BJ26" s="13"/>
      <c r="BK26" s="15"/>
      <c r="BL26" s="13"/>
      <c r="BM26" s="14"/>
      <c r="BN26" s="13"/>
      <c r="BO26" s="13"/>
      <c r="BP26" s="15"/>
      <c r="BQ26" s="13"/>
      <c r="BR26" s="14"/>
      <c r="BS26" s="13"/>
      <c r="BT26" s="13"/>
      <c r="BU26" s="15"/>
      <c r="BV26" s="13"/>
      <c r="BW26" s="14"/>
      <c r="BX26" s="13"/>
      <c r="BY26" s="13"/>
      <c r="BZ26" s="15"/>
      <c r="CA26" s="13"/>
      <c r="CB26" s="14"/>
      <c r="CC26" s="13"/>
      <c r="CD26" s="13"/>
      <c r="CE26" s="15"/>
      <c r="CF26" s="13"/>
      <c r="CG26" s="14"/>
      <c r="CH26" s="13"/>
      <c r="CI26" s="13"/>
      <c r="CJ26" s="15"/>
      <c r="CK26" s="13"/>
      <c r="CL26" s="14"/>
      <c r="CM26" s="13"/>
      <c r="CN26" s="13"/>
      <c r="CO26" s="15"/>
      <c r="CP26" s="13"/>
      <c r="CQ26" s="14"/>
      <c r="CR26" s="13"/>
      <c r="CS26" s="13"/>
      <c r="CT26" s="15"/>
    </row>
    <row r="27" spans="1:98" ht="18" customHeight="1" x14ac:dyDescent="0.2">
      <c r="A27" s="17"/>
      <c r="B27" s="320" t="s">
        <v>135</v>
      </c>
      <c r="C27" s="322" t="s">
        <v>136</v>
      </c>
      <c r="D27" s="304"/>
      <c r="E27" s="10">
        <f>+E12</f>
        <v>1029049.49522639</v>
      </c>
      <c r="F27" s="306"/>
      <c r="G27" s="308"/>
      <c r="H27" s="310">
        <f>IF(E28=0,"-",(E27/E28))</f>
        <v>1.3998032424194702</v>
      </c>
      <c r="I27" s="304"/>
      <c r="J27" s="10">
        <f>+J12</f>
        <v>792640.34494420025</v>
      </c>
      <c r="K27" s="306"/>
      <c r="L27" s="308"/>
      <c r="M27" s="310">
        <f>IF(J28=0,"-",(J27/J28))</f>
        <v>1.3254729711866367</v>
      </c>
      <c r="N27" s="304"/>
      <c r="O27" s="10">
        <f>+O12</f>
        <v>833050.73016966193</v>
      </c>
      <c r="P27" s="306"/>
      <c r="Q27" s="308"/>
      <c r="R27" s="310">
        <f>IF(O28=0,"-",(O27/O28))</f>
        <v>1.2009717828565645</v>
      </c>
      <c r="S27" s="304"/>
      <c r="T27" s="10">
        <f>+T12</f>
        <v>828064.26946642785</v>
      </c>
      <c r="U27" s="306"/>
      <c r="V27" s="308"/>
      <c r="W27" s="310">
        <f>IF(T28=0,"-",(T27/T28))</f>
        <v>1.4487208396207714</v>
      </c>
      <c r="X27" s="304"/>
      <c r="Y27" s="10">
        <f>+Y12</f>
        <v>801705.25557250518</v>
      </c>
      <c r="Z27" s="306"/>
      <c r="AA27" s="308"/>
      <c r="AB27" s="310">
        <f>IF(Y28=0,"-",(Y27/Y28))</f>
        <v>1.2590083090893338</v>
      </c>
      <c r="AC27" s="304"/>
      <c r="AD27" s="10">
        <f>+AD12</f>
        <v>921991.9329220308</v>
      </c>
      <c r="AE27" s="306"/>
      <c r="AF27" s="308"/>
      <c r="AG27" s="310">
        <f>IF(AD28=0,"-",(AD27/AD28))</f>
        <v>1.4349542020611585</v>
      </c>
      <c r="AH27" s="304"/>
      <c r="AI27" s="10">
        <f>+AI12</f>
        <v>659762.64689240814</v>
      </c>
      <c r="AJ27" s="306"/>
      <c r="AK27" s="308"/>
      <c r="AL27" s="310">
        <f>IF(AI28=0,"-",(AI27/AI28))</f>
        <v>1.0796486098471838</v>
      </c>
      <c r="AM27" s="304"/>
      <c r="AN27" s="10">
        <f>+AN12</f>
        <v>597586.81870825472</v>
      </c>
      <c r="AO27" s="306"/>
      <c r="AP27" s="308"/>
      <c r="AQ27" s="310">
        <f>IF(AN28=0,"-",(AN27/AN28))</f>
        <v>1.3253802348130883</v>
      </c>
      <c r="AR27" s="304"/>
      <c r="AS27" s="10">
        <f>+AS12</f>
        <v>562143.89223713661</v>
      </c>
      <c r="AT27" s="306"/>
      <c r="AU27" s="308"/>
      <c r="AV27" s="310">
        <f>IF(AS28=0,"-",(AS27/AS28))</f>
        <v>1.2057280220677795</v>
      </c>
      <c r="AW27" s="304"/>
      <c r="AX27" s="10">
        <f>+AX12</f>
        <v>402169.91237123299</v>
      </c>
      <c r="AY27" s="306"/>
      <c r="AZ27" s="308"/>
      <c r="BA27" s="310">
        <f>IF(AX28=0,"-",(AX27/AX28))</f>
        <v>1.1096602794466865</v>
      </c>
      <c r="BB27" s="304"/>
      <c r="BC27" s="10">
        <f>+BC12</f>
        <v>719477.8379323727</v>
      </c>
      <c r="BD27" s="306"/>
      <c r="BE27" s="308"/>
      <c r="BF27" s="310">
        <f>IF(BC28=0,"-",(BC27/BC28))</f>
        <v>1.245967614369496</v>
      </c>
      <c r="BG27" s="304"/>
      <c r="BH27" s="10">
        <f>+BH12</f>
        <v>757170.67634382402</v>
      </c>
      <c r="BI27" s="306"/>
      <c r="BJ27" s="308"/>
      <c r="BK27" s="310">
        <f>IF(BH28=0,"-",(BH27/BH28))</f>
        <v>1.2498089574379039</v>
      </c>
      <c r="BL27" s="304"/>
      <c r="BM27" s="10">
        <f>+BM12</f>
        <v>795826.45982916676</v>
      </c>
      <c r="BN27" s="306"/>
      <c r="BO27" s="308"/>
      <c r="BP27" s="310">
        <f>IF(BM28=0,"-",(BM27/BM28))</f>
        <v>1.3341126005515191</v>
      </c>
      <c r="BQ27" s="304"/>
      <c r="BR27" s="10">
        <f>+BR12</f>
        <v>760401.3575568971</v>
      </c>
      <c r="BS27" s="306"/>
      <c r="BT27" s="308"/>
      <c r="BU27" s="310">
        <f>IF(BR28=0,"-",(BR27/BR28))</f>
        <v>1.2855730233172702</v>
      </c>
      <c r="BV27" s="304"/>
      <c r="BW27" s="10">
        <f>+BW12</f>
        <v>761109.14219733421</v>
      </c>
      <c r="BX27" s="306"/>
      <c r="BY27" s="308"/>
      <c r="BZ27" s="310">
        <f>IF(BW28=0,"-",(BW27/BW28))</f>
        <v>1.1133195246254737</v>
      </c>
      <c r="CA27" s="304"/>
      <c r="CB27" s="10">
        <f>+CB12</f>
        <v>866085.58623589599</v>
      </c>
      <c r="CC27" s="306"/>
      <c r="CD27" s="308"/>
      <c r="CE27" s="310">
        <f>IF(CB28=0,"-",(CB27/CB28))</f>
        <v>1.1848426334106796</v>
      </c>
      <c r="CF27" s="304"/>
      <c r="CG27" s="10">
        <f>+CG12</f>
        <v>852533.48523351655</v>
      </c>
      <c r="CH27" s="306"/>
      <c r="CI27" s="308"/>
      <c r="CJ27" s="310">
        <f>IF(CG28=0,"-",(CG27/CG28))</f>
        <v>0.86712595645264878</v>
      </c>
      <c r="CK27" s="304"/>
      <c r="CL27" s="10">
        <f>+CL12</f>
        <v>882915.58282472275</v>
      </c>
      <c r="CM27" s="306"/>
      <c r="CN27" s="308"/>
      <c r="CO27" s="310">
        <f>IF(CL28=0,"-",(CL27/CL28))</f>
        <v>1.0157103031093289</v>
      </c>
      <c r="CP27" s="304"/>
      <c r="CQ27" s="10">
        <f>+CQ12</f>
        <v>863588.18974490231</v>
      </c>
      <c r="CR27" s="306"/>
      <c r="CS27" s="308"/>
      <c r="CT27" s="310">
        <f>IF(CQ28=0,"-",(CQ27/CQ28))</f>
        <v>1.0955438591070443</v>
      </c>
    </row>
    <row r="28" spans="1:98" ht="18" customHeight="1" x14ac:dyDescent="0.2">
      <c r="A28" s="17"/>
      <c r="B28" s="321"/>
      <c r="C28" s="323"/>
      <c r="D28" s="305"/>
      <c r="E28" s="12">
        <f>+E7</f>
        <v>735138.67095188599</v>
      </c>
      <c r="F28" s="307"/>
      <c r="G28" s="309"/>
      <c r="H28" s="311"/>
      <c r="I28" s="305"/>
      <c r="J28" s="12">
        <f>+J7</f>
        <v>598005.66452485626</v>
      </c>
      <c r="K28" s="307"/>
      <c r="L28" s="309"/>
      <c r="M28" s="311"/>
      <c r="N28" s="305"/>
      <c r="O28" s="12">
        <f>+O7</f>
        <v>693647.21308290353</v>
      </c>
      <c r="P28" s="307"/>
      <c r="Q28" s="309"/>
      <c r="R28" s="311"/>
      <c r="S28" s="305"/>
      <c r="T28" s="12">
        <f>+T7</f>
        <v>571583.04541486991</v>
      </c>
      <c r="U28" s="307"/>
      <c r="V28" s="309"/>
      <c r="W28" s="311"/>
      <c r="X28" s="305"/>
      <c r="Y28" s="12">
        <f>+Y7</f>
        <v>636775.19027050328</v>
      </c>
      <c r="Z28" s="307"/>
      <c r="AA28" s="309"/>
      <c r="AB28" s="311"/>
      <c r="AC28" s="305"/>
      <c r="AD28" s="12">
        <f>+AD7</f>
        <v>642523.595246237</v>
      </c>
      <c r="AE28" s="307"/>
      <c r="AF28" s="309"/>
      <c r="AG28" s="311"/>
      <c r="AH28" s="305"/>
      <c r="AI28" s="12">
        <f>+AI7</f>
        <v>611090.16477666062</v>
      </c>
      <c r="AJ28" s="307"/>
      <c r="AK28" s="309"/>
      <c r="AL28" s="311"/>
      <c r="AM28" s="305"/>
      <c r="AN28" s="12">
        <f>+AN7</f>
        <v>450879.5310294705</v>
      </c>
      <c r="AO28" s="307"/>
      <c r="AP28" s="309"/>
      <c r="AQ28" s="311"/>
      <c r="AR28" s="305"/>
      <c r="AS28" s="12">
        <f>+AS7</f>
        <v>466227.77438072674</v>
      </c>
      <c r="AT28" s="307"/>
      <c r="AU28" s="309"/>
      <c r="AV28" s="311"/>
      <c r="AW28" s="305"/>
      <c r="AX28" s="12">
        <f>+AX7</f>
        <v>362426.15854626091</v>
      </c>
      <c r="AY28" s="307"/>
      <c r="AZ28" s="309"/>
      <c r="BA28" s="311"/>
      <c r="BB28" s="305"/>
      <c r="BC28" s="12">
        <f>+BC7</f>
        <v>577445.05526048853</v>
      </c>
      <c r="BD28" s="307"/>
      <c r="BE28" s="309"/>
      <c r="BF28" s="311"/>
      <c r="BG28" s="305"/>
      <c r="BH28" s="12">
        <f>+BH7</f>
        <v>605829.1323947754</v>
      </c>
      <c r="BI28" s="307"/>
      <c r="BJ28" s="309"/>
      <c r="BK28" s="311"/>
      <c r="BL28" s="305"/>
      <c r="BM28" s="12">
        <f>+BM7</f>
        <v>596521.20780522865</v>
      </c>
      <c r="BN28" s="307"/>
      <c r="BO28" s="309"/>
      <c r="BP28" s="311"/>
      <c r="BQ28" s="305"/>
      <c r="BR28" s="12">
        <f>+BR7</f>
        <v>591488.26536105329</v>
      </c>
      <c r="BS28" s="307"/>
      <c r="BT28" s="309"/>
      <c r="BU28" s="311"/>
      <c r="BV28" s="305"/>
      <c r="BW28" s="12">
        <f>+BW7</f>
        <v>683639.44524674991</v>
      </c>
      <c r="BX28" s="307"/>
      <c r="BY28" s="309"/>
      <c r="BZ28" s="311"/>
      <c r="CA28" s="305"/>
      <c r="CB28" s="12">
        <f>+CB7</f>
        <v>730970.98451191629</v>
      </c>
      <c r="CC28" s="307"/>
      <c r="CD28" s="309"/>
      <c r="CE28" s="311"/>
      <c r="CF28" s="305"/>
      <c r="CG28" s="12">
        <f>+CG7</f>
        <v>983171.45149381866</v>
      </c>
      <c r="CH28" s="307"/>
      <c r="CI28" s="309"/>
      <c r="CJ28" s="311"/>
      <c r="CK28" s="305"/>
      <c r="CL28" s="12">
        <f>+CL7</f>
        <v>869259.25642568548</v>
      </c>
      <c r="CM28" s="307"/>
      <c r="CN28" s="309"/>
      <c r="CO28" s="311"/>
      <c r="CP28" s="305"/>
      <c r="CQ28" s="12">
        <f>+CQ7</f>
        <v>788273.49773910071</v>
      </c>
      <c r="CR28" s="307"/>
      <c r="CS28" s="309"/>
      <c r="CT28" s="311"/>
    </row>
    <row r="29" spans="1:98" ht="18" customHeight="1" x14ac:dyDescent="0.2">
      <c r="A29" s="17"/>
      <c r="B29" s="320" t="s">
        <v>137</v>
      </c>
      <c r="C29" s="322" t="s">
        <v>136</v>
      </c>
      <c r="D29" s="304"/>
      <c r="E29" s="10">
        <f>+E12</f>
        <v>1029049.49522639</v>
      </c>
      <c r="F29" s="306"/>
      <c r="G29" s="308"/>
      <c r="H29" s="310">
        <f>IF(E30=0,"-",(E29/E30))</f>
        <v>3.0184257310168467</v>
      </c>
      <c r="I29" s="304"/>
      <c r="J29" s="10">
        <f>+J12</f>
        <v>792640.34494420025</v>
      </c>
      <c r="K29" s="306"/>
      <c r="L29" s="308"/>
      <c r="M29" s="310">
        <f>IF(J30=0,"-",(J29/J30))</f>
        <v>2.7248340093091383</v>
      </c>
      <c r="N29" s="304"/>
      <c r="O29" s="10">
        <f>+O12</f>
        <v>833050.73016966193</v>
      </c>
      <c r="P29" s="306"/>
      <c r="Q29" s="308"/>
      <c r="R29" s="310">
        <f>IF(O30=0,"-",(O29/O30))</f>
        <v>2.6453442024421281</v>
      </c>
      <c r="S29" s="304"/>
      <c r="T29" s="10">
        <f>+T12</f>
        <v>828064.26946642785</v>
      </c>
      <c r="U29" s="306"/>
      <c r="V29" s="308"/>
      <c r="W29" s="310">
        <f>IF(T30=0,"-",(T29/T30))</f>
        <v>3.631990774753056</v>
      </c>
      <c r="X29" s="304"/>
      <c r="Y29" s="10">
        <f>+Y12</f>
        <v>801705.25557250518</v>
      </c>
      <c r="Z29" s="306"/>
      <c r="AA29" s="308"/>
      <c r="AB29" s="310">
        <f>IF(Y30=0,"-",(Y29/Y30))</f>
        <v>2.8266915594550257</v>
      </c>
      <c r="AC29" s="304"/>
      <c r="AD29" s="10">
        <f>+AD12</f>
        <v>921991.9329220308</v>
      </c>
      <c r="AE29" s="306"/>
      <c r="AF29" s="308"/>
      <c r="AG29" s="310">
        <f>IF(AD30=0,"-",(AD29/AD30))</f>
        <v>2.6752889109402993</v>
      </c>
      <c r="AH29" s="304"/>
      <c r="AI29" s="10">
        <f>+AI12</f>
        <v>659762.64689240814</v>
      </c>
      <c r="AJ29" s="306"/>
      <c r="AK29" s="308"/>
      <c r="AL29" s="310">
        <f>IF(AI30=0,"-",(AI29/AI30))</f>
        <v>2.2014394478648165</v>
      </c>
      <c r="AM29" s="304"/>
      <c r="AN29" s="10">
        <f>+AN12</f>
        <v>597586.81870825472</v>
      </c>
      <c r="AO29" s="306"/>
      <c r="AP29" s="308"/>
      <c r="AQ29" s="310">
        <f>IF(AN30=0,"-",(AN29/AN30))</f>
        <v>3.1443348347580002</v>
      </c>
      <c r="AR29" s="304"/>
      <c r="AS29" s="10">
        <f>+AS12</f>
        <v>562143.89223713661</v>
      </c>
      <c r="AT29" s="306"/>
      <c r="AU29" s="308"/>
      <c r="AV29" s="310">
        <f>IF(AS30=0,"-",(AS29/AS30))</f>
        <v>2.8881387529249114</v>
      </c>
      <c r="AW29" s="304"/>
      <c r="AX29" s="10">
        <f>+AX12</f>
        <v>402169.91237123299</v>
      </c>
      <c r="AY29" s="306"/>
      <c r="AZ29" s="308"/>
      <c r="BA29" s="310">
        <f>IF(AX30=0,"-",(AX29/AX30))</f>
        <v>2.2884566566562192</v>
      </c>
      <c r="BB29" s="304"/>
      <c r="BC29" s="10">
        <f>+BC12</f>
        <v>719477.8379323727</v>
      </c>
      <c r="BD29" s="306"/>
      <c r="BE29" s="308"/>
      <c r="BF29" s="310">
        <f>IF(BC30=0,"-",(BC29/BC30))</f>
        <v>2.5465202369224795</v>
      </c>
      <c r="BG29" s="304"/>
      <c r="BH29" s="10">
        <f>+BH12</f>
        <v>757170.67634382402</v>
      </c>
      <c r="BI29" s="306"/>
      <c r="BJ29" s="308"/>
      <c r="BK29" s="310">
        <f>IF(BH30=0,"-",(BH29/BH30))</f>
        <v>2.7133821689222843</v>
      </c>
      <c r="BL29" s="304"/>
      <c r="BM29" s="10">
        <f>+BM12</f>
        <v>795826.45982916676</v>
      </c>
      <c r="BN29" s="306"/>
      <c r="BO29" s="308"/>
      <c r="BP29" s="310">
        <f>IF(BM30=0,"-",(BM29/BM30))</f>
        <v>2.7483006701240642</v>
      </c>
      <c r="BQ29" s="304"/>
      <c r="BR29" s="10">
        <f>+BR12</f>
        <v>760401.3575568971</v>
      </c>
      <c r="BS29" s="306"/>
      <c r="BT29" s="308"/>
      <c r="BU29" s="310">
        <f>IF(BR30=0,"-",(BR29/BR30))</f>
        <v>2.9072868926488362</v>
      </c>
      <c r="BV29" s="304"/>
      <c r="BW29" s="10">
        <f>+BW12</f>
        <v>761109.14219733421</v>
      </c>
      <c r="BX29" s="306"/>
      <c r="BY29" s="308"/>
      <c r="BZ29" s="310">
        <f>IF(BW30=0,"-",(BW29/BW30))</f>
        <v>2.3202215840426974</v>
      </c>
      <c r="CA29" s="304"/>
      <c r="CB29" s="10">
        <f>+CB12</f>
        <v>866085.58623589599</v>
      </c>
      <c r="CC29" s="306"/>
      <c r="CD29" s="308"/>
      <c r="CE29" s="310">
        <f>IF(CB30=0,"-",(CB29/CB30))</f>
        <v>2.5147415927447252</v>
      </c>
      <c r="CF29" s="304"/>
      <c r="CG29" s="10">
        <f>+CG12</f>
        <v>852533.48523351655</v>
      </c>
      <c r="CH29" s="306"/>
      <c r="CI29" s="308"/>
      <c r="CJ29" s="310">
        <f>IF(CG30=0,"-",(CG29/CG30))</f>
        <v>1.6773570988754307</v>
      </c>
      <c r="CK29" s="304"/>
      <c r="CL29" s="10">
        <f>+CL12</f>
        <v>882915.58282472275</v>
      </c>
      <c r="CM29" s="306"/>
      <c r="CN29" s="308"/>
      <c r="CO29" s="310">
        <f>IF(CL30=0,"-",(CL29/CL30))</f>
        <v>2.0833616358619058</v>
      </c>
      <c r="CP29" s="304"/>
      <c r="CQ29" s="10">
        <f>+CQ12</f>
        <v>863588.18974490231</v>
      </c>
      <c r="CR29" s="306"/>
      <c r="CS29" s="308"/>
      <c r="CT29" s="310">
        <f>IF(CQ30=0,"-",(CQ29/CQ30))</f>
        <v>2.4058481791018562</v>
      </c>
    </row>
    <row r="30" spans="1:98" ht="18" customHeight="1" x14ac:dyDescent="0.2">
      <c r="A30" s="17"/>
      <c r="B30" s="321"/>
      <c r="C30" s="323"/>
      <c r="D30" s="305"/>
      <c r="E30" s="12">
        <f>+BS!K15</f>
        <v>340922.58247471403</v>
      </c>
      <c r="F30" s="307"/>
      <c r="G30" s="309"/>
      <c r="H30" s="311"/>
      <c r="I30" s="305"/>
      <c r="J30" s="12">
        <f>+BS!L15</f>
        <v>290894.91038214409</v>
      </c>
      <c r="K30" s="307"/>
      <c r="L30" s="309"/>
      <c r="M30" s="311"/>
      <c r="N30" s="305"/>
      <c r="O30" s="12">
        <f>+BS!M15</f>
        <v>314912.03655108716</v>
      </c>
      <c r="P30" s="307"/>
      <c r="Q30" s="309"/>
      <c r="R30" s="311"/>
      <c r="S30" s="305"/>
      <c r="T30" s="12">
        <f>+BS!N15</f>
        <v>227991.84271681667</v>
      </c>
      <c r="U30" s="307"/>
      <c r="V30" s="309"/>
      <c r="W30" s="311"/>
      <c r="X30" s="305"/>
      <c r="Y30" s="12">
        <f>+BS!O15</f>
        <v>283619.64463044232</v>
      </c>
      <c r="Z30" s="307"/>
      <c r="AA30" s="309"/>
      <c r="AB30" s="311"/>
      <c r="AC30" s="305"/>
      <c r="AD30" s="12">
        <f>+BS!P15</f>
        <v>344632.65972943947</v>
      </c>
      <c r="AE30" s="307"/>
      <c r="AF30" s="309"/>
      <c r="AG30" s="311"/>
      <c r="AH30" s="305"/>
      <c r="AI30" s="12">
        <f>+BS!Q15</f>
        <v>299696.02276924497</v>
      </c>
      <c r="AJ30" s="307"/>
      <c r="AK30" s="309"/>
      <c r="AL30" s="311"/>
      <c r="AM30" s="305"/>
      <c r="AN30" s="12">
        <f>+BS!R15</f>
        <v>190051.90290246147</v>
      </c>
      <c r="AO30" s="307"/>
      <c r="AP30" s="309"/>
      <c r="AQ30" s="311"/>
      <c r="AR30" s="305"/>
      <c r="AS30" s="12">
        <f>+BS!S15</f>
        <v>194638.81078006912</v>
      </c>
      <c r="AT30" s="307"/>
      <c r="AU30" s="309"/>
      <c r="AV30" s="311"/>
      <c r="AW30" s="305"/>
      <c r="AX30" s="12">
        <f>+BS!T15</f>
        <v>175738.48785882795</v>
      </c>
      <c r="AY30" s="307"/>
      <c r="AZ30" s="309"/>
      <c r="BA30" s="311"/>
      <c r="BB30" s="305"/>
      <c r="BC30" s="12">
        <f>+BS!U15</f>
        <v>282533.72091865877</v>
      </c>
      <c r="BD30" s="307"/>
      <c r="BE30" s="309"/>
      <c r="BF30" s="311"/>
      <c r="BG30" s="305"/>
      <c r="BH30" s="12">
        <f>+BS!V15</f>
        <v>279050.50936653023</v>
      </c>
      <c r="BI30" s="307"/>
      <c r="BJ30" s="309"/>
      <c r="BK30" s="311"/>
      <c r="BL30" s="305"/>
      <c r="BM30" s="12">
        <f>+BS!W15</f>
        <v>289570.37651678827</v>
      </c>
      <c r="BN30" s="307"/>
      <c r="BO30" s="309"/>
      <c r="BP30" s="311"/>
      <c r="BQ30" s="305"/>
      <c r="BR30" s="12">
        <f>+BS!X15</f>
        <v>261550.16193262357</v>
      </c>
      <c r="BS30" s="307"/>
      <c r="BT30" s="309"/>
      <c r="BU30" s="311"/>
      <c r="BV30" s="305"/>
      <c r="BW30" s="12">
        <f>+BS!Y15</f>
        <v>328032.95488321257</v>
      </c>
      <c r="BX30" s="307"/>
      <c r="BY30" s="309"/>
      <c r="BZ30" s="311"/>
      <c r="CA30" s="305"/>
      <c r="CB30" s="12">
        <f>+BS!Z15</f>
        <v>344403.41255524522</v>
      </c>
      <c r="CC30" s="307"/>
      <c r="CD30" s="309"/>
      <c r="CE30" s="311"/>
      <c r="CF30" s="305"/>
      <c r="CG30" s="12">
        <f>+BS!AA15</f>
        <v>508259.97982486262</v>
      </c>
      <c r="CH30" s="307"/>
      <c r="CI30" s="309"/>
      <c r="CJ30" s="311"/>
      <c r="CK30" s="305"/>
      <c r="CL30" s="12">
        <f>+BS!AB15</f>
        <v>423793.72242757672</v>
      </c>
      <c r="CM30" s="307"/>
      <c r="CN30" s="309"/>
      <c r="CO30" s="311"/>
      <c r="CP30" s="305"/>
      <c r="CQ30" s="12">
        <f>+BS!AC15</f>
        <v>358953.73500554566</v>
      </c>
      <c r="CR30" s="307"/>
      <c r="CS30" s="309"/>
      <c r="CT30" s="311"/>
    </row>
    <row r="31" spans="1:98" ht="18" customHeight="1" x14ac:dyDescent="0.2">
      <c r="A31" s="17"/>
      <c r="B31" s="320" t="s">
        <v>138</v>
      </c>
      <c r="C31" s="322" t="s">
        <v>139</v>
      </c>
      <c r="D31" s="304"/>
      <c r="E31" s="10">
        <f>+BS!K11</f>
        <v>174055.865393705</v>
      </c>
      <c r="F31" s="306" t="s">
        <v>121</v>
      </c>
      <c r="G31" s="308">
        <v>365</v>
      </c>
      <c r="H31" s="310">
        <f>IF(E32=0,"-",(E31/E32)*G31)</f>
        <v>61.73696324949433</v>
      </c>
      <c r="I31" s="304"/>
      <c r="J31" s="10">
        <f>+BS!L11</f>
        <v>123260.14541765302</v>
      </c>
      <c r="K31" s="306" t="s">
        <v>111</v>
      </c>
      <c r="L31" s="308">
        <v>365</v>
      </c>
      <c r="M31" s="310">
        <f>IF(J32=0,"-",(J31/J32)*L31)</f>
        <v>56.759605241404323</v>
      </c>
      <c r="N31" s="304"/>
      <c r="O31" s="10">
        <f>+BS!M11</f>
        <v>175264.67674798219</v>
      </c>
      <c r="P31" s="306" t="s">
        <v>111</v>
      </c>
      <c r="Q31" s="308">
        <v>365</v>
      </c>
      <c r="R31" s="310">
        <f>IF(O32=0,"-",(O31/O32)*Q31)</f>
        <v>76.791970400151769</v>
      </c>
      <c r="S31" s="304"/>
      <c r="T31" s="10">
        <f>+BS!N11</f>
        <v>168605.88338026835</v>
      </c>
      <c r="U31" s="306" t="s">
        <v>111</v>
      </c>
      <c r="V31" s="308">
        <v>365</v>
      </c>
      <c r="W31" s="310">
        <f>IF(T32=0,"-",(T31/T32)*V31)</f>
        <v>74.319288614460632</v>
      </c>
      <c r="X31" s="304"/>
      <c r="Y31" s="10">
        <f>+BS!O11</f>
        <v>121617.92732788215</v>
      </c>
      <c r="Z31" s="306" t="s">
        <v>111</v>
      </c>
      <c r="AA31" s="308">
        <v>365</v>
      </c>
      <c r="AB31" s="310">
        <f>IF(Y32=0,"-",(Y31/Y32)*AA31)</f>
        <v>55.370154013743225</v>
      </c>
      <c r="AC31" s="304"/>
      <c r="AD31" s="10">
        <f>+BS!P11</f>
        <v>102994.74447046476</v>
      </c>
      <c r="AE31" s="306" t="s">
        <v>111</v>
      </c>
      <c r="AF31" s="308">
        <v>365</v>
      </c>
      <c r="AG31" s="310">
        <f>IF(AD32=0,"-",(AD31/AD32)*AF31)</f>
        <v>40.773764269907922</v>
      </c>
      <c r="AH31" s="304"/>
      <c r="AI31" s="10">
        <f>+BS!Q11</f>
        <v>105089.59000650214</v>
      </c>
      <c r="AJ31" s="306" t="s">
        <v>121</v>
      </c>
      <c r="AK31" s="308">
        <v>365</v>
      </c>
      <c r="AL31" s="310">
        <f>IF(AI32=0,"-",(AI31/AI32)*AK31)</f>
        <v>58.138635967107923</v>
      </c>
      <c r="AM31" s="304"/>
      <c r="AN31" s="10">
        <f>+BS!R11</f>
        <v>84338.67256966421</v>
      </c>
      <c r="AO31" s="306" t="s">
        <v>118</v>
      </c>
      <c r="AP31" s="308">
        <v>365</v>
      </c>
      <c r="AQ31" s="310">
        <f>IF(AN32=0,"-",(AN31/AN32)*AP31)</f>
        <v>51.513210338992053</v>
      </c>
      <c r="AR31" s="304"/>
      <c r="AS31" s="10">
        <f>+BS!S11</f>
        <v>113339.04409388624</v>
      </c>
      <c r="AT31" s="306" t="s">
        <v>111</v>
      </c>
      <c r="AU31" s="308">
        <v>365</v>
      </c>
      <c r="AV31" s="310">
        <f>IF(AS32=0,"-",(AS31/AS32)*AU31)</f>
        <v>73.591035436915064</v>
      </c>
      <c r="AW31" s="304"/>
      <c r="AX31" s="10">
        <f>+BS!T11</f>
        <v>62329.855011239255</v>
      </c>
      <c r="AY31" s="306" t="s">
        <v>111</v>
      </c>
      <c r="AZ31" s="308">
        <v>365</v>
      </c>
      <c r="BA31" s="310">
        <f>IF(AX32=0,"-",(AX31/AX32)*AZ31)</f>
        <v>56.569117627332609</v>
      </c>
      <c r="BB31" s="304"/>
      <c r="BC31" s="10">
        <f>+BS!U11</f>
        <v>119595.55855720089</v>
      </c>
      <c r="BD31" s="306" t="s">
        <v>111</v>
      </c>
      <c r="BE31" s="308">
        <v>365</v>
      </c>
      <c r="BF31" s="310">
        <f>IF(BC32=0,"-",(BC31/BC32)*BE31)</f>
        <v>60.672305068945604</v>
      </c>
      <c r="BG31" s="304"/>
      <c r="BH31" s="10">
        <f>+BS!V11</f>
        <v>104211.82996275507</v>
      </c>
      <c r="BI31" s="306" t="s">
        <v>111</v>
      </c>
      <c r="BJ31" s="308">
        <v>365</v>
      </c>
      <c r="BK31" s="310">
        <f>IF(BH32=0,"-",(BH31/BH32)*BJ31)</f>
        <v>50.23612129312469</v>
      </c>
      <c r="BL31" s="304"/>
      <c r="BM31" s="10">
        <f>+BS!W11</f>
        <v>110054.01216850527</v>
      </c>
      <c r="BN31" s="306" t="s">
        <v>111</v>
      </c>
      <c r="BO31" s="308">
        <v>365</v>
      </c>
      <c r="BP31" s="310">
        <f>IF(BM32=0,"-",(BM31/BM32)*BO31)</f>
        <v>50.475469802960951</v>
      </c>
      <c r="BQ31" s="304"/>
      <c r="BR31" s="10">
        <f>+BS!X11</f>
        <v>94619.010428851208</v>
      </c>
      <c r="BS31" s="306" t="s">
        <v>111</v>
      </c>
      <c r="BT31" s="308">
        <v>365</v>
      </c>
      <c r="BU31" s="310">
        <f>IF(BR32=0,"-",(BR31/BR32)*BT31)</f>
        <v>45.418039385794408</v>
      </c>
      <c r="BV31" s="304"/>
      <c r="BW31" s="10">
        <f>+BS!Y11</f>
        <v>105277.11276361525</v>
      </c>
      <c r="BX31" s="306" t="s">
        <v>111</v>
      </c>
      <c r="BY31" s="308">
        <v>365</v>
      </c>
      <c r="BZ31" s="310">
        <f>IF(BW32=0,"-",(BW31/BW32)*BY31)</f>
        <v>50.487037966437597</v>
      </c>
      <c r="CA31" s="304"/>
      <c r="CB31" s="10">
        <f>+BS!Z11</f>
        <v>119279.71071805501</v>
      </c>
      <c r="CC31" s="306" t="s">
        <v>111</v>
      </c>
      <c r="CD31" s="308">
        <v>365</v>
      </c>
      <c r="CE31" s="310">
        <f>IF(CB32=0,"-",(CB31/CB32)*CD31)</f>
        <v>50.268813041107308</v>
      </c>
      <c r="CF31" s="304"/>
      <c r="CG31" s="10">
        <f>+BS!AA11</f>
        <v>141684.92736950549</v>
      </c>
      <c r="CH31" s="306" t="s">
        <v>111</v>
      </c>
      <c r="CI31" s="308">
        <v>365</v>
      </c>
      <c r="CJ31" s="310">
        <f>IF(CG32=0,"-",(CG31/CG32)*CI31)</f>
        <v>60.660372156179058</v>
      </c>
      <c r="CK31" s="304"/>
      <c r="CL31" s="10">
        <f>+BS!AB11</f>
        <v>120621.24086650048</v>
      </c>
      <c r="CM31" s="306" t="s">
        <v>111</v>
      </c>
      <c r="CN31" s="308">
        <v>365</v>
      </c>
      <c r="CO31" s="310">
        <f>IF(CL32=0,"-",(CL31/CL32)*CN31)</f>
        <v>49.86518957499576</v>
      </c>
      <c r="CP31" s="304"/>
      <c r="CQ31" s="10">
        <f>+BS!AC11</f>
        <v>115736.53843528709</v>
      </c>
      <c r="CR31" s="306" t="s">
        <v>111</v>
      </c>
      <c r="CS31" s="308">
        <v>365</v>
      </c>
      <c r="CT31" s="310">
        <f>IF(CQ32=0,"-",(CQ31/CQ32)*CS31)</f>
        <v>48.916644565690866</v>
      </c>
    </row>
    <row r="32" spans="1:98" ht="18" customHeight="1" x14ac:dyDescent="0.2">
      <c r="A32" s="17"/>
      <c r="B32" s="321"/>
      <c r="C32" s="323"/>
      <c r="D32" s="305"/>
      <c r="E32" s="12">
        <f>+E12</f>
        <v>1029049.49522639</v>
      </c>
      <c r="F32" s="307"/>
      <c r="G32" s="309"/>
      <c r="H32" s="311"/>
      <c r="I32" s="305"/>
      <c r="J32" s="12">
        <f>+J12</f>
        <v>792640.34494420025</v>
      </c>
      <c r="K32" s="307"/>
      <c r="L32" s="309"/>
      <c r="M32" s="311"/>
      <c r="N32" s="305"/>
      <c r="O32" s="12">
        <f>+O12</f>
        <v>833050.73016966193</v>
      </c>
      <c r="P32" s="307"/>
      <c r="Q32" s="309"/>
      <c r="R32" s="311"/>
      <c r="S32" s="305"/>
      <c r="T32" s="12">
        <f>+T12</f>
        <v>828064.26946642785</v>
      </c>
      <c r="U32" s="307"/>
      <c r="V32" s="309"/>
      <c r="W32" s="311"/>
      <c r="X32" s="305"/>
      <c r="Y32" s="12">
        <f>+Y12</f>
        <v>801705.25557250518</v>
      </c>
      <c r="Z32" s="307"/>
      <c r="AA32" s="309"/>
      <c r="AB32" s="311"/>
      <c r="AC32" s="305"/>
      <c r="AD32" s="12">
        <f>+AD12</f>
        <v>921991.9329220308</v>
      </c>
      <c r="AE32" s="307"/>
      <c r="AF32" s="309"/>
      <c r="AG32" s="311"/>
      <c r="AH32" s="305"/>
      <c r="AI32" s="12">
        <f>+AI12</f>
        <v>659762.64689240814</v>
      </c>
      <c r="AJ32" s="307"/>
      <c r="AK32" s="309"/>
      <c r="AL32" s="311"/>
      <c r="AM32" s="305"/>
      <c r="AN32" s="12">
        <f>+AN12</f>
        <v>597586.81870825472</v>
      </c>
      <c r="AO32" s="307"/>
      <c r="AP32" s="309"/>
      <c r="AQ32" s="311"/>
      <c r="AR32" s="305"/>
      <c r="AS32" s="12">
        <f>+AS12</f>
        <v>562143.89223713661</v>
      </c>
      <c r="AT32" s="307"/>
      <c r="AU32" s="309"/>
      <c r="AV32" s="311"/>
      <c r="AW32" s="305"/>
      <c r="AX32" s="12">
        <f>+AX12</f>
        <v>402169.91237123299</v>
      </c>
      <c r="AY32" s="307"/>
      <c r="AZ32" s="309"/>
      <c r="BA32" s="311"/>
      <c r="BB32" s="305"/>
      <c r="BC32" s="12">
        <f>+BC12</f>
        <v>719477.8379323727</v>
      </c>
      <c r="BD32" s="307"/>
      <c r="BE32" s="309"/>
      <c r="BF32" s="311"/>
      <c r="BG32" s="305"/>
      <c r="BH32" s="12">
        <f>+BH12</f>
        <v>757170.67634382402</v>
      </c>
      <c r="BI32" s="307"/>
      <c r="BJ32" s="309"/>
      <c r="BK32" s="311"/>
      <c r="BL32" s="305"/>
      <c r="BM32" s="12">
        <f>+BM12</f>
        <v>795826.45982916676</v>
      </c>
      <c r="BN32" s="307"/>
      <c r="BO32" s="309"/>
      <c r="BP32" s="311"/>
      <c r="BQ32" s="305"/>
      <c r="BR32" s="12">
        <f>+BR12</f>
        <v>760401.3575568971</v>
      </c>
      <c r="BS32" s="307"/>
      <c r="BT32" s="309"/>
      <c r="BU32" s="311"/>
      <c r="BV32" s="305"/>
      <c r="BW32" s="12">
        <f>+BW12</f>
        <v>761109.14219733421</v>
      </c>
      <c r="BX32" s="307"/>
      <c r="BY32" s="309"/>
      <c r="BZ32" s="311"/>
      <c r="CA32" s="305"/>
      <c r="CB32" s="12">
        <f>+CB12</f>
        <v>866085.58623589599</v>
      </c>
      <c r="CC32" s="307"/>
      <c r="CD32" s="309"/>
      <c r="CE32" s="311"/>
      <c r="CF32" s="305"/>
      <c r="CG32" s="12">
        <f>+CG12</f>
        <v>852533.48523351655</v>
      </c>
      <c r="CH32" s="307"/>
      <c r="CI32" s="309"/>
      <c r="CJ32" s="311"/>
      <c r="CK32" s="305"/>
      <c r="CL32" s="12">
        <f>+CL12</f>
        <v>882915.58282472275</v>
      </c>
      <c r="CM32" s="307"/>
      <c r="CN32" s="309"/>
      <c r="CO32" s="311"/>
      <c r="CP32" s="305"/>
      <c r="CQ32" s="12">
        <f>+CQ12</f>
        <v>863588.18974490231</v>
      </c>
      <c r="CR32" s="307"/>
      <c r="CS32" s="309"/>
      <c r="CT32" s="311"/>
    </row>
    <row r="33" spans="1:98" ht="18" customHeight="1" x14ac:dyDescent="0.2">
      <c r="A33" s="17"/>
      <c r="B33" s="320" t="s">
        <v>140</v>
      </c>
      <c r="C33" s="322" t="s">
        <v>139</v>
      </c>
      <c r="D33" s="304"/>
      <c r="E33" s="10">
        <f>+BS!K13</f>
        <v>68920.219302391502</v>
      </c>
      <c r="F33" s="306" t="s">
        <v>111</v>
      </c>
      <c r="G33" s="308">
        <v>365</v>
      </c>
      <c r="H33" s="310">
        <f>IF(E34=0,"-",(E33/E34)*G33)</f>
        <v>24.445743535240382</v>
      </c>
      <c r="I33" s="304"/>
      <c r="J33" s="10">
        <f>+BS!L13</f>
        <v>80475.566452485626</v>
      </c>
      <c r="K33" s="306" t="s">
        <v>111</v>
      </c>
      <c r="L33" s="308">
        <v>365</v>
      </c>
      <c r="M33" s="310">
        <f>IF(J34=0,"-",(J33/J34)*L33)</f>
        <v>37.057893838630022</v>
      </c>
      <c r="N33" s="304"/>
      <c r="O33" s="10">
        <f>+BS!M13</f>
        <v>56758.184392994845</v>
      </c>
      <c r="P33" s="306" t="s">
        <v>111</v>
      </c>
      <c r="Q33" s="308">
        <v>365</v>
      </c>
      <c r="R33" s="310">
        <f>IF(O34=0,"-",(O33/O34)*Q33)</f>
        <v>24.868518270458601</v>
      </c>
      <c r="S33" s="304"/>
      <c r="T33" s="10">
        <f>+BS!N13</f>
        <v>54711.74265476421</v>
      </c>
      <c r="U33" s="306" t="s">
        <v>111</v>
      </c>
      <c r="V33" s="308">
        <v>365</v>
      </c>
      <c r="W33" s="310">
        <f>IF(T34=0,"-",(T33/T34)*V33)</f>
        <v>24.116227212480361</v>
      </c>
      <c r="X33" s="304"/>
      <c r="Y33" s="10">
        <f>+BS!O13</f>
        <v>76623.0076659162</v>
      </c>
      <c r="Z33" s="306" t="s">
        <v>111</v>
      </c>
      <c r="AA33" s="308">
        <v>365</v>
      </c>
      <c r="AB33" s="310">
        <f>IF(Y34=0,"-",(Y33/Y34)*AA33)</f>
        <v>34.884887686170444</v>
      </c>
      <c r="AC33" s="304"/>
      <c r="AD33" s="10">
        <f>+BS!P13</f>
        <v>47468.239723950501</v>
      </c>
      <c r="AE33" s="306" t="s">
        <v>111</v>
      </c>
      <c r="AF33" s="308">
        <v>365</v>
      </c>
      <c r="AG33" s="310">
        <f>IF(AD34=0,"-",(AD33/AD34)*AF33)</f>
        <v>18.79182114352308</v>
      </c>
      <c r="AH33" s="304"/>
      <c r="AI33" s="10">
        <f>+BS!Q13</f>
        <v>36216.880684050389</v>
      </c>
      <c r="AJ33" s="306" t="s">
        <v>111</v>
      </c>
      <c r="AK33" s="308">
        <v>365</v>
      </c>
      <c r="AL33" s="310">
        <f>IF(AI34=0,"-",(AI33/AI34)*AK33)</f>
        <v>20.036238050066704</v>
      </c>
      <c r="AM33" s="304"/>
      <c r="AN33" s="10">
        <f>+BS!R13</f>
        <v>37900.133132947187</v>
      </c>
      <c r="AO33" s="306" t="s">
        <v>141</v>
      </c>
      <c r="AP33" s="308">
        <v>365</v>
      </c>
      <c r="AQ33" s="310">
        <f>IF(AN34=0,"-",(AN33/AN34)*AP33)</f>
        <v>23.149018954983578</v>
      </c>
      <c r="AR33" s="304"/>
      <c r="AS33" s="10">
        <f>+BS!S13</f>
        <v>36304.967483782493</v>
      </c>
      <c r="AT33" s="306" t="s">
        <v>111</v>
      </c>
      <c r="AU33" s="308">
        <v>365</v>
      </c>
      <c r="AV33" s="310">
        <f>IF(AS34=0,"-",(AS33/AS34)*AU33)</f>
        <v>23.57281349948499</v>
      </c>
      <c r="AW33" s="304"/>
      <c r="AX33" s="10">
        <f>+BS!T13</f>
        <v>27166.304696607163</v>
      </c>
      <c r="AY33" s="306" t="s">
        <v>111</v>
      </c>
      <c r="AZ33" s="308">
        <v>365</v>
      </c>
      <c r="BA33" s="310">
        <f>IF(AX34=0,"-",(AX33/AX34)*AZ33)</f>
        <v>24.655502336805046</v>
      </c>
      <c r="BB33" s="304"/>
      <c r="BC33" s="10">
        <f>+BS!U13</f>
        <v>41096.459134022873</v>
      </c>
      <c r="BD33" s="306" t="s">
        <v>111</v>
      </c>
      <c r="BE33" s="308">
        <v>365</v>
      </c>
      <c r="BF33" s="310">
        <f>IF(BC34=0,"-",(BC33/BC34)*BE33)</f>
        <v>20.848741674970526</v>
      </c>
      <c r="BG33" s="304"/>
      <c r="BH33" s="10">
        <f>+BS!V13</f>
        <v>62941.236519117694</v>
      </c>
      <c r="BI33" s="306" t="s">
        <v>111</v>
      </c>
      <c r="BJ33" s="308">
        <v>365</v>
      </c>
      <c r="BK33" s="310">
        <f>IF(BH34=0,"-",(BH33/BH34)*BJ33)</f>
        <v>30.341311473406677</v>
      </c>
      <c r="BL33" s="304"/>
      <c r="BM33" s="10">
        <f>+BS!W13</f>
        <v>48011.053494214502</v>
      </c>
      <c r="BN33" s="306" t="s">
        <v>111</v>
      </c>
      <c r="BO33" s="308">
        <v>365</v>
      </c>
      <c r="BP33" s="310">
        <f>IF(BM34=0,"-",(BM33/BM34)*BO33)</f>
        <v>22.019919429607839</v>
      </c>
      <c r="BQ33" s="304"/>
      <c r="BR33" s="10">
        <f>+BS!X13</f>
        <v>34652.967485929184</v>
      </c>
      <c r="BS33" s="306" t="s">
        <v>111</v>
      </c>
      <c r="BT33" s="308">
        <v>365</v>
      </c>
      <c r="BU33" s="310">
        <f>IF(BR34=0,"-",(BR33/BR34)*BT33)</f>
        <v>16.633759272868922</v>
      </c>
      <c r="BV33" s="304"/>
      <c r="BW33" s="10">
        <f>+BS!Y13</f>
        <v>36730.901113667285</v>
      </c>
      <c r="BX33" s="306" t="s">
        <v>111</v>
      </c>
      <c r="BY33" s="308">
        <v>365</v>
      </c>
      <c r="BZ33" s="310">
        <f>IF(BW34=0,"-",(BW33/BW34)*BY33)</f>
        <v>17.614791576123991</v>
      </c>
      <c r="CA33" s="304"/>
      <c r="CB33" s="10">
        <f>+BS!Z13</f>
        <v>73120.282322182189</v>
      </c>
      <c r="CC33" s="306" t="s">
        <v>111</v>
      </c>
      <c r="CD33" s="308">
        <v>365</v>
      </c>
      <c r="CE33" s="310">
        <f>IF(CB34=0,"-",(CB33/CB34)*CD33)</f>
        <v>30.815549261810752</v>
      </c>
      <c r="CF33" s="304"/>
      <c r="CG33" s="10">
        <f>+BS!AA13</f>
        <v>82215.256782280223</v>
      </c>
      <c r="CH33" s="306" t="s">
        <v>126</v>
      </c>
      <c r="CI33" s="308">
        <v>365</v>
      </c>
      <c r="CJ33" s="310">
        <f>IF(CG34=0,"-",(CG33/CG34)*CI33)</f>
        <v>35.199284538733004</v>
      </c>
      <c r="CK33" s="304"/>
      <c r="CL33" s="10">
        <f>+BS!AB13</f>
        <v>72573.449239233232</v>
      </c>
      <c r="CM33" s="306" t="s">
        <v>111</v>
      </c>
      <c r="CN33" s="308">
        <v>365</v>
      </c>
      <c r="CO33" s="310">
        <f>IF(CL34=0,"-",(CL33/CL34)*CN33)</f>
        <v>30.002085689293821</v>
      </c>
      <c r="CP33" s="304"/>
      <c r="CQ33" s="10">
        <f>+BS!AC13</f>
        <v>81584.396041293396</v>
      </c>
      <c r="CR33" s="306" t="s">
        <v>111</v>
      </c>
      <c r="CS33" s="308">
        <v>365</v>
      </c>
      <c r="CT33" s="310">
        <f>IF(CQ34=0,"-",(CQ33/CQ34)*CS33)</f>
        <v>34.482065536200054</v>
      </c>
    </row>
    <row r="34" spans="1:98" ht="18" customHeight="1" x14ac:dyDescent="0.2">
      <c r="A34" s="17"/>
      <c r="B34" s="321"/>
      <c r="C34" s="323"/>
      <c r="D34" s="305"/>
      <c r="E34" s="12">
        <f>+E12</f>
        <v>1029049.49522639</v>
      </c>
      <c r="F34" s="307"/>
      <c r="G34" s="309"/>
      <c r="H34" s="311"/>
      <c r="I34" s="305"/>
      <c r="J34" s="12">
        <f>+J12</f>
        <v>792640.34494420025</v>
      </c>
      <c r="K34" s="307"/>
      <c r="L34" s="309"/>
      <c r="M34" s="311"/>
      <c r="N34" s="305"/>
      <c r="O34" s="12">
        <f>+O12</f>
        <v>833050.73016966193</v>
      </c>
      <c r="P34" s="307"/>
      <c r="Q34" s="309"/>
      <c r="R34" s="311"/>
      <c r="S34" s="305"/>
      <c r="T34" s="12">
        <f>+T12</f>
        <v>828064.26946642785</v>
      </c>
      <c r="U34" s="307"/>
      <c r="V34" s="309"/>
      <c r="W34" s="311"/>
      <c r="X34" s="305"/>
      <c r="Y34" s="12">
        <f>+Y12</f>
        <v>801705.25557250518</v>
      </c>
      <c r="Z34" s="307"/>
      <c r="AA34" s="309"/>
      <c r="AB34" s="311"/>
      <c r="AC34" s="305"/>
      <c r="AD34" s="12">
        <f>+AD12</f>
        <v>921991.9329220308</v>
      </c>
      <c r="AE34" s="307"/>
      <c r="AF34" s="309"/>
      <c r="AG34" s="311"/>
      <c r="AH34" s="305"/>
      <c r="AI34" s="12">
        <f>+AI12</f>
        <v>659762.64689240814</v>
      </c>
      <c r="AJ34" s="307"/>
      <c r="AK34" s="309"/>
      <c r="AL34" s="311"/>
      <c r="AM34" s="305"/>
      <c r="AN34" s="12">
        <f>+AN12</f>
        <v>597586.81870825472</v>
      </c>
      <c r="AO34" s="307"/>
      <c r="AP34" s="309"/>
      <c r="AQ34" s="311"/>
      <c r="AR34" s="305"/>
      <c r="AS34" s="12">
        <f>+AS12</f>
        <v>562143.89223713661</v>
      </c>
      <c r="AT34" s="307"/>
      <c r="AU34" s="309"/>
      <c r="AV34" s="311"/>
      <c r="AW34" s="305"/>
      <c r="AX34" s="12">
        <f>+AX12</f>
        <v>402169.91237123299</v>
      </c>
      <c r="AY34" s="307"/>
      <c r="AZ34" s="309"/>
      <c r="BA34" s="311"/>
      <c r="BB34" s="305"/>
      <c r="BC34" s="12">
        <f>+BC12</f>
        <v>719477.8379323727</v>
      </c>
      <c r="BD34" s="307"/>
      <c r="BE34" s="309"/>
      <c r="BF34" s="311"/>
      <c r="BG34" s="305"/>
      <c r="BH34" s="12">
        <f>+BH12</f>
        <v>757170.67634382402</v>
      </c>
      <c r="BI34" s="307"/>
      <c r="BJ34" s="309"/>
      <c r="BK34" s="311"/>
      <c r="BL34" s="305"/>
      <c r="BM34" s="12">
        <f>+BM12</f>
        <v>795826.45982916676</v>
      </c>
      <c r="BN34" s="307"/>
      <c r="BO34" s="309"/>
      <c r="BP34" s="311"/>
      <c r="BQ34" s="305"/>
      <c r="BR34" s="12">
        <f>+BR12</f>
        <v>760401.3575568971</v>
      </c>
      <c r="BS34" s="307"/>
      <c r="BT34" s="309"/>
      <c r="BU34" s="311"/>
      <c r="BV34" s="305"/>
      <c r="BW34" s="12">
        <f>+BW12</f>
        <v>761109.14219733421</v>
      </c>
      <c r="BX34" s="307"/>
      <c r="BY34" s="309"/>
      <c r="BZ34" s="311"/>
      <c r="CA34" s="305"/>
      <c r="CB34" s="12">
        <f>+CB12</f>
        <v>866085.58623589599</v>
      </c>
      <c r="CC34" s="307"/>
      <c r="CD34" s="309"/>
      <c r="CE34" s="311"/>
      <c r="CF34" s="305"/>
      <c r="CG34" s="12">
        <f>+CG12</f>
        <v>852533.48523351655</v>
      </c>
      <c r="CH34" s="307"/>
      <c r="CI34" s="309"/>
      <c r="CJ34" s="311"/>
      <c r="CK34" s="305"/>
      <c r="CL34" s="12">
        <f>+CL12</f>
        <v>882915.58282472275</v>
      </c>
      <c r="CM34" s="307"/>
      <c r="CN34" s="309"/>
      <c r="CO34" s="311"/>
      <c r="CP34" s="305"/>
      <c r="CQ34" s="12">
        <f>+CQ12</f>
        <v>863588.18974490231</v>
      </c>
      <c r="CR34" s="307"/>
      <c r="CS34" s="309"/>
      <c r="CT34" s="311"/>
    </row>
    <row r="35" spans="1:98" ht="18" customHeight="1" x14ac:dyDescent="0.2">
      <c r="A35" s="17"/>
      <c r="B35" s="320" t="s">
        <v>142</v>
      </c>
      <c r="C35" s="322" t="s">
        <v>139</v>
      </c>
      <c r="D35" s="304"/>
      <c r="E35" s="10">
        <f>+BS!K32</f>
        <v>156883.35381415999</v>
      </c>
      <c r="F35" s="306" t="s">
        <v>143</v>
      </c>
      <c r="G35" s="308">
        <v>365</v>
      </c>
      <c r="H35" s="310">
        <f>IF(E36=0,"-",(E35/E36)*G35)</f>
        <v>55.64593773943858</v>
      </c>
      <c r="I35" s="304"/>
      <c r="J35" s="10">
        <f>+BS!L32</f>
        <v>102072.62428136624</v>
      </c>
      <c r="K35" s="306" t="s">
        <v>111</v>
      </c>
      <c r="L35" s="308">
        <v>365</v>
      </c>
      <c r="M35" s="310">
        <f>IF(J36=0,"-",(J35/J36)*L35)</f>
        <v>47.003042553078018</v>
      </c>
      <c r="N35" s="304"/>
      <c r="O35" s="10">
        <f>+BS!M32</f>
        <v>99880.546237067436</v>
      </c>
      <c r="P35" s="306" t="s">
        <v>111</v>
      </c>
      <c r="Q35" s="308">
        <v>365</v>
      </c>
      <c r="R35" s="310">
        <f>IF(O36=0,"-",(O35/O36)*Q35)</f>
        <v>43.762520163813768</v>
      </c>
      <c r="S35" s="304"/>
      <c r="T35" s="10">
        <f>+BS!N32</f>
        <v>144808.7835209677</v>
      </c>
      <c r="U35" s="306" t="s">
        <v>111</v>
      </c>
      <c r="V35" s="308">
        <v>365</v>
      </c>
      <c r="W35" s="310">
        <f>IF(T36=0,"-",(T35/T36)*V35)</f>
        <v>63.829835357116707</v>
      </c>
      <c r="X35" s="304"/>
      <c r="Y35" s="10">
        <f>+BS!O32</f>
        <v>108571.86835556627</v>
      </c>
      <c r="Z35" s="306" t="s">
        <v>111</v>
      </c>
      <c r="AA35" s="308">
        <v>365</v>
      </c>
      <c r="AB35" s="310">
        <f>IF(Y36=0,"-",(Y35/Y36)*AA35)</f>
        <v>49.430550285569034</v>
      </c>
      <c r="AC35" s="304"/>
      <c r="AD35" s="10">
        <f>+BS!P32</f>
        <v>107137.44109218111</v>
      </c>
      <c r="AE35" s="306" t="s">
        <v>111</v>
      </c>
      <c r="AF35" s="308">
        <v>365</v>
      </c>
      <c r="AG35" s="310">
        <f>IF(AD36=0,"-",(AD35/AD36)*AF35)</f>
        <v>42.413783247226171</v>
      </c>
      <c r="AH35" s="304"/>
      <c r="AI35" s="10">
        <f>+BS!Q32</f>
        <v>93784.378428831129</v>
      </c>
      <c r="AJ35" s="306" t="s">
        <v>143</v>
      </c>
      <c r="AK35" s="308">
        <v>365</v>
      </c>
      <c r="AL35" s="310">
        <f>IF(AI36=0,"-",(AI35/AI36)*AK35)</f>
        <v>51.884262147544227</v>
      </c>
      <c r="AM35" s="304"/>
      <c r="AN35" s="10">
        <f>+BS!R32</f>
        <v>59785.603658693013</v>
      </c>
      <c r="AO35" s="306" t="s">
        <v>143</v>
      </c>
      <c r="AP35" s="308">
        <v>365</v>
      </c>
      <c r="AQ35" s="310">
        <f>IF(AN36=0,"-",(AN35/AN36)*AP35)</f>
        <v>36.51644355642398</v>
      </c>
      <c r="AR35" s="304"/>
      <c r="AS35" s="10">
        <f>+BS!S32</f>
        <v>77418.736803886582</v>
      </c>
      <c r="AT35" s="306" t="s">
        <v>111</v>
      </c>
      <c r="AU35" s="308">
        <v>365</v>
      </c>
      <c r="AV35" s="310">
        <f>IF(AS36=0,"-",(AS35/AS36)*AU35)</f>
        <v>50.267981781252232</v>
      </c>
      <c r="AW35" s="304"/>
      <c r="AX35" s="10">
        <f>+BS!T32</f>
        <v>39894.394255890045</v>
      </c>
      <c r="AY35" s="306" t="s">
        <v>111</v>
      </c>
      <c r="AZ35" s="308">
        <v>365</v>
      </c>
      <c r="BA35" s="310">
        <f>IF(AX36=0,"-",(AX35/AX36)*AZ35)</f>
        <v>36.207218529959427</v>
      </c>
      <c r="BB35" s="304"/>
      <c r="BC35" s="10">
        <f>+BS!U32</f>
        <v>65742.434996712182</v>
      </c>
      <c r="BD35" s="306" t="s">
        <v>111</v>
      </c>
      <c r="BE35" s="308">
        <v>365</v>
      </c>
      <c r="BF35" s="310">
        <f>IF(BC36=0,"-",(BC35/BC36)*BE35)</f>
        <v>33.3519498568008</v>
      </c>
      <c r="BG35" s="304"/>
      <c r="BH35" s="10">
        <f>+BS!V32</f>
        <v>88588.231435859678</v>
      </c>
      <c r="BI35" s="306" t="s">
        <v>111</v>
      </c>
      <c r="BJ35" s="308">
        <v>365</v>
      </c>
      <c r="BK35" s="310">
        <f>IF(BH36=0,"-",(BH35/BH36)*BJ35)</f>
        <v>42.704644387741588</v>
      </c>
      <c r="BL35" s="304"/>
      <c r="BM35" s="10">
        <f>+BS!W32</f>
        <v>93769.943817416817</v>
      </c>
      <c r="BN35" s="306" t="s">
        <v>111</v>
      </c>
      <c r="BO35" s="308">
        <v>365</v>
      </c>
      <c r="BP35" s="310">
        <f>IF(BM36=0,"-",(BM35/BM36)*BO35)</f>
        <v>43.006900651059205</v>
      </c>
      <c r="BQ35" s="304"/>
      <c r="BR35" s="10">
        <f>+BS!X32</f>
        <v>78013.99335862197</v>
      </c>
      <c r="BS35" s="306" t="s">
        <v>111</v>
      </c>
      <c r="BT35" s="308">
        <v>365</v>
      </c>
      <c r="BU35" s="310">
        <f>IF(BR36=0,"-",(BR35/BR36)*BT35)</f>
        <v>37.447470724388289</v>
      </c>
      <c r="BV35" s="304"/>
      <c r="BW35" s="10">
        <f>+BS!Y32</f>
        <v>88557.217452120283</v>
      </c>
      <c r="BX35" s="306" t="s">
        <v>111</v>
      </c>
      <c r="BY35" s="308">
        <v>365</v>
      </c>
      <c r="BZ35" s="310">
        <f>IF(BW36=0,"-",(BW35/BW36)*BY35)</f>
        <v>42.468790056450743</v>
      </c>
      <c r="CA35" s="304"/>
      <c r="CB35" s="10">
        <f>+BS!Z32</f>
        <v>101155.4127949588</v>
      </c>
      <c r="CC35" s="306" t="s">
        <v>111</v>
      </c>
      <c r="CD35" s="308">
        <v>365</v>
      </c>
      <c r="CE35" s="310">
        <f>IF(CB36=0,"-",(CB35/CB36)*CD35)</f>
        <v>42.63057399514738</v>
      </c>
      <c r="CF35" s="304"/>
      <c r="CG35" s="10">
        <f>+BS!AA32</f>
        <v>125537.50506524724</v>
      </c>
      <c r="CH35" s="306" t="s">
        <v>143</v>
      </c>
      <c r="CI35" s="308">
        <v>365</v>
      </c>
      <c r="CJ35" s="310">
        <f>IF(CG36=0,"-",(CG35/CG36)*CI35)</f>
        <v>53.747084592535863</v>
      </c>
      <c r="CK35" s="304"/>
      <c r="CL35" s="10">
        <f>+BS!AB32</f>
        <v>105592.24198401099</v>
      </c>
      <c r="CM35" s="306" t="s">
        <v>111</v>
      </c>
      <c r="CN35" s="308">
        <v>365</v>
      </c>
      <c r="CO35" s="310">
        <f>IF(CL36=0,"-",(CL35/CL36)*CN35)</f>
        <v>43.652155510562828</v>
      </c>
      <c r="CP35" s="304"/>
      <c r="CQ35" s="10">
        <f>+BS!AC32</f>
        <v>102662.84608821773</v>
      </c>
      <c r="CR35" s="306" t="s">
        <v>111</v>
      </c>
      <c r="CS35" s="308">
        <v>365</v>
      </c>
      <c r="CT35" s="310">
        <f>IF(CQ36=0,"-",(CQ35/CQ36)*CS35)</f>
        <v>43.390981103236733</v>
      </c>
    </row>
    <row r="36" spans="1:98" ht="18" customHeight="1" x14ac:dyDescent="0.2">
      <c r="A36" s="21"/>
      <c r="B36" s="321"/>
      <c r="C36" s="323"/>
      <c r="D36" s="305"/>
      <c r="E36" s="12">
        <f>+E12</f>
        <v>1029049.49522639</v>
      </c>
      <c r="F36" s="307"/>
      <c r="G36" s="309"/>
      <c r="H36" s="311"/>
      <c r="I36" s="305"/>
      <c r="J36" s="12">
        <f>+J12</f>
        <v>792640.34494420025</v>
      </c>
      <c r="K36" s="307"/>
      <c r="L36" s="309"/>
      <c r="M36" s="311"/>
      <c r="N36" s="305"/>
      <c r="O36" s="12">
        <f>+O12</f>
        <v>833050.73016966193</v>
      </c>
      <c r="P36" s="307"/>
      <c r="Q36" s="309"/>
      <c r="R36" s="311"/>
      <c r="S36" s="305"/>
      <c r="T36" s="12">
        <f>+T12</f>
        <v>828064.26946642785</v>
      </c>
      <c r="U36" s="307"/>
      <c r="V36" s="309"/>
      <c r="W36" s="311"/>
      <c r="X36" s="305"/>
      <c r="Y36" s="12">
        <f>+Y12</f>
        <v>801705.25557250518</v>
      </c>
      <c r="Z36" s="307"/>
      <c r="AA36" s="309"/>
      <c r="AB36" s="311"/>
      <c r="AC36" s="305"/>
      <c r="AD36" s="12">
        <f>+AD12</f>
        <v>921991.9329220308</v>
      </c>
      <c r="AE36" s="307"/>
      <c r="AF36" s="309"/>
      <c r="AG36" s="311"/>
      <c r="AH36" s="305"/>
      <c r="AI36" s="12">
        <f>+AI12</f>
        <v>659762.64689240814</v>
      </c>
      <c r="AJ36" s="307"/>
      <c r="AK36" s="309"/>
      <c r="AL36" s="311"/>
      <c r="AM36" s="305"/>
      <c r="AN36" s="12">
        <f>+AN12</f>
        <v>597586.81870825472</v>
      </c>
      <c r="AO36" s="307"/>
      <c r="AP36" s="309"/>
      <c r="AQ36" s="311"/>
      <c r="AR36" s="305"/>
      <c r="AS36" s="12">
        <f>+AS12</f>
        <v>562143.89223713661</v>
      </c>
      <c r="AT36" s="307"/>
      <c r="AU36" s="309"/>
      <c r="AV36" s="311"/>
      <c r="AW36" s="305"/>
      <c r="AX36" s="12">
        <f>+AX12</f>
        <v>402169.91237123299</v>
      </c>
      <c r="AY36" s="307"/>
      <c r="AZ36" s="309"/>
      <c r="BA36" s="311"/>
      <c r="BB36" s="305"/>
      <c r="BC36" s="12">
        <f>+BC12</f>
        <v>719477.8379323727</v>
      </c>
      <c r="BD36" s="307"/>
      <c r="BE36" s="309"/>
      <c r="BF36" s="311"/>
      <c r="BG36" s="305"/>
      <c r="BH36" s="12">
        <f>+BH12</f>
        <v>757170.67634382402</v>
      </c>
      <c r="BI36" s="307"/>
      <c r="BJ36" s="309"/>
      <c r="BK36" s="311"/>
      <c r="BL36" s="305"/>
      <c r="BM36" s="12">
        <f>+BM12</f>
        <v>795826.45982916676</v>
      </c>
      <c r="BN36" s="307"/>
      <c r="BO36" s="309"/>
      <c r="BP36" s="311"/>
      <c r="BQ36" s="305"/>
      <c r="BR36" s="12">
        <f>+BR12</f>
        <v>760401.3575568971</v>
      </c>
      <c r="BS36" s="307"/>
      <c r="BT36" s="309"/>
      <c r="BU36" s="311"/>
      <c r="BV36" s="305"/>
      <c r="BW36" s="12">
        <f>+BW12</f>
        <v>761109.14219733421</v>
      </c>
      <c r="BX36" s="307"/>
      <c r="BY36" s="309"/>
      <c r="BZ36" s="311"/>
      <c r="CA36" s="305"/>
      <c r="CB36" s="12">
        <f>+CB12</f>
        <v>866085.58623589599</v>
      </c>
      <c r="CC36" s="307"/>
      <c r="CD36" s="309"/>
      <c r="CE36" s="311"/>
      <c r="CF36" s="305"/>
      <c r="CG36" s="12">
        <f>+CG12</f>
        <v>852533.48523351655</v>
      </c>
      <c r="CH36" s="307"/>
      <c r="CI36" s="309"/>
      <c r="CJ36" s="311"/>
      <c r="CK36" s="305"/>
      <c r="CL36" s="12">
        <f>+CL12</f>
        <v>882915.58282472275</v>
      </c>
      <c r="CM36" s="307"/>
      <c r="CN36" s="309"/>
      <c r="CO36" s="311"/>
      <c r="CP36" s="305"/>
      <c r="CQ36" s="12">
        <f>+CQ12</f>
        <v>863588.18974490231</v>
      </c>
      <c r="CR36" s="307"/>
      <c r="CS36" s="309"/>
      <c r="CT36" s="311"/>
    </row>
    <row r="37" spans="1:98" ht="18" customHeight="1" x14ac:dyDescent="0.2">
      <c r="A37" s="324" t="s">
        <v>144</v>
      </c>
      <c r="B37" s="325"/>
      <c r="C37" s="326"/>
      <c r="D37" s="7"/>
      <c r="E37" s="18"/>
      <c r="F37" s="7"/>
      <c r="G37" s="7"/>
      <c r="H37" s="8"/>
      <c r="I37" s="7"/>
      <c r="J37" s="18"/>
      <c r="K37" s="7"/>
      <c r="L37" s="7"/>
      <c r="M37" s="8"/>
      <c r="N37" s="7"/>
      <c r="O37" s="18"/>
      <c r="P37" s="7"/>
      <c r="Q37" s="7"/>
      <c r="R37" s="8"/>
      <c r="S37" s="7"/>
      <c r="T37" s="18"/>
      <c r="U37" s="7"/>
      <c r="V37" s="7"/>
      <c r="W37" s="8"/>
      <c r="X37" s="7"/>
      <c r="Y37" s="18"/>
      <c r="Z37" s="7"/>
      <c r="AA37" s="7"/>
      <c r="AB37" s="8"/>
      <c r="AC37" s="7"/>
      <c r="AD37" s="18"/>
      <c r="AE37" s="7"/>
      <c r="AF37" s="7"/>
      <c r="AG37" s="8"/>
      <c r="AH37" s="7"/>
      <c r="AI37" s="18"/>
      <c r="AJ37" s="7"/>
      <c r="AK37" s="7"/>
      <c r="AL37" s="8"/>
      <c r="AM37" s="7"/>
      <c r="AN37" s="18"/>
      <c r="AO37" s="7"/>
      <c r="AP37" s="7"/>
      <c r="AQ37" s="8"/>
      <c r="AR37" s="7"/>
      <c r="AS37" s="18"/>
      <c r="AT37" s="7"/>
      <c r="AU37" s="7"/>
      <c r="AV37" s="8"/>
      <c r="AW37" s="7"/>
      <c r="AX37" s="18"/>
      <c r="AY37" s="7"/>
      <c r="AZ37" s="7"/>
      <c r="BA37" s="8"/>
      <c r="BB37" s="7"/>
      <c r="BC37" s="18"/>
      <c r="BD37" s="7"/>
      <c r="BE37" s="7"/>
      <c r="BF37" s="8"/>
      <c r="BG37" s="7"/>
      <c r="BH37" s="18"/>
      <c r="BI37" s="7"/>
      <c r="BJ37" s="7"/>
      <c r="BK37" s="8"/>
      <c r="BL37" s="7"/>
      <c r="BM37" s="18"/>
      <c r="BN37" s="7"/>
      <c r="BO37" s="7"/>
      <c r="BP37" s="8"/>
      <c r="BQ37" s="7"/>
      <c r="BR37" s="18"/>
      <c r="BS37" s="7"/>
      <c r="BT37" s="7"/>
      <c r="BU37" s="8"/>
      <c r="BV37" s="7"/>
      <c r="BW37" s="18"/>
      <c r="BX37" s="7"/>
      <c r="BY37" s="7"/>
      <c r="BZ37" s="8"/>
      <c r="CA37" s="7"/>
      <c r="CB37" s="18"/>
      <c r="CC37" s="7"/>
      <c r="CD37" s="7"/>
      <c r="CE37" s="8"/>
      <c r="CF37" s="7"/>
      <c r="CG37" s="18"/>
      <c r="CH37" s="7"/>
      <c r="CI37" s="7"/>
      <c r="CJ37" s="8"/>
      <c r="CK37" s="7"/>
      <c r="CL37" s="18"/>
      <c r="CM37" s="7"/>
      <c r="CN37" s="7"/>
      <c r="CO37" s="8"/>
      <c r="CP37" s="7"/>
      <c r="CQ37" s="18"/>
      <c r="CR37" s="7"/>
      <c r="CS37" s="7"/>
      <c r="CT37" s="8"/>
    </row>
    <row r="38" spans="1:98" ht="18" customHeight="1" x14ac:dyDescent="0.2">
      <c r="A38" s="20"/>
      <c r="B38" s="320" t="s">
        <v>145</v>
      </c>
      <c r="C38" s="322" t="s">
        <v>130</v>
      </c>
      <c r="D38" s="304"/>
      <c r="E38" s="10">
        <f>+E12</f>
        <v>1029049.49522639</v>
      </c>
      <c r="F38" s="306"/>
      <c r="G38" s="308"/>
      <c r="H38" s="312">
        <f>IF(E39=0,"-",(E38/E39))</f>
        <v>21367.123941831895</v>
      </c>
      <c r="I38" s="304"/>
      <c r="J38" s="10">
        <f>+J12</f>
        <v>792640.34494420025</v>
      </c>
      <c r="K38" s="306"/>
      <c r="L38" s="308"/>
      <c r="M38" s="312">
        <f>IF(J39=0,"-",(J38/J39))</f>
        <v>20687.049177072324</v>
      </c>
      <c r="N38" s="304"/>
      <c r="O38" s="10">
        <f>+O12</f>
        <v>833050.73016966193</v>
      </c>
      <c r="P38" s="306"/>
      <c r="Q38" s="308"/>
      <c r="R38" s="312">
        <f>IF(O39=0,"-",(O38/O39))</f>
        <v>18924.580461727084</v>
      </c>
      <c r="S38" s="304"/>
      <c r="T38" s="10">
        <f>+T12</f>
        <v>828064.26946642785</v>
      </c>
      <c r="U38" s="306"/>
      <c r="V38" s="308"/>
      <c r="W38" s="312">
        <f>IF(T39=0,"-",(T38/T39))</f>
        <v>19250.993978140355</v>
      </c>
      <c r="X38" s="304"/>
      <c r="Y38" s="10">
        <f>+Y12</f>
        <v>801705.25557250518</v>
      </c>
      <c r="Z38" s="306"/>
      <c r="AA38" s="308"/>
      <c r="AB38" s="312">
        <f>IF(Y39=0,"-",(Y38/Y39))</f>
        <v>21116.913839319757</v>
      </c>
      <c r="AC38" s="304"/>
      <c r="AD38" s="10">
        <f>+AD12</f>
        <v>921991.9329220308</v>
      </c>
      <c r="AE38" s="306"/>
      <c r="AF38" s="308"/>
      <c r="AG38" s="312">
        <f>IF(AD39=0,"-",(AD38/AD39))</f>
        <v>27992.342159766002</v>
      </c>
      <c r="AH38" s="304"/>
      <c r="AI38" s="10">
        <f>+AI12</f>
        <v>659762.64689240814</v>
      </c>
      <c r="AJ38" s="306"/>
      <c r="AK38" s="308"/>
      <c r="AL38" s="312">
        <f>IF(AI39=0,"-",(AI38/AI39))</f>
        <v>17752.917887443749</v>
      </c>
      <c r="AM38" s="304"/>
      <c r="AN38" s="10">
        <f>+AN12</f>
        <v>597586.81870825472</v>
      </c>
      <c r="AO38" s="306"/>
      <c r="AP38" s="308"/>
      <c r="AQ38" s="312">
        <f>IF(AN39=0,"-",(AN38/AN39))</f>
        <v>19692.538768088485</v>
      </c>
      <c r="AR38" s="304"/>
      <c r="AS38" s="10">
        <f>+AS12</f>
        <v>562143.89223713661</v>
      </c>
      <c r="AT38" s="306"/>
      <c r="AU38" s="308"/>
      <c r="AV38" s="312">
        <f>IF(AS39=0,"-",(AS38/AS39))</f>
        <v>17995.364100604707</v>
      </c>
      <c r="AW38" s="304"/>
      <c r="AX38" s="10">
        <f>+AX12</f>
        <v>402169.91237123299</v>
      </c>
      <c r="AY38" s="306"/>
      <c r="AZ38" s="308"/>
      <c r="BA38" s="312">
        <f>IF(AX39=0,"-",(AX38/AX39))</f>
        <v>13370.535864240446</v>
      </c>
      <c r="BB38" s="304"/>
      <c r="BC38" s="10">
        <f>+BC12</f>
        <v>719477.8379323727</v>
      </c>
      <c r="BD38" s="306"/>
      <c r="BE38" s="308"/>
      <c r="BF38" s="312">
        <f>IF(BC39=0,"-",(BC38/BC39))</f>
        <v>20938.1238388118</v>
      </c>
      <c r="BG38" s="304"/>
      <c r="BH38" s="10">
        <f>+BH12</f>
        <v>757170.67634382402</v>
      </c>
      <c r="BI38" s="306"/>
      <c r="BJ38" s="308"/>
      <c r="BK38" s="312">
        <f>IF(BH39=0,"-",(BH38/BH39))</f>
        <v>21628.297774072027</v>
      </c>
      <c r="BL38" s="304"/>
      <c r="BM38" s="10">
        <f>+BM12</f>
        <v>795826.45982916676</v>
      </c>
      <c r="BN38" s="306"/>
      <c r="BO38" s="308"/>
      <c r="BP38" s="312">
        <f>IF(BM39=0,"-",(BM38/BM39))</f>
        <v>22595.536759633687</v>
      </c>
      <c r="BQ38" s="304"/>
      <c r="BR38" s="10">
        <f>+BR12</f>
        <v>760401.3575568971</v>
      </c>
      <c r="BS38" s="306"/>
      <c r="BT38" s="308"/>
      <c r="BU38" s="312">
        <f>IF(BR39=0,"-",(BR38/BR39))</f>
        <v>21739.929559272769</v>
      </c>
      <c r="BV38" s="304"/>
      <c r="BW38" s="10">
        <f>+BW12</f>
        <v>761109.14219733421</v>
      </c>
      <c r="BX38" s="306"/>
      <c r="BY38" s="308"/>
      <c r="BZ38" s="312">
        <f>IF(BW39=0,"-",(BW38/BW39))</f>
        <v>20199.68630498878</v>
      </c>
      <c r="CA38" s="304"/>
      <c r="CB38" s="10">
        <f>+CB12</f>
        <v>866085.58623589599</v>
      </c>
      <c r="CC38" s="306"/>
      <c r="CD38" s="308"/>
      <c r="CE38" s="312">
        <f>IF(CB39=0,"-",(CB38/CB39))</f>
        <v>21896.168506761551</v>
      </c>
      <c r="CF38" s="304"/>
      <c r="CG38" s="10">
        <f>+CG12</f>
        <v>852533.48523351655</v>
      </c>
      <c r="CH38" s="306"/>
      <c r="CI38" s="308"/>
      <c r="CJ38" s="312">
        <f>IF(CG39=0,"-",(CG38/CG39))</f>
        <v>22248.358391267626</v>
      </c>
      <c r="CK38" s="304"/>
      <c r="CL38" s="10">
        <f>+CL12</f>
        <v>882915.58282472275</v>
      </c>
      <c r="CM38" s="306"/>
      <c r="CN38" s="308"/>
      <c r="CO38" s="312">
        <f>IF(CL39=0,"-",(CL38/CL39))</f>
        <v>21762.069672391655</v>
      </c>
      <c r="CP38" s="304"/>
      <c r="CQ38" s="10">
        <f>+CQ12</f>
        <v>863588.18974490231</v>
      </c>
      <c r="CR38" s="306"/>
      <c r="CS38" s="308"/>
      <c r="CT38" s="312">
        <f>IF(CQ39=0,"-",(CQ38/CQ39))</f>
        <v>21851.263680088425</v>
      </c>
    </row>
    <row r="39" spans="1:98" ht="18" customHeight="1" x14ac:dyDescent="0.2">
      <c r="A39" s="20"/>
      <c r="B39" s="321"/>
      <c r="C39" s="323"/>
      <c r="D39" s="305"/>
      <c r="E39" s="12">
        <f>+PL!K5</f>
        <v>48.160412137252997</v>
      </c>
      <c r="F39" s="307"/>
      <c r="G39" s="309"/>
      <c r="H39" s="313"/>
      <c r="I39" s="305"/>
      <c r="J39" s="12">
        <f>+PL!L5</f>
        <v>38.315776124450458</v>
      </c>
      <c r="K39" s="307"/>
      <c r="L39" s="309"/>
      <c r="M39" s="313"/>
      <c r="N39" s="305"/>
      <c r="O39" s="12">
        <f>+PL!M5</f>
        <v>44.019508482865284</v>
      </c>
      <c r="P39" s="307"/>
      <c r="Q39" s="309"/>
      <c r="R39" s="313"/>
      <c r="S39" s="305"/>
      <c r="T39" s="12">
        <f>+PL!N5</f>
        <v>43.014104643464172</v>
      </c>
      <c r="U39" s="307"/>
      <c r="V39" s="309"/>
      <c r="W39" s="313"/>
      <c r="X39" s="305"/>
      <c r="Y39" s="12">
        <f>+PL!O5</f>
        <v>37.965076794494827</v>
      </c>
      <c r="Z39" s="307"/>
      <c r="AA39" s="309"/>
      <c r="AB39" s="313"/>
      <c r="AC39" s="305"/>
      <c r="AD39" s="12">
        <f>+PL!P5</f>
        <v>32.937291479925882</v>
      </c>
      <c r="AE39" s="307"/>
      <c r="AF39" s="309"/>
      <c r="AG39" s="313"/>
      <c r="AH39" s="305"/>
      <c r="AI39" s="12">
        <f>+PL!Q5</f>
        <v>37.163617331832747</v>
      </c>
      <c r="AJ39" s="307"/>
      <c r="AK39" s="309"/>
      <c r="AL39" s="313"/>
      <c r="AM39" s="305"/>
      <c r="AN39" s="12">
        <f>+PL!R5</f>
        <v>30.345849549710508</v>
      </c>
      <c r="AO39" s="307"/>
      <c r="AP39" s="309"/>
      <c r="AQ39" s="313"/>
      <c r="AR39" s="305"/>
      <c r="AS39" s="12">
        <f>+PL!S5</f>
        <v>31.238261648634641</v>
      </c>
      <c r="AT39" s="307"/>
      <c r="AU39" s="309"/>
      <c r="AV39" s="313"/>
      <c r="AW39" s="305"/>
      <c r="AX39" s="12">
        <f>+PL!T5</f>
        <v>30.078817816632025</v>
      </c>
      <c r="AY39" s="307"/>
      <c r="AZ39" s="309"/>
      <c r="BA39" s="313"/>
      <c r="BB39" s="305"/>
      <c r="BC39" s="12">
        <f>+PL!U5</f>
        <v>34.362096789145831</v>
      </c>
      <c r="BD39" s="307"/>
      <c r="BE39" s="309"/>
      <c r="BF39" s="313"/>
      <c r="BG39" s="305"/>
      <c r="BH39" s="12">
        <f>+PL!V5</f>
        <v>35.008334185759139</v>
      </c>
      <c r="BI39" s="307"/>
      <c r="BJ39" s="309"/>
      <c r="BK39" s="313"/>
      <c r="BL39" s="305"/>
      <c r="BM39" s="12">
        <f>+PL!W5</f>
        <v>35.220515816685051</v>
      </c>
      <c r="BN39" s="307"/>
      <c r="BO39" s="309"/>
      <c r="BP39" s="313"/>
      <c r="BQ39" s="305"/>
      <c r="BR39" s="12">
        <f>+PL!X5</f>
        <v>34.977176696166516</v>
      </c>
      <c r="BS39" s="307"/>
      <c r="BT39" s="309"/>
      <c r="BU39" s="313"/>
      <c r="BV39" s="305"/>
      <c r="BW39" s="12">
        <f>+PL!Y5</f>
        <v>37.679255544149747</v>
      </c>
      <c r="BX39" s="307"/>
      <c r="BY39" s="309"/>
      <c r="BZ39" s="313"/>
      <c r="CA39" s="305"/>
      <c r="CB39" s="12">
        <f>+PL!Z5</f>
        <v>39.554207210656429</v>
      </c>
      <c r="CC39" s="307"/>
      <c r="CD39" s="309"/>
      <c r="CE39" s="313"/>
      <c r="CF39" s="305"/>
      <c r="CG39" s="12">
        <f>+PL!AA5</f>
        <v>38.318938873626372</v>
      </c>
      <c r="CH39" s="307"/>
      <c r="CI39" s="309"/>
      <c r="CJ39" s="313"/>
      <c r="CK39" s="305"/>
      <c r="CL39" s="12">
        <f>+PL!AB5</f>
        <v>40.571305768073586</v>
      </c>
      <c r="CM39" s="307"/>
      <c r="CN39" s="309"/>
      <c r="CO39" s="313"/>
      <c r="CP39" s="305"/>
      <c r="CQ39" s="12">
        <f>+PL!AC5</f>
        <v>39.521201262690894</v>
      </c>
      <c r="CR39" s="307"/>
      <c r="CS39" s="309"/>
      <c r="CT39" s="313"/>
    </row>
    <row r="40" spans="1:98" ht="18" customHeight="1" x14ac:dyDescent="0.2">
      <c r="A40" s="20"/>
      <c r="B40" s="336" t="s">
        <v>146</v>
      </c>
      <c r="C40" s="322" t="s">
        <v>130</v>
      </c>
      <c r="D40" s="304"/>
      <c r="E40" s="10">
        <f>+E6</f>
        <v>18320.843179884701</v>
      </c>
      <c r="F40" s="306"/>
      <c r="G40" s="308"/>
      <c r="H40" s="312">
        <f>IF(E41=0,"-",(E40/E41))</f>
        <v>380.41292353711356</v>
      </c>
      <c r="I40" s="304"/>
      <c r="J40" s="10">
        <f>+J6</f>
        <v>13954.599256002704</v>
      </c>
      <c r="K40" s="306"/>
      <c r="L40" s="308"/>
      <c r="M40" s="312">
        <f>IF(J41=0,"-",(J40/J41))</f>
        <v>364.19983274455586</v>
      </c>
      <c r="N40" s="304"/>
      <c r="O40" s="10">
        <f>+O6</f>
        <v>16791.532730697661</v>
      </c>
      <c r="P40" s="306"/>
      <c r="Q40" s="308"/>
      <c r="R40" s="312">
        <f>IF(O41=0,"-",(O40/O41))</f>
        <v>381.45661570105472</v>
      </c>
      <c r="S40" s="304"/>
      <c r="T40" s="10">
        <f>+T6</f>
        <v>17066.42728697725</v>
      </c>
      <c r="U40" s="306"/>
      <c r="V40" s="308"/>
      <c r="W40" s="312">
        <f>IF(T41=0,"-",(T40/T41))</f>
        <v>396.76351346698152</v>
      </c>
      <c r="X40" s="304"/>
      <c r="Y40" s="10">
        <f>+Y6</f>
        <v>14347.263632501921</v>
      </c>
      <c r="Z40" s="306"/>
      <c r="AA40" s="308"/>
      <c r="AB40" s="312">
        <f>IF(Y41=0,"-",(Y40/Y41))</f>
        <v>377.90687768560929</v>
      </c>
      <c r="AC40" s="304"/>
      <c r="AD40" s="10">
        <f>+AD6</f>
        <v>3336.344587106295</v>
      </c>
      <c r="AE40" s="306"/>
      <c r="AF40" s="308"/>
      <c r="AG40" s="312">
        <f>IF(AD41=0,"-",(AD40/AD41))</f>
        <v>101.2938355644598</v>
      </c>
      <c r="AH40" s="304"/>
      <c r="AI40" s="10">
        <f>+AI6</f>
        <v>-3787.4927325674339</v>
      </c>
      <c r="AJ40" s="306"/>
      <c r="AK40" s="308"/>
      <c r="AL40" s="312">
        <f>IF(AI41=0,"-",(AI40/AI41))</f>
        <v>-101.91399558199711</v>
      </c>
      <c r="AM40" s="304"/>
      <c r="AN40" s="10">
        <f>+AN6</f>
        <v>8943.8958575843117</v>
      </c>
      <c r="AO40" s="306"/>
      <c r="AP40" s="308"/>
      <c r="AQ40" s="312">
        <f>IF(AN41=0,"-",(AN40/AN41))</f>
        <v>294.73209649092308</v>
      </c>
      <c r="AR40" s="304"/>
      <c r="AS40" s="10">
        <f>+AS6</f>
        <v>9741.340224918873</v>
      </c>
      <c r="AT40" s="306"/>
      <c r="AU40" s="308"/>
      <c r="AV40" s="312">
        <f>IF(AS41=0,"-",(AS40/AS41))</f>
        <v>311.84002280564312</v>
      </c>
      <c r="AW40" s="304"/>
      <c r="AX40" s="10">
        <f>+AX6</f>
        <v>6788.3790503388864</v>
      </c>
      <c r="AY40" s="306"/>
      <c r="AZ40" s="308"/>
      <c r="BA40" s="312">
        <f>IF(AX41=0,"-",(AX40/AX41))</f>
        <v>225.68636479407328</v>
      </c>
      <c r="BB40" s="304"/>
      <c r="BC40" s="10">
        <f>+BC6</f>
        <v>13634.560437288017</v>
      </c>
      <c r="BD40" s="306"/>
      <c r="BE40" s="308"/>
      <c r="BF40" s="312">
        <f>IF(BC41=0,"-",(BC40/BC41))</f>
        <v>396.79069996668102</v>
      </c>
      <c r="BG40" s="304"/>
      <c r="BH40" s="10">
        <f>+BH6</f>
        <v>14688.782980817279</v>
      </c>
      <c r="BI40" s="306"/>
      <c r="BJ40" s="308"/>
      <c r="BK40" s="312">
        <f>IF(BH41=0,"-",(BH40/BH41))</f>
        <v>419.57960361314349</v>
      </c>
      <c r="BL40" s="304"/>
      <c r="BM40" s="10">
        <f>+BM6</f>
        <v>15268.957590105378</v>
      </c>
      <c r="BN40" s="306"/>
      <c r="BO40" s="308"/>
      <c r="BP40" s="312">
        <f>IF(BM41=0,"-",(BM40/BM41))</f>
        <v>433.52453069049028</v>
      </c>
      <c r="BQ40" s="304"/>
      <c r="BR40" s="10">
        <f>+BR6</f>
        <v>17681.423167918401</v>
      </c>
      <c r="BS40" s="306"/>
      <c r="BT40" s="308"/>
      <c r="BU40" s="312">
        <f>IF(BR41=0,"-",(BR40/BR41))</f>
        <v>505.51316138264178</v>
      </c>
      <c r="BV40" s="304"/>
      <c r="BW40" s="10">
        <f>+BW6</f>
        <v>21167.97179714057</v>
      </c>
      <c r="BX40" s="306"/>
      <c r="BY40" s="308"/>
      <c r="BZ40" s="312">
        <f>IF(BW41=0,"-",(BW40/BW41))</f>
        <v>561.79379054709602</v>
      </c>
      <c r="CA40" s="304"/>
      <c r="CB40" s="10">
        <f>+CB6</f>
        <v>20386.951280725621</v>
      </c>
      <c r="CC40" s="306"/>
      <c r="CD40" s="308"/>
      <c r="CE40" s="312">
        <f>IF(CB41=0,"-",(CB40/CB41))</f>
        <v>515.418022971602</v>
      </c>
      <c r="CF40" s="304"/>
      <c r="CG40" s="10">
        <f>+CG6</f>
        <v>20336.771033653848</v>
      </c>
      <c r="CH40" s="306"/>
      <c r="CI40" s="308"/>
      <c r="CJ40" s="312">
        <f>IF(CG41=0,"-",(CG40/CG41))</f>
        <v>530.72375257371641</v>
      </c>
      <c r="CK40" s="304"/>
      <c r="CL40" s="10">
        <f>+CL6</f>
        <v>8776.397833748817</v>
      </c>
      <c r="CM40" s="306"/>
      <c r="CN40" s="308"/>
      <c r="CO40" s="312">
        <f>IF(CL41=0,"-",(CL40/CL41))</f>
        <v>216.32031968404499</v>
      </c>
      <c r="CP40" s="304"/>
      <c r="CQ40" s="10">
        <f>+CQ6</f>
        <v>20806.53212183261</v>
      </c>
      <c r="CR40" s="306"/>
      <c r="CS40" s="308"/>
      <c r="CT40" s="312">
        <f>IF(CQ41=0,"-",(CQ40/CQ41))</f>
        <v>526.4650733548059</v>
      </c>
    </row>
    <row r="41" spans="1:98" ht="18" customHeight="1" x14ac:dyDescent="0.2">
      <c r="A41" s="22"/>
      <c r="B41" s="337"/>
      <c r="C41" s="323"/>
      <c r="D41" s="305"/>
      <c r="E41" s="12">
        <f>+E39</f>
        <v>48.160412137252997</v>
      </c>
      <c r="F41" s="307"/>
      <c r="G41" s="309"/>
      <c r="H41" s="313"/>
      <c r="I41" s="305"/>
      <c r="J41" s="12">
        <f>+J39</f>
        <v>38.315776124450458</v>
      </c>
      <c r="K41" s="307"/>
      <c r="L41" s="309"/>
      <c r="M41" s="313"/>
      <c r="N41" s="305"/>
      <c r="O41" s="12">
        <f>+O39</f>
        <v>44.019508482865284</v>
      </c>
      <c r="P41" s="307"/>
      <c r="Q41" s="309"/>
      <c r="R41" s="313"/>
      <c r="S41" s="305"/>
      <c r="T41" s="12">
        <f>+T39</f>
        <v>43.014104643464172</v>
      </c>
      <c r="U41" s="307"/>
      <c r="V41" s="309"/>
      <c r="W41" s="313"/>
      <c r="X41" s="305"/>
      <c r="Y41" s="12">
        <f>+Y39</f>
        <v>37.965076794494827</v>
      </c>
      <c r="Z41" s="307"/>
      <c r="AA41" s="309"/>
      <c r="AB41" s="313"/>
      <c r="AC41" s="305"/>
      <c r="AD41" s="12">
        <f>+AD39</f>
        <v>32.937291479925882</v>
      </c>
      <c r="AE41" s="307"/>
      <c r="AF41" s="309"/>
      <c r="AG41" s="313"/>
      <c r="AH41" s="305"/>
      <c r="AI41" s="12">
        <f>+AI39</f>
        <v>37.163617331832747</v>
      </c>
      <c r="AJ41" s="307"/>
      <c r="AK41" s="309"/>
      <c r="AL41" s="313"/>
      <c r="AM41" s="305"/>
      <c r="AN41" s="12">
        <f>+AN39</f>
        <v>30.345849549710508</v>
      </c>
      <c r="AO41" s="307"/>
      <c r="AP41" s="309"/>
      <c r="AQ41" s="313"/>
      <c r="AR41" s="305"/>
      <c r="AS41" s="12">
        <f>+AS39</f>
        <v>31.238261648634641</v>
      </c>
      <c r="AT41" s="307"/>
      <c r="AU41" s="309"/>
      <c r="AV41" s="313"/>
      <c r="AW41" s="305"/>
      <c r="AX41" s="12">
        <f>+AX39</f>
        <v>30.078817816632025</v>
      </c>
      <c r="AY41" s="307"/>
      <c r="AZ41" s="309"/>
      <c r="BA41" s="313"/>
      <c r="BB41" s="305"/>
      <c r="BC41" s="12">
        <f>+BC39</f>
        <v>34.362096789145831</v>
      </c>
      <c r="BD41" s="307"/>
      <c r="BE41" s="309"/>
      <c r="BF41" s="313"/>
      <c r="BG41" s="305"/>
      <c r="BH41" s="12">
        <f>+BH39</f>
        <v>35.008334185759139</v>
      </c>
      <c r="BI41" s="307"/>
      <c r="BJ41" s="309"/>
      <c r="BK41" s="313"/>
      <c r="BL41" s="305"/>
      <c r="BM41" s="12">
        <f>+BM39</f>
        <v>35.220515816685051</v>
      </c>
      <c r="BN41" s="307"/>
      <c r="BO41" s="309"/>
      <c r="BP41" s="313"/>
      <c r="BQ41" s="305"/>
      <c r="BR41" s="12">
        <f>+BR39</f>
        <v>34.977176696166516</v>
      </c>
      <c r="BS41" s="307"/>
      <c r="BT41" s="309"/>
      <c r="BU41" s="313"/>
      <c r="BV41" s="305"/>
      <c r="BW41" s="12">
        <f>+BW39</f>
        <v>37.679255544149747</v>
      </c>
      <c r="BX41" s="307"/>
      <c r="BY41" s="309"/>
      <c r="BZ41" s="313"/>
      <c r="CA41" s="305"/>
      <c r="CB41" s="12">
        <f>+CB39</f>
        <v>39.554207210656429</v>
      </c>
      <c r="CC41" s="307"/>
      <c r="CD41" s="309"/>
      <c r="CE41" s="313"/>
      <c r="CF41" s="305"/>
      <c r="CG41" s="12">
        <f>+CG39</f>
        <v>38.318938873626372</v>
      </c>
      <c r="CH41" s="307"/>
      <c r="CI41" s="309"/>
      <c r="CJ41" s="313"/>
      <c r="CK41" s="305"/>
      <c r="CL41" s="12">
        <f>+CL39</f>
        <v>40.571305768073586</v>
      </c>
      <c r="CM41" s="307"/>
      <c r="CN41" s="309"/>
      <c r="CO41" s="313"/>
      <c r="CP41" s="305"/>
      <c r="CQ41" s="12">
        <f>+CQ39</f>
        <v>39.521201262690894</v>
      </c>
      <c r="CR41" s="307"/>
      <c r="CS41" s="309"/>
      <c r="CT41" s="313"/>
    </row>
    <row r="42" spans="1:98" ht="18" customHeight="1" x14ac:dyDescent="0.2">
      <c r="A42" s="327" t="s">
        <v>147</v>
      </c>
      <c r="B42" s="328"/>
      <c r="C42" s="329"/>
      <c r="D42" s="13"/>
      <c r="E42" s="14"/>
      <c r="F42" s="13"/>
      <c r="G42" s="13"/>
      <c r="H42" s="15"/>
      <c r="I42" s="13"/>
      <c r="J42" s="14"/>
      <c r="K42" s="13"/>
      <c r="L42" s="13"/>
      <c r="M42" s="15"/>
      <c r="N42" s="13"/>
      <c r="O42" s="14"/>
      <c r="P42" s="13"/>
      <c r="Q42" s="13"/>
      <c r="R42" s="15"/>
      <c r="S42" s="13"/>
      <c r="T42" s="14"/>
      <c r="U42" s="13"/>
      <c r="V42" s="13"/>
      <c r="W42" s="15"/>
      <c r="X42" s="13"/>
      <c r="Y42" s="14"/>
      <c r="Z42" s="13"/>
      <c r="AA42" s="13"/>
      <c r="AB42" s="15"/>
      <c r="AC42" s="13"/>
      <c r="AD42" s="14"/>
      <c r="AE42" s="13"/>
      <c r="AF42" s="13"/>
      <c r="AG42" s="15"/>
      <c r="AH42" s="13"/>
      <c r="AI42" s="14"/>
      <c r="AJ42" s="13"/>
      <c r="AK42" s="13"/>
      <c r="AL42" s="15"/>
      <c r="AM42" s="13"/>
      <c r="AN42" s="14"/>
      <c r="AO42" s="13"/>
      <c r="AP42" s="13"/>
      <c r="AQ42" s="15"/>
      <c r="AR42" s="13"/>
      <c r="AS42" s="14"/>
      <c r="AT42" s="13"/>
      <c r="AU42" s="13"/>
      <c r="AV42" s="15"/>
      <c r="AW42" s="13"/>
      <c r="AX42" s="14"/>
      <c r="AY42" s="13"/>
      <c r="AZ42" s="13"/>
      <c r="BA42" s="15"/>
      <c r="BB42" s="13"/>
      <c r="BC42" s="14"/>
      <c r="BD42" s="13"/>
      <c r="BE42" s="13"/>
      <c r="BF42" s="15"/>
      <c r="BG42" s="13"/>
      <c r="BH42" s="14"/>
      <c r="BI42" s="13"/>
      <c r="BJ42" s="13"/>
      <c r="BK42" s="15"/>
      <c r="BL42" s="13"/>
      <c r="BM42" s="14"/>
      <c r="BN42" s="13"/>
      <c r="BO42" s="13"/>
      <c r="BP42" s="15"/>
      <c r="BQ42" s="13"/>
      <c r="BR42" s="14"/>
      <c r="BS42" s="13"/>
      <c r="BT42" s="13"/>
      <c r="BU42" s="15"/>
      <c r="BV42" s="13"/>
      <c r="BW42" s="14"/>
      <c r="BX42" s="13"/>
      <c r="BY42" s="13"/>
      <c r="BZ42" s="15"/>
      <c r="CA42" s="13"/>
      <c r="CB42" s="14"/>
      <c r="CC42" s="13"/>
      <c r="CD42" s="13"/>
      <c r="CE42" s="15"/>
      <c r="CF42" s="13"/>
      <c r="CG42" s="14"/>
      <c r="CH42" s="13"/>
      <c r="CI42" s="13"/>
      <c r="CJ42" s="15"/>
      <c r="CK42" s="13"/>
      <c r="CL42" s="14"/>
      <c r="CM42" s="13"/>
      <c r="CN42" s="13"/>
      <c r="CO42" s="15"/>
      <c r="CP42" s="13"/>
      <c r="CQ42" s="14"/>
      <c r="CR42" s="13"/>
      <c r="CS42" s="13"/>
      <c r="CT42" s="15"/>
    </row>
    <row r="43" spans="1:98" ht="18" customHeight="1" x14ac:dyDescent="0.2">
      <c r="A43" s="17"/>
      <c r="B43" s="320" t="s">
        <v>148</v>
      </c>
      <c r="C43" s="322" t="s">
        <v>149</v>
      </c>
      <c r="D43" s="304"/>
      <c r="E43" s="10">
        <f>+BS!K9</f>
        <v>390947.06493997504</v>
      </c>
      <c r="F43" s="306" t="s">
        <v>150</v>
      </c>
      <c r="G43" s="308">
        <v>100</v>
      </c>
      <c r="H43" s="310">
        <f>IF(E44=0,"-",(E43/E44)*G43)</f>
        <v>122.04704612394583</v>
      </c>
      <c r="I43" s="304"/>
      <c r="J43" s="10">
        <f>+BS!L9</f>
        <v>301965.4210348326</v>
      </c>
      <c r="K43" s="306" t="s">
        <v>111</v>
      </c>
      <c r="L43" s="308">
        <v>100</v>
      </c>
      <c r="M43" s="310">
        <f>IF(J44=0,"-",(J43/J44)*L43)</f>
        <v>104.96129243278301</v>
      </c>
      <c r="N43" s="304"/>
      <c r="O43" s="10">
        <f>+BS!M9</f>
        <v>370021.89614982513</v>
      </c>
      <c r="P43" s="306" t="s">
        <v>111</v>
      </c>
      <c r="Q43" s="308">
        <v>100</v>
      </c>
      <c r="R43" s="310">
        <f>IF(O44=0,"-",(O43/O44)*Q43)</f>
        <v>142.9042256143363</v>
      </c>
      <c r="S43" s="304"/>
      <c r="T43" s="10">
        <f>+BS!N9</f>
        <v>341836.69423232094</v>
      </c>
      <c r="U43" s="306" t="s">
        <v>111</v>
      </c>
      <c r="V43" s="308">
        <v>100</v>
      </c>
      <c r="W43" s="310">
        <f>IF(T44=0,"-",(T43/T44)*V43)</f>
        <v>136.8621424254531</v>
      </c>
      <c r="X43" s="304"/>
      <c r="Y43" s="10">
        <f>+BS!O9</f>
        <v>352637.97440373432</v>
      </c>
      <c r="Z43" s="306" t="s">
        <v>111</v>
      </c>
      <c r="AA43" s="308">
        <v>100</v>
      </c>
      <c r="AB43" s="310">
        <f>IF(Y44=0,"-",(Y43/Y44)*AA43)</f>
        <v>136.84405081784138</v>
      </c>
      <c r="AC43" s="304"/>
      <c r="AD43" s="10">
        <f>+BS!P9</f>
        <v>296573.21714922198</v>
      </c>
      <c r="AE43" s="306" t="s">
        <v>111</v>
      </c>
      <c r="AF43" s="308">
        <v>100</v>
      </c>
      <c r="AG43" s="310">
        <f>IF(AD44=0,"-",(AD43/AD44)*AF43)</f>
        <v>130.11965785969562</v>
      </c>
      <c r="AH43" s="304"/>
      <c r="AI43" s="10">
        <f>+BS!Q9</f>
        <v>309756.55278427625</v>
      </c>
      <c r="AJ43" s="306" t="s">
        <v>150</v>
      </c>
      <c r="AK43" s="308">
        <v>100</v>
      </c>
      <c r="AL43" s="310">
        <f>IF(AI44=0,"-",(AI43/AI44)*AK43)</f>
        <v>145.20868021707426</v>
      </c>
      <c r="AM43" s="304"/>
      <c r="AN43" s="10">
        <f>+BS!R9</f>
        <v>258716.35833419982</v>
      </c>
      <c r="AO43" s="306" t="s">
        <v>126</v>
      </c>
      <c r="AP43" s="308">
        <v>100</v>
      </c>
      <c r="AQ43" s="310">
        <f>IF(AN44=0,"-",(AN43/AN44)*AP43)</f>
        <v>153.00258697033993</v>
      </c>
      <c r="AR43" s="304"/>
      <c r="AS43" s="10">
        <f>+BS!S9</f>
        <v>267997.19119345682</v>
      </c>
      <c r="AT43" s="306" t="s">
        <v>111</v>
      </c>
      <c r="AU43" s="308">
        <v>100</v>
      </c>
      <c r="AV43" s="310">
        <f>IF(AS44=0,"-",(AS43/AS44)*AU43)</f>
        <v>160.66244883620965</v>
      </c>
      <c r="AW43" s="304"/>
      <c r="AX43" s="10">
        <f>+BS!T9</f>
        <v>185642.07613785306</v>
      </c>
      <c r="AY43" s="306" t="s">
        <v>111</v>
      </c>
      <c r="AZ43" s="308">
        <v>100</v>
      </c>
      <c r="BA43" s="310">
        <f>IF(AX44=0,"-",(AX43/AX44)*AZ43)</f>
        <v>149.86711848919089</v>
      </c>
      <c r="BB43" s="304"/>
      <c r="BC43" s="10">
        <f>+BS!U9</f>
        <v>293638.26315598952</v>
      </c>
      <c r="BD43" s="306" t="s">
        <v>111</v>
      </c>
      <c r="BE43" s="308">
        <v>100</v>
      </c>
      <c r="BF43" s="310">
        <f>IF(BC44=0,"-",(BC43/BC44)*BE43)</f>
        <v>178.21035997174056</v>
      </c>
      <c r="BG43" s="304"/>
      <c r="BH43" s="10">
        <f>+BS!V9</f>
        <v>325955.03250365512</v>
      </c>
      <c r="BI43" s="306" t="s">
        <v>111</v>
      </c>
      <c r="BJ43" s="308">
        <v>100</v>
      </c>
      <c r="BK43" s="310">
        <f>IF(BH44=0,"-",(BH43/BH44)*BJ43)</f>
        <v>149.17883530457735</v>
      </c>
      <c r="BL43" s="304"/>
      <c r="BM43" s="10">
        <f>+BS!W9</f>
        <v>303150.5169793407</v>
      </c>
      <c r="BN43" s="306" t="s">
        <v>111</v>
      </c>
      <c r="BO43" s="308">
        <v>100</v>
      </c>
      <c r="BP43" s="310">
        <f>IF(BM44=0,"-",(BM43/BM44)*BO43)</f>
        <v>145.97746524948872</v>
      </c>
      <c r="BQ43" s="304"/>
      <c r="BR43" s="10">
        <f>+BS!X9</f>
        <v>329079.77436831244</v>
      </c>
      <c r="BS43" s="306" t="s">
        <v>111</v>
      </c>
      <c r="BT43" s="308">
        <v>100</v>
      </c>
      <c r="BU43" s="310">
        <f>IF(BR44=0,"-",(BR43/BR44)*BT43)</f>
        <v>155.89493055787634</v>
      </c>
      <c r="BV43" s="304"/>
      <c r="BW43" s="10">
        <f>+BS!Y9</f>
        <v>354005.64275153837</v>
      </c>
      <c r="BX43" s="306" t="s">
        <v>111</v>
      </c>
      <c r="BY43" s="308">
        <v>100</v>
      </c>
      <c r="BZ43" s="310">
        <f>IF(BW44=0,"-",(BW43/BW44)*BY43)</f>
        <v>158.01561479023965</v>
      </c>
      <c r="CA43" s="304"/>
      <c r="CB43" s="10">
        <f>+BS!Z9</f>
        <v>384914.80772028764</v>
      </c>
      <c r="CC43" s="306" t="s">
        <v>111</v>
      </c>
      <c r="CD43" s="308">
        <v>100</v>
      </c>
      <c r="CE43" s="310">
        <f>IF(CB44=0,"-",(CB43/CB44)*CD43)</f>
        <v>166.27606884065281</v>
      </c>
      <c r="CF43" s="304"/>
      <c r="CG43" s="10">
        <f>+BS!AA9</f>
        <v>473910.76373626379</v>
      </c>
      <c r="CH43" s="306" t="s">
        <v>126</v>
      </c>
      <c r="CI43" s="308">
        <v>100</v>
      </c>
      <c r="CJ43" s="310">
        <f>IF(CG44=0,"-",(CG43/CG44)*CI43)</f>
        <v>158.97452143402703</v>
      </c>
      <c r="CK43" s="304"/>
      <c r="CL43" s="10">
        <f>+BS!AB9</f>
        <v>443628.72620992007</v>
      </c>
      <c r="CM43" s="306" t="s">
        <v>111</v>
      </c>
      <c r="CN43" s="308">
        <v>100</v>
      </c>
      <c r="CO43" s="310">
        <f>IF(CL44=0,"-",(CL43/CL44)*CN43)</f>
        <v>164.94381117916424</v>
      </c>
      <c r="CP43" s="304"/>
      <c r="CQ43" s="10">
        <f>+BS!AC9</f>
        <v>428019.4423683986</v>
      </c>
      <c r="CR43" s="306" t="s">
        <v>111</v>
      </c>
      <c r="CS43" s="308">
        <v>100</v>
      </c>
      <c r="CT43" s="310">
        <f>IF(CQ44=0,"-",(CQ43/CQ44)*CS43)</f>
        <v>175.54998210543951</v>
      </c>
    </row>
    <row r="44" spans="1:98" ht="18" customHeight="1" x14ac:dyDescent="0.2">
      <c r="A44" s="17"/>
      <c r="B44" s="321"/>
      <c r="C44" s="323"/>
      <c r="D44" s="305"/>
      <c r="E44" s="12">
        <f>+BS!K31</f>
        <v>320324.88893090101</v>
      </c>
      <c r="F44" s="307"/>
      <c r="G44" s="309"/>
      <c r="H44" s="311"/>
      <c r="I44" s="305"/>
      <c r="J44" s="12">
        <f>+BS!L31</f>
        <v>287692.17111937777</v>
      </c>
      <c r="K44" s="307"/>
      <c r="L44" s="309"/>
      <c r="M44" s="311"/>
      <c r="N44" s="305"/>
      <c r="O44" s="12">
        <f>+BS!M31</f>
        <v>258929.98934015015</v>
      </c>
      <c r="P44" s="307"/>
      <c r="Q44" s="309"/>
      <c r="R44" s="311"/>
      <c r="S44" s="305"/>
      <c r="T44" s="12">
        <f>+BS!N31</f>
        <v>249767.16583149691</v>
      </c>
      <c r="U44" s="307"/>
      <c r="V44" s="309"/>
      <c r="W44" s="311"/>
      <c r="X44" s="305"/>
      <c r="Y44" s="12">
        <f>+BS!O31</f>
        <v>257693.31753643052</v>
      </c>
      <c r="Z44" s="307"/>
      <c r="AA44" s="309"/>
      <c r="AB44" s="311"/>
      <c r="AC44" s="305"/>
      <c r="AD44" s="12">
        <f>+BS!P31</f>
        <v>227923.45294129851</v>
      </c>
      <c r="AE44" s="307"/>
      <c r="AF44" s="309"/>
      <c r="AG44" s="311"/>
      <c r="AH44" s="305"/>
      <c r="AI44" s="12">
        <f>+BS!Q31</f>
        <v>213318.20681877786</v>
      </c>
      <c r="AJ44" s="307"/>
      <c r="AK44" s="309"/>
      <c r="AL44" s="311"/>
      <c r="AM44" s="305"/>
      <c r="AN44" s="12">
        <f>+BS!R31</f>
        <v>169092.79996968474</v>
      </c>
      <c r="AO44" s="307"/>
      <c r="AP44" s="309"/>
      <c r="AQ44" s="311"/>
      <c r="AR44" s="305"/>
      <c r="AS44" s="12">
        <f>+BS!S31</f>
        <v>166807.61007612402</v>
      </c>
      <c r="AT44" s="307"/>
      <c r="AU44" s="309"/>
      <c r="AV44" s="311"/>
      <c r="AW44" s="305"/>
      <c r="AX44" s="12">
        <f>+BS!T31</f>
        <v>123871.11863450048</v>
      </c>
      <c r="AY44" s="307"/>
      <c r="AZ44" s="309"/>
      <c r="BA44" s="311"/>
      <c r="BB44" s="305"/>
      <c r="BC44" s="12">
        <f>+BS!U31</f>
        <v>164770.59089188348</v>
      </c>
      <c r="BD44" s="307"/>
      <c r="BE44" s="309"/>
      <c r="BF44" s="311"/>
      <c r="BG44" s="305"/>
      <c r="BH44" s="12">
        <f>+BS!V31</f>
        <v>218499.51559023443</v>
      </c>
      <c r="BI44" s="307"/>
      <c r="BJ44" s="309"/>
      <c r="BK44" s="311"/>
      <c r="BL44" s="305"/>
      <c r="BM44" s="12">
        <f>+BS!W31</f>
        <v>207669.3936706114</v>
      </c>
      <c r="BN44" s="307"/>
      <c r="BO44" s="309"/>
      <c r="BP44" s="311"/>
      <c r="BQ44" s="305"/>
      <c r="BR44" s="12">
        <f>+BS!X31</f>
        <v>211090.74758921738</v>
      </c>
      <c r="BS44" s="307"/>
      <c r="BT44" s="309"/>
      <c r="BU44" s="311"/>
      <c r="BV44" s="305"/>
      <c r="BW44" s="12">
        <f>+BS!Y31</f>
        <v>224032.06368020579</v>
      </c>
      <c r="BX44" s="307"/>
      <c r="BY44" s="309"/>
      <c r="BZ44" s="311"/>
      <c r="CA44" s="305"/>
      <c r="CB44" s="12">
        <f>+BS!Z31</f>
        <v>231491.40486906911</v>
      </c>
      <c r="CC44" s="307"/>
      <c r="CD44" s="309"/>
      <c r="CE44" s="311"/>
      <c r="CF44" s="305"/>
      <c r="CG44" s="12">
        <f>+BS!AA31</f>
        <v>298104.85319368134</v>
      </c>
      <c r="CH44" s="307"/>
      <c r="CI44" s="309"/>
      <c r="CJ44" s="311"/>
      <c r="CK44" s="305"/>
      <c r="CL44" s="12">
        <f>+BS!AB31</f>
        <v>268957.48499957018</v>
      </c>
      <c r="CM44" s="307"/>
      <c r="CN44" s="309"/>
      <c r="CO44" s="311"/>
      <c r="CP44" s="305"/>
      <c r="CQ44" s="12">
        <f>+BS!AC31</f>
        <v>243816.28367886698</v>
      </c>
      <c r="CR44" s="307"/>
      <c r="CS44" s="309"/>
      <c r="CT44" s="311"/>
    </row>
    <row r="45" spans="1:98" ht="18" customHeight="1" x14ac:dyDescent="0.2">
      <c r="A45" s="17"/>
      <c r="B45" s="320" t="s">
        <v>151</v>
      </c>
      <c r="C45" s="322" t="s">
        <v>152</v>
      </c>
      <c r="D45" s="304"/>
      <c r="E45" s="10">
        <f>+BS!K10+BS!K11+BS!K12</f>
        <v>287506.47509216471</v>
      </c>
      <c r="F45" s="306" t="s">
        <v>111</v>
      </c>
      <c r="G45" s="308">
        <v>100</v>
      </c>
      <c r="H45" s="310">
        <f>IF(E46=0,"-",(E45/E46)*G45)</f>
        <v>89.754647555402499</v>
      </c>
      <c r="I45" s="304"/>
      <c r="J45" s="10">
        <f>+BS!L10+BS!L11+BS!L12</f>
        <v>193783.05715251944</v>
      </c>
      <c r="K45" s="306" t="s">
        <v>111</v>
      </c>
      <c r="L45" s="308">
        <v>100</v>
      </c>
      <c r="M45" s="310">
        <f>IF(J46=0,"-",(J45/J46)*L45)</f>
        <v>67.357779114576331</v>
      </c>
      <c r="N45" s="304"/>
      <c r="O45" s="10">
        <f>+BS!M10+BS!M11+BS!M12</f>
        <v>266298.46622618759</v>
      </c>
      <c r="P45" s="306" t="s">
        <v>111</v>
      </c>
      <c r="Q45" s="308">
        <v>100</v>
      </c>
      <c r="R45" s="310">
        <f>IF(O46=0,"-",(O45/O46)*Q45)</f>
        <v>102.84574100698612</v>
      </c>
      <c r="S45" s="304"/>
      <c r="T45" s="10">
        <f>+BS!N10+BS!N11+BS!N12</f>
        <v>267583.70505705092</v>
      </c>
      <c r="U45" s="306" t="s">
        <v>111</v>
      </c>
      <c r="V45" s="308">
        <v>100</v>
      </c>
      <c r="W45" s="310">
        <f>IF(T46=0,"-",(T45/T46)*V45)</f>
        <v>107.13325915607889</v>
      </c>
      <c r="X45" s="304"/>
      <c r="Y45" s="10">
        <f>+BS!O10+BS!O11+BS!O12</f>
        <v>248002.36838462829</v>
      </c>
      <c r="Z45" s="306" t="s">
        <v>111</v>
      </c>
      <c r="AA45" s="308">
        <v>100</v>
      </c>
      <c r="AB45" s="310">
        <f>IF(Y46=0,"-",(Y45/Y46)*AA45)</f>
        <v>96.239347902208522</v>
      </c>
      <c r="AC45" s="304"/>
      <c r="AD45" s="10">
        <f>+BS!P10+BS!P11+BS!P12</f>
        <v>220228.29251001755</v>
      </c>
      <c r="AE45" s="306" t="s">
        <v>111</v>
      </c>
      <c r="AF45" s="308">
        <v>100</v>
      </c>
      <c r="AG45" s="310">
        <f>IF(AD46=0,"-",(AD45/AD46)*AF45)</f>
        <v>96.623796133317256</v>
      </c>
      <c r="AH45" s="304"/>
      <c r="AI45" s="10">
        <f>+BS!Q10+BS!Q11+BS!Q12</f>
        <v>236767.77902898338</v>
      </c>
      <c r="AJ45" s="306" t="s">
        <v>111</v>
      </c>
      <c r="AK45" s="308">
        <v>100</v>
      </c>
      <c r="AL45" s="310">
        <f>IF(AI46=0,"-",(AI45/AI46)*AK45)</f>
        <v>110.99276642153984</v>
      </c>
      <c r="AM45" s="304"/>
      <c r="AN45" s="10">
        <f>+BS!R10+BS!R11+BS!R12</f>
        <v>173914.38628408793</v>
      </c>
      <c r="AO45" s="306" t="s">
        <v>111</v>
      </c>
      <c r="AP45" s="308">
        <v>100</v>
      </c>
      <c r="AQ45" s="310">
        <f>IF(AN46=0,"-",(AN45/AN46)*AP45)</f>
        <v>102.85144389073196</v>
      </c>
      <c r="AR45" s="304"/>
      <c r="AS45" s="10">
        <f>+BS!S10+BS!S11+BS!S12</f>
        <v>205446.63207003585</v>
      </c>
      <c r="AT45" s="306" t="s">
        <v>111</v>
      </c>
      <c r="AU45" s="308">
        <v>100</v>
      </c>
      <c r="AV45" s="310">
        <f>IF(AS46=0,"-",(AS45/AS46)*AU45)</f>
        <v>123.16382446596926</v>
      </c>
      <c r="AW45" s="304"/>
      <c r="AX45" s="10">
        <f>+BS!T10+BS!T11+BS!T12</f>
        <v>138204.38931169297</v>
      </c>
      <c r="AY45" s="306" t="s">
        <v>111</v>
      </c>
      <c r="AZ45" s="308">
        <v>100</v>
      </c>
      <c r="BA45" s="310">
        <f>IF(AX46=0,"-",(AX45/AX46)*AZ45)</f>
        <v>111.57111587850019</v>
      </c>
      <c r="BB45" s="304"/>
      <c r="BC45" s="10">
        <f>+BS!U10+BS!U11+BS!U12</f>
        <v>210036.04591835843</v>
      </c>
      <c r="BD45" s="306" t="s">
        <v>111</v>
      </c>
      <c r="BE45" s="308">
        <v>100</v>
      </c>
      <c r="BF45" s="310">
        <f>IF(BC46=0,"-",(BC45/BC46)*BE45)</f>
        <v>127.47180475681883</v>
      </c>
      <c r="BG45" s="304"/>
      <c r="BH45" s="10">
        <f>+BS!V10+BS!V11+BS!V12</f>
        <v>230496.76418717045</v>
      </c>
      <c r="BI45" s="306" t="s">
        <v>111</v>
      </c>
      <c r="BJ45" s="308">
        <v>100</v>
      </c>
      <c r="BK45" s="310">
        <f>IF(BH46=0,"-",(BH45/BH46)*BJ45)</f>
        <v>105.49074379617171</v>
      </c>
      <c r="BL45" s="304"/>
      <c r="BM45" s="10">
        <f>+BS!W10+BS!W11+BS!W12</f>
        <v>200015.12618189625</v>
      </c>
      <c r="BN45" s="306" t="s">
        <v>111</v>
      </c>
      <c r="BO45" s="308">
        <v>100</v>
      </c>
      <c r="BP45" s="310">
        <f>IF(BM46=0,"-",(BM45/BM46)*BO45)</f>
        <v>96.314205308050475</v>
      </c>
      <c r="BQ45" s="304"/>
      <c r="BR45" s="10">
        <f>+BS!X10+BS!X11+BS!X12</f>
        <v>252580.05211537075</v>
      </c>
      <c r="BS45" s="306" t="s">
        <v>111</v>
      </c>
      <c r="BT45" s="308">
        <v>100</v>
      </c>
      <c r="BU45" s="310">
        <f>IF(BR46=0,"-",(BR45/BR46)*BT45)</f>
        <v>119.65472433064267</v>
      </c>
      <c r="BV45" s="304"/>
      <c r="BW45" s="10">
        <f>+BS!Y10+BS!Y11+BS!Y12</f>
        <v>270575.56603542599</v>
      </c>
      <c r="BX45" s="306" t="s">
        <v>111</v>
      </c>
      <c r="BY45" s="308">
        <v>100</v>
      </c>
      <c r="BZ45" s="310">
        <f>IF(BW46=0,"-",(BW45/BW46)*BY45)</f>
        <v>120.77537544878336</v>
      </c>
      <c r="CA45" s="304"/>
      <c r="CB45" s="10">
        <f>+BS!Z10+BS!Z11+BS!Z12</f>
        <v>262553.83635791671</v>
      </c>
      <c r="CC45" s="306" t="s">
        <v>111</v>
      </c>
      <c r="CD45" s="308">
        <v>100</v>
      </c>
      <c r="CE45" s="310">
        <f>IF(CB46=0,"-",(CB45/CB46)*CD45)</f>
        <v>113.41839516953833</v>
      </c>
      <c r="CF45" s="304"/>
      <c r="CG45" s="10">
        <f>+BS!AA10+BS!AA11+BS!AA12</f>
        <v>311792.93020260986</v>
      </c>
      <c r="CH45" s="306" t="s">
        <v>111</v>
      </c>
      <c r="CI45" s="308">
        <v>100</v>
      </c>
      <c r="CJ45" s="310">
        <f>IF(CG46=0,"-",(CG45/CG46)*CI45)</f>
        <v>104.59169881412002</v>
      </c>
      <c r="CK45" s="304"/>
      <c r="CL45" s="10">
        <f>+BS!AB10+BS!AB11+BS!AB12</f>
        <v>305199.84311871399</v>
      </c>
      <c r="CM45" s="306" t="s">
        <v>111</v>
      </c>
      <c r="CN45" s="308">
        <v>100</v>
      </c>
      <c r="CO45" s="310">
        <f>IF(CL46=0,"-",(CL45/CL46)*CN45)</f>
        <v>113.47512530435868</v>
      </c>
      <c r="CP45" s="304"/>
      <c r="CQ45" s="10">
        <f>+BS!AC10+BS!AC11+BS!AC12</f>
        <v>296776.43545772543</v>
      </c>
      <c r="CR45" s="306" t="s">
        <v>111</v>
      </c>
      <c r="CS45" s="308">
        <v>100</v>
      </c>
      <c r="CT45" s="310">
        <f>IF(CQ46=0,"-",(CQ45/CQ46)*CS45)</f>
        <v>121.72133500673516</v>
      </c>
    </row>
    <row r="46" spans="1:98" ht="18" customHeight="1" x14ac:dyDescent="0.2">
      <c r="A46" s="17"/>
      <c r="B46" s="321"/>
      <c r="C46" s="323"/>
      <c r="D46" s="305"/>
      <c r="E46" s="12">
        <f>+E44</f>
        <v>320324.88893090101</v>
      </c>
      <c r="F46" s="307"/>
      <c r="G46" s="309"/>
      <c r="H46" s="311"/>
      <c r="I46" s="305"/>
      <c r="J46" s="12">
        <f>+J44</f>
        <v>287692.17111937777</v>
      </c>
      <c r="K46" s="307"/>
      <c r="L46" s="309"/>
      <c r="M46" s="311"/>
      <c r="N46" s="305"/>
      <c r="O46" s="12">
        <f>+O44</f>
        <v>258929.98934015015</v>
      </c>
      <c r="P46" s="307"/>
      <c r="Q46" s="309"/>
      <c r="R46" s="311"/>
      <c r="S46" s="305"/>
      <c r="T46" s="12">
        <f>+T44</f>
        <v>249767.16583149691</v>
      </c>
      <c r="U46" s="307"/>
      <c r="V46" s="309"/>
      <c r="W46" s="311"/>
      <c r="X46" s="305"/>
      <c r="Y46" s="12">
        <f>+Y44</f>
        <v>257693.31753643052</v>
      </c>
      <c r="Z46" s="307"/>
      <c r="AA46" s="309"/>
      <c r="AB46" s="311"/>
      <c r="AC46" s="305"/>
      <c r="AD46" s="12">
        <f>+AD44</f>
        <v>227923.45294129851</v>
      </c>
      <c r="AE46" s="307"/>
      <c r="AF46" s="309"/>
      <c r="AG46" s="311"/>
      <c r="AH46" s="305"/>
      <c r="AI46" s="12">
        <f>+AI44</f>
        <v>213318.20681877786</v>
      </c>
      <c r="AJ46" s="307"/>
      <c r="AK46" s="309"/>
      <c r="AL46" s="311"/>
      <c r="AM46" s="305"/>
      <c r="AN46" s="12">
        <f>+AN44</f>
        <v>169092.79996968474</v>
      </c>
      <c r="AO46" s="307"/>
      <c r="AP46" s="309"/>
      <c r="AQ46" s="311"/>
      <c r="AR46" s="305"/>
      <c r="AS46" s="12">
        <f>+AS44</f>
        <v>166807.61007612402</v>
      </c>
      <c r="AT46" s="307"/>
      <c r="AU46" s="309"/>
      <c r="AV46" s="311"/>
      <c r="AW46" s="305"/>
      <c r="AX46" s="12">
        <f>+AX44</f>
        <v>123871.11863450048</v>
      </c>
      <c r="AY46" s="307"/>
      <c r="AZ46" s="309"/>
      <c r="BA46" s="311"/>
      <c r="BB46" s="305"/>
      <c r="BC46" s="12">
        <f>+BC44</f>
        <v>164770.59089188348</v>
      </c>
      <c r="BD46" s="307"/>
      <c r="BE46" s="309"/>
      <c r="BF46" s="311"/>
      <c r="BG46" s="305"/>
      <c r="BH46" s="12">
        <f>+BH44</f>
        <v>218499.51559023443</v>
      </c>
      <c r="BI46" s="307"/>
      <c r="BJ46" s="309"/>
      <c r="BK46" s="311"/>
      <c r="BL46" s="305"/>
      <c r="BM46" s="12">
        <f>+BM44</f>
        <v>207669.3936706114</v>
      </c>
      <c r="BN46" s="307"/>
      <c r="BO46" s="309"/>
      <c r="BP46" s="311"/>
      <c r="BQ46" s="305"/>
      <c r="BR46" s="12">
        <f>+BR44</f>
        <v>211090.74758921738</v>
      </c>
      <c r="BS46" s="307"/>
      <c r="BT46" s="309"/>
      <c r="BU46" s="311"/>
      <c r="BV46" s="305"/>
      <c r="BW46" s="12">
        <f>+BW44</f>
        <v>224032.06368020579</v>
      </c>
      <c r="BX46" s="307"/>
      <c r="BY46" s="309"/>
      <c r="BZ46" s="311"/>
      <c r="CA46" s="305"/>
      <c r="CB46" s="12">
        <f>+CB44</f>
        <v>231491.40486906911</v>
      </c>
      <c r="CC46" s="307"/>
      <c r="CD46" s="309"/>
      <c r="CE46" s="311"/>
      <c r="CF46" s="305"/>
      <c r="CG46" s="12">
        <f>+CG44</f>
        <v>298104.85319368134</v>
      </c>
      <c r="CH46" s="307"/>
      <c r="CI46" s="309"/>
      <c r="CJ46" s="311"/>
      <c r="CK46" s="305"/>
      <c r="CL46" s="12">
        <f>+CL44</f>
        <v>268957.48499957018</v>
      </c>
      <c r="CM46" s="307"/>
      <c r="CN46" s="309"/>
      <c r="CO46" s="311"/>
      <c r="CP46" s="305"/>
      <c r="CQ46" s="12">
        <f>+CQ44</f>
        <v>243816.28367886698</v>
      </c>
      <c r="CR46" s="307"/>
      <c r="CS46" s="309"/>
      <c r="CT46" s="311"/>
    </row>
    <row r="47" spans="1:98" ht="18" customHeight="1" x14ac:dyDescent="0.2">
      <c r="A47" s="324" t="s">
        <v>562</v>
      </c>
      <c r="B47" s="325"/>
      <c r="C47" s="326"/>
      <c r="D47" s="7"/>
      <c r="E47" s="18"/>
      <c r="F47" s="7"/>
      <c r="G47" s="7"/>
      <c r="H47" s="8"/>
      <c r="I47" s="7"/>
      <c r="J47" s="18"/>
      <c r="K47" s="7"/>
      <c r="L47" s="7"/>
      <c r="M47" s="8"/>
      <c r="N47" s="7"/>
      <c r="O47" s="18"/>
      <c r="P47" s="7"/>
      <c r="Q47" s="7"/>
      <c r="R47" s="8"/>
      <c r="S47" s="7"/>
      <c r="T47" s="18"/>
      <c r="U47" s="7"/>
      <c r="V47" s="7"/>
      <c r="W47" s="8"/>
      <c r="X47" s="7"/>
      <c r="Y47" s="18"/>
      <c r="Z47" s="7"/>
      <c r="AA47" s="7"/>
      <c r="AB47" s="8"/>
      <c r="AC47" s="7"/>
      <c r="AD47" s="18"/>
      <c r="AE47" s="7"/>
      <c r="AF47" s="7"/>
      <c r="AG47" s="8"/>
      <c r="AH47" s="7"/>
      <c r="AI47" s="18"/>
      <c r="AJ47" s="7"/>
      <c r="AK47" s="7"/>
      <c r="AL47" s="8"/>
      <c r="AM47" s="7"/>
      <c r="AN47" s="18"/>
      <c r="AO47" s="7"/>
      <c r="AP47" s="7"/>
      <c r="AQ47" s="8"/>
      <c r="AR47" s="7"/>
      <c r="AS47" s="18"/>
      <c r="AT47" s="7"/>
      <c r="AU47" s="7"/>
      <c r="AV47" s="8"/>
      <c r="AW47" s="7"/>
      <c r="AX47" s="18"/>
      <c r="AY47" s="7"/>
      <c r="AZ47" s="7"/>
      <c r="BA47" s="8"/>
      <c r="BB47" s="7"/>
      <c r="BC47" s="18"/>
      <c r="BD47" s="7"/>
      <c r="BE47" s="7"/>
      <c r="BF47" s="8"/>
      <c r="BG47" s="7"/>
      <c r="BH47" s="18"/>
      <c r="BI47" s="7"/>
      <c r="BJ47" s="7"/>
      <c r="BK47" s="8"/>
      <c r="BL47" s="7"/>
      <c r="BM47" s="18"/>
      <c r="BN47" s="7"/>
      <c r="BO47" s="7"/>
      <c r="BP47" s="8"/>
      <c r="BQ47" s="7"/>
      <c r="BR47" s="18"/>
      <c r="BS47" s="7"/>
      <c r="BT47" s="7"/>
      <c r="BU47" s="8"/>
      <c r="BV47" s="7"/>
      <c r="BW47" s="18"/>
      <c r="BX47" s="7"/>
      <c r="BY47" s="7"/>
      <c r="BZ47" s="8"/>
      <c r="CA47" s="7"/>
      <c r="CB47" s="18"/>
      <c r="CC47" s="7"/>
      <c r="CD47" s="7"/>
      <c r="CE47" s="8"/>
      <c r="CF47" s="7"/>
      <c r="CG47" s="18"/>
      <c r="CH47" s="7"/>
      <c r="CI47" s="7"/>
      <c r="CJ47" s="8"/>
      <c r="CK47" s="7"/>
      <c r="CL47" s="18"/>
      <c r="CM47" s="7"/>
      <c r="CN47" s="7"/>
      <c r="CO47" s="8"/>
      <c r="CP47" s="7"/>
      <c r="CQ47" s="18"/>
      <c r="CR47" s="7"/>
      <c r="CS47" s="7"/>
      <c r="CT47" s="8"/>
    </row>
    <row r="48" spans="1:98" ht="18" customHeight="1" x14ac:dyDescent="0.2">
      <c r="A48" s="20"/>
      <c r="B48" s="320" t="s">
        <v>153</v>
      </c>
      <c r="C48" s="322" t="s">
        <v>149</v>
      </c>
      <c r="D48" s="304"/>
      <c r="E48" s="10">
        <f>+E9</f>
        <v>214410.24671519001</v>
      </c>
      <c r="F48" s="306" t="s">
        <v>150</v>
      </c>
      <c r="G48" s="308">
        <v>100</v>
      </c>
      <c r="H48" s="310">
        <f>IF(E49=0,"-",(E48/E49)*G48)</f>
        <v>29.165959455998053</v>
      </c>
      <c r="I48" s="304"/>
      <c r="J48" s="10">
        <f>+J9</f>
        <v>151693.77747717281</v>
      </c>
      <c r="K48" s="306" t="s">
        <v>111</v>
      </c>
      <c r="L48" s="308">
        <v>100</v>
      </c>
      <c r="M48" s="310">
        <f>IF(J49=0,"-",(J48/J49)*L48)</f>
        <v>25.366612136977114</v>
      </c>
      <c r="N48" s="304"/>
      <c r="O48" s="10">
        <f>+O9</f>
        <v>234876.05653604114</v>
      </c>
      <c r="P48" s="306" t="s">
        <v>111</v>
      </c>
      <c r="Q48" s="308">
        <v>100</v>
      </c>
      <c r="R48" s="310">
        <f>IF(O49=0,"-",(O48/O49)*Q48)</f>
        <v>33.861025043571992</v>
      </c>
      <c r="S48" s="304"/>
      <c r="T48" s="10">
        <f>+T9</f>
        <v>196880.23819661731</v>
      </c>
      <c r="U48" s="306" t="s">
        <v>111</v>
      </c>
      <c r="V48" s="308">
        <v>100</v>
      </c>
      <c r="W48" s="310">
        <f>IF(T49=0,"-",(T48/T49)*V48)</f>
        <v>34.44473025852551</v>
      </c>
      <c r="X48" s="304"/>
      <c r="Y48" s="10">
        <f>+Y9</f>
        <v>194715.75434787461</v>
      </c>
      <c r="Z48" s="306" t="s">
        <v>111</v>
      </c>
      <c r="AA48" s="308">
        <v>100</v>
      </c>
      <c r="AB48" s="310">
        <f>IF(Y49=0,"-",(Y48/Y49)*AA48)</f>
        <v>30.578414065591815</v>
      </c>
      <c r="AC48" s="304"/>
      <c r="AD48" s="10">
        <f>+AD9</f>
        <v>213066.16336647802</v>
      </c>
      <c r="AE48" s="306" t="s">
        <v>111</v>
      </c>
      <c r="AF48" s="308">
        <v>100</v>
      </c>
      <c r="AG48" s="310">
        <f>IF(AD49=0,"-",(AD48/AD49)*AF48)</f>
        <v>33.160830970701362</v>
      </c>
      <c r="AH48" s="304"/>
      <c r="AI48" s="10">
        <f>+AI9</f>
        <v>230511.5034242344</v>
      </c>
      <c r="AJ48" s="306" t="s">
        <v>150</v>
      </c>
      <c r="AK48" s="308">
        <v>100</v>
      </c>
      <c r="AL48" s="310">
        <f>IF(AI49=0,"-",(AI48/AI49)*AK48)</f>
        <v>37.721357127140323</v>
      </c>
      <c r="AM48" s="304"/>
      <c r="AN48" s="10">
        <f>+AN9</f>
        <v>163658.89093449863</v>
      </c>
      <c r="AO48" s="306" t="s">
        <v>111</v>
      </c>
      <c r="AP48" s="308">
        <v>100</v>
      </c>
      <c r="AQ48" s="310">
        <f>IF(AN49=0,"-",(AN48/AN49)*AP48)</f>
        <v>36.297698092620109</v>
      </c>
      <c r="AR48" s="304"/>
      <c r="AS48" s="10">
        <f>+AS9</f>
        <v>169502.7581893882</v>
      </c>
      <c r="AT48" s="306" t="s">
        <v>111</v>
      </c>
      <c r="AU48" s="308">
        <v>100</v>
      </c>
      <c r="AV48" s="310">
        <f>IF(AS49=0,"-",(AS48/AS49)*AU48)</f>
        <v>36.356212028451651</v>
      </c>
      <c r="AW48" s="304"/>
      <c r="AX48" s="10">
        <f>+AX9</f>
        <v>124469.13049434198</v>
      </c>
      <c r="AY48" s="306" t="s">
        <v>111</v>
      </c>
      <c r="AZ48" s="308">
        <v>100</v>
      </c>
      <c r="BA48" s="310">
        <f>IF(AX49=0,"-",(AX48/AX49)*AZ48)</f>
        <v>34.343307611570886</v>
      </c>
      <c r="BB48" s="304"/>
      <c r="BC48" s="10">
        <f>+BC9</f>
        <v>213990.93283555479</v>
      </c>
      <c r="BD48" s="306" t="s">
        <v>111</v>
      </c>
      <c r="BE48" s="308">
        <v>100</v>
      </c>
      <c r="BF48" s="310">
        <f>IF(BC49=0,"-",(BC48/BC49)*BE48)</f>
        <v>37.058232793944754</v>
      </c>
      <c r="BG48" s="304"/>
      <c r="BH48" s="10">
        <f>+BH9</f>
        <v>229503.14756122368</v>
      </c>
      <c r="BI48" s="306" t="s">
        <v>111</v>
      </c>
      <c r="BJ48" s="308">
        <v>100</v>
      </c>
      <c r="BK48" s="310">
        <f>IF(BH49=0,"-",(BH48/BH49)*BJ48)</f>
        <v>37.882487864857737</v>
      </c>
      <c r="BL48" s="304"/>
      <c r="BM48" s="10">
        <f>+BM9</f>
        <v>220457.3063183683</v>
      </c>
      <c r="BN48" s="306" t="s">
        <v>111</v>
      </c>
      <c r="BO48" s="308">
        <v>100</v>
      </c>
      <c r="BP48" s="310">
        <f>IF(BM49=0,"-",(BM48/BM49)*BO48)</f>
        <v>36.957161528169884</v>
      </c>
      <c r="BQ48" s="304"/>
      <c r="BR48" s="10">
        <f>+BR9</f>
        <v>247024.11725563827</v>
      </c>
      <c r="BS48" s="306" t="s">
        <v>111</v>
      </c>
      <c r="BT48" s="308">
        <v>100</v>
      </c>
      <c r="BU48" s="310">
        <f>IF(BR49=0,"-",(BR48/BR49)*BT48)</f>
        <v>41.763147592598656</v>
      </c>
      <c r="BV48" s="304"/>
      <c r="BW48" s="10">
        <f>+BW9</f>
        <v>284583.30241205147</v>
      </c>
      <c r="BX48" s="306" t="s">
        <v>111</v>
      </c>
      <c r="BY48" s="308">
        <v>100</v>
      </c>
      <c r="BZ48" s="310">
        <f>IF(BW49=0,"-",(BW48/BW49)*BY48)</f>
        <v>41.62768903853042</v>
      </c>
      <c r="CA48" s="304"/>
      <c r="CB48" s="10">
        <f>+CB9</f>
        <v>319656.20687728823</v>
      </c>
      <c r="CC48" s="306" t="s">
        <v>111</v>
      </c>
      <c r="CD48" s="308">
        <v>100</v>
      </c>
      <c r="CE48" s="310">
        <f>IF(CB49=0,"-",(CB48/CB49)*CD48)</f>
        <v>43.730355055163919</v>
      </c>
      <c r="CF48" s="304"/>
      <c r="CG48" s="10">
        <f>+CG9</f>
        <v>465821.04275412089</v>
      </c>
      <c r="CH48" s="306" t="s">
        <v>111</v>
      </c>
      <c r="CI48" s="308">
        <v>100</v>
      </c>
      <c r="CJ48" s="310">
        <f>IF(CG49=0,"-",(CG48/CG49)*CI48)</f>
        <v>47.37943133380837</v>
      </c>
      <c r="CK48" s="304"/>
      <c r="CL48" s="10">
        <f>+CL9</f>
        <v>370889.41554199264</v>
      </c>
      <c r="CM48" s="306" t="s">
        <v>111</v>
      </c>
      <c r="CN48" s="308">
        <v>100</v>
      </c>
      <c r="CO48" s="310">
        <f>IF(CL49=0,"-",(CL48/CL49)*CN48)</f>
        <v>42.667295493298049</v>
      </c>
      <c r="CP48" s="304"/>
      <c r="CQ48" s="10">
        <f>+CQ9</f>
        <v>328240.62742086849</v>
      </c>
      <c r="CR48" s="306" t="s">
        <v>111</v>
      </c>
      <c r="CS48" s="308">
        <v>100</v>
      </c>
      <c r="CT48" s="310">
        <f>IF(CQ49=0,"-",(CQ48/CQ49)*CS48)</f>
        <v>41.640449458508641</v>
      </c>
    </row>
    <row r="49" spans="1:98" ht="18" customHeight="1" x14ac:dyDescent="0.2">
      <c r="A49" s="20"/>
      <c r="B49" s="321"/>
      <c r="C49" s="323"/>
      <c r="D49" s="305"/>
      <c r="E49" s="12">
        <f>+E7</f>
        <v>735138.67095188599</v>
      </c>
      <c r="F49" s="307"/>
      <c r="G49" s="309"/>
      <c r="H49" s="311"/>
      <c r="I49" s="305"/>
      <c r="J49" s="12">
        <f>+J7</f>
        <v>598005.66452485626</v>
      </c>
      <c r="K49" s="307"/>
      <c r="L49" s="309"/>
      <c r="M49" s="311"/>
      <c r="N49" s="305"/>
      <c r="O49" s="12">
        <f>+O7</f>
        <v>693647.21308290353</v>
      </c>
      <c r="P49" s="307"/>
      <c r="Q49" s="309"/>
      <c r="R49" s="311"/>
      <c r="S49" s="305"/>
      <c r="T49" s="12">
        <f>+T7</f>
        <v>571583.04541486991</v>
      </c>
      <c r="U49" s="307"/>
      <c r="V49" s="309"/>
      <c r="W49" s="311"/>
      <c r="X49" s="305"/>
      <c r="Y49" s="12">
        <f>+Y7</f>
        <v>636775.19027050328</v>
      </c>
      <c r="Z49" s="307"/>
      <c r="AA49" s="309"/>
      <c r="AB49" s="311"/>
      <c r="AC49" s="305"/>
      <c r="AD49" s="12">
        <f>+AD7</f>
        <v>642523.595246237</v>
      </c>
      <c r="AE49" s="307"/>
      <c r="AF49" s="309"/>
      <c r="AG49" s="311"/>
      <c r="AH49" s="305"/>
      <c r="AI49" s="12">
        <f>+AI7</f>
        <v>611090.16477666062</v>
      </c>
      <c r="AJ49" s="307"/>
      <c r="AK49" s="309"/>
      <c r="AL49" s="311"/>
      <c r="AM49" s="305"/>
      <c r="AN49" s="12">
        <f>+AN7</f>
        <v>450879.5310294705</v>
      </c>
      <c r="AO49" s="307"/>
      <c r="AP49" s="309"/>
      <c r="AQ49" s="311"/>
      <c r="AR49" s="305"/>
      <c r="AS49" s="12">
        <f>+AS7</f>
        <v>466227.77438072674</v>
      </c>
      <c r="AT49" s="307"/>
      <c r="AU49" s="309"/>
      <c r="AV49" s="311"/>
      <c r="AW49" s="305"/>
      <c r="AX49" s="12">
        <f>+AX7</f>
        <v>362426.15854626091</v>
      </c>
      <c r="AY49" s="307"/>
      <c r="AZ49" s="309"/>
      <c r="BA49" s="311"/>
      <c r="BB49" s="305"/>
      <c r="BC49" s="12">
        <f>+BC7</f>
        <v>577445.05526048853</v>
      </c>
      <c r="BD49" s="307"/>
      <c r="BE49" s="309"/>
      <c r="BF49" s="311"/>
      <c r="BG49" s="305"/>
      <c r="BH49" s="12">
        <f>+BH7</f>
        <v>605829.1323947754</v>
      </c>
      <c r="BI49" s="307"/>
      <c r="BJ49" s="309"/>
      <c r="BK49" s="311"/>
      <c r="BL49" s="305"/>
      <c r="BM49" s="12">
        <f>+BM7</f>
        <v>596521.20780522865</v>
      </c>
      <c r="BN49" s="307"/>
      <c r="BO49" s="309"/>
      <c r="BP49" s="311"/>
      <c r="BQ49" s="305"/>
      <c r="BR49" s="12">
        <f>+BR7</f>
        <v>591488.26536105329</v>
      </c>
      <c r="BS49" s="307"/>
      <c r="BT49" s="309"/>
      <c r="BU49" s="311"/>
      <c r="BV49" s="305"/>
      <c r="BW49" s="12">
        <f>+BW7</f>
        <v>683639.44524674991</v>
      </c>
      <c r="BX49" s="307"/>
      <c r="BY49" s="309"/>
      <c r="BZ49" s="311"/>
      <c r="CA49" s="305"/>
      <c r="CB49" s="12">
        <f>+CB7</f>
        <v>730970.98451191629</v>
      </c>
      <c r="CC49" s="307"/>
      <c r="CD49" s="309"/>
      <c r="CE49" s="311"/>
      <c r="CF49" s="305"/>
      <c r="CG49" s="12">
        <f>+CG7</f>
        <v>983171.45149381866</v>
      </c>
      <c r="CH49" s="307"/>
      <c r="CI49" s="309"/>
      <c r="CJ49" s="311"/>
      <c r="CK49" s="305"/>
      <c r="CL49" s="12">
        <f>+CL7</f>
        <v>869259.25642568548</v>
      </c>
      <c r="CM49" s="307"/>
      <c r="CN49" s="309"/>
      <c r="CO49" s="311"/>
      <c r="CP49" s="305"/>
      <c r="CQ49" s="12">
        <f>+CQ7</f>
        <v>788273.49773910071</v>
      </c>
      <c r="CR49" s="307"/>
      <c r="CS49" s="309"/>
      <c r="CT49" s="311"/>
    </row>
    <row r="50" spans="1:98" ht="18" customHeight="1" x14ac:dyDescent="0.2">
      <c r="A50" s="20"/>
      <c r="B50" s="320" t="s">
        <v>154</v>
      </c>
      <c r="C50" s="322" t="s">
        <v>152</v>
      </c>
      <c r="D50" s="304"/>
      <c r="E50" s="10">
        <f>+BS!K30</f>
        <v>520728.51876358798</v>
      </c>
      <c r="F50" s="306" t="s">
        <v>111</v>
      </c>
      <c r="G50" s="308">
        <v>100</v>
      </c>
      <c r="H50" s="310">
        <f>IF(E51=0,"-",(E50/E51)*G50)</f>
        <v>242.86550047922532</v>
      </c>
      <c r="I50" s="304"/>
      <c r="J50" s="10">
        <f>+BS!L30</f>
        <v>446311.88704768347</v>
      </c>
      <c r="K50" s="306" t="s">
        <v>111</v>
      </c>
      <c r="L50" s="308">
        <v>100</v>
      </c>
      <c r="M50" s="310">
        <f>IF(J51=0,"-",(J50/J51)*L50)</f>
        <v>294.21898147064434</v>
      </c>
      <c r="N50" s="304"/>
      <c r="O50" s="10">
        <f>+BS!M30</f>
        <v>458771.15654686326</v>
      </c>
      <c r="P50" s="306" t="s">
        <v>111</v>
      </c>
      <c r="Q50" s="308">
        <v>100</v>
      </c>
      <c r="R50" s="310">
        <f>IF(O51=0,"-",(O50/O51)*Q50)</f>
        <v>195.32478674618159</v>
      </c>
      <c r="S50" s="304"/>
      <c r="T50" s="10">
        <f>+BS!N30</f>
        <v>374702.80721825256</v>
      </c>
      <c r="U50" s="306" t="s">
        <v>111</v>
      </c>
      <c r="V50" s="308">
        <v>100</v>
      </c>
      <c r="W50" s="310">
        <f>IF(T51=0,"-",(T50/T51)*V50)</f>
        <v>190.32017161826579</v>
      </c>
      <c r="X50" s="304"/>
      <c r="Y50" s="10">
        <f>+BS!O30</f>
        <v>442059.43592262862</v>
      </c>
      <c r="Z50" s="306" t="s">
        <v>111</v>
      </c>
      <c r="AA50" s="308">
        <v>100</v>
      </c>
      <c r="AB50" s="310">
        <f>IF(Y51=0,"-",(Y50/Y51)*AA50)</f>
        <v>227.02807864886759</v>
      </c>
      <c r="AC50" s="304"/>
      <c r="AD50" s="10">
        <f>+BS!P30</f>
        <v>429457.43187975901</v>
      </c>
      <c r="AE50" s="306" t="s">
        <v>111</v>
      </c>
      <c r="AF50" s="308">
        <v>100</v>
      </c>
      <c r="AG50" s="310">
        <f>IF(AD51=0,"-",(AD50/AD51)*AF50)</f>
        <v>201.5605974661888</v>
      </c>
      <c r="AH50" s="304"/>
      <c r="AI50" s="10">
        <f>+BS!Q30</f>
        <v>380578.66135242622</v>
      </c>
      <c r="AJ50" s="306" t="s">
        <v>111</v>
      </c>
      <c r="AK50" s="308">
        <v>100</v>
      </c>
      <c r="AL50" s="310">
        <f>IF(AI51=0,"-",(AI50/AI51)*AK50)</f>
        <v>165.1018086728659</v>
      </c>
      <c r="AM50" s="304"/>
      <c r="AN50" s="10">
        <f>+BS!R30</f>
        <v>287220.64009497169</v>
      </c>
      <c r="AO50" s="306" t="s">
        <v>155</v>
      </c>
      <c r="AP50" s="308">
        <v>100</v>
      </c>
      <c r="AQ50" s="310">
        <f>IF(AN51=0,"-",(AN50/AN51)*AP50)</f>
        <v>175.49956403525078</v>
      </c>
      <c r="AR50" s="304"/>
      <c r="AS50" s="10">
        <f>+BS!S30</f>
        <v>296725.01619133825</v>
      </c>
      <c r="AT50" s="306" t="s">
        <v>111</v>
      </c>
      <c r="AU50" s="308">
        <v>100</v>
      </c>
      <c r="AV50" s="310">
        <f>IF(AS51=0,"-",(AS50/AS51)*AU50)</f>
        <v>175.05615800056927</v>
      </c>
      <c r="AW50" s="304"/>
      <c r="AX50" s="10">
        <f>+BS!T30</f>
        <v>237957.02805191869</v>
      </c>
      <c r="AY50" s="306" t="s">
        <v>111</v>
      </c>
      <c r="AZ50" s="308">
        <v>100</v>
      </c>
      <c r="BA50" s="310">
        <f>IF(AX51=0,"-",(AX50/AX51)*AZ50)</f>
        <v>191.17754507229853</v>
      </c>
      <c r="BB50" s="304"/>
      <c r="BC50" s="10">
        <f>+BS!U30</f>
        <v>363454.12242493301</v>
      </c>
      <c r="BD50" s="306" t="s">
        <v>111</v>
      </c>
      <c r="BE50" s="308">
        <v>100</v>
      </c>
      <c r="BF50" s="310">
        <f>IF(BC51=0,"-",(BC50/BC51)*BE50)</f>
        <v>169.84557130943296</v>
      </c>
      <c r="BG50" s="304"/>
      <c r="BH50" s="10">
        <f>+BS!V30</f>
        <v>376325.98483355221</v>
      </c>
      <c r="BI50" s="306" t="s">
        <v>111</v>
      </c>
      <c r="BJ50" s="308">
        <v>100</v>
      </c>
      <c r="BK50" s="310">
        <f>IF(BH51=0,"-",(BH50/BH51)*BJ50)</f>
        <v>163.97421509574772</v>
      </c>
      <c r="BL50" s="304"/>
      <c r="BM50" s="10">
        <f>+BS!W30</f>
        <v>376063.90148686041</v>
      </c>
      <c r="BN50" s="306" t="s">
        <v>111</v>
      </c>
      <c r="BO50" s="308">
        <v>100</v>
      </c>
      <c r="BP50" s="310">
        <f>IF(BM51=0,"-",(BM50/BM51)*BO50)</f>
        <v>170.58355096826614</v>
      </c>
      <c r="BQ50" s="304"/>
      <c r="BR50" s="10">
        <f>+BS!X30</f>
        <v>344464.14810541505</v>
      </c>
      <c r="BS50" s="306" t="s">
        <v>111</v>
      </c>
      <c r="BT50" s="308">
        <v>100</v>
      </c>
      <c r="BU50" s="310">
        <f>IF(BR51=0,"-",(BR50/BR51)*BT50)</f>
        <v>139.44555371042532</v>
      </c>
      <c r="BV50" s="304"/>
      <c r="BW50" s="10">
        <f>+BS!Y30</f>
        <v>399056.14283469913</v>
      </c>
      <c r="BX50" s="306" t="s">
        <v>111</v>
      </c>
      <c r="BY50" s="308">
        <v>100</v>
      </c>
      <c r="BZ50" s="310">
        <f>IF(BW51=0,"-",(BW50/BW51)*BY50)</f>
        <v>140.22472135659635</v>
      </c>
      <c r="CA50" s="304"/>
      <c r="CB50" s="10">
        <f>+BS!Z30</f>
        <v>411314.77763462864</v>
      </c>
      <c r="CC50" s="306" t="s">
        <v>111</v>
      </c>
      <c r="CD50" s="308">
        <v>100</v>
      </c>
      <c r="CE50" s="310">
        <f>IF(CB51=0,"-",(CB50/CB51)*CD50)</f>
        <v>128.67410949180379</v>
      </c>
      <c r="CF50" s="304"/>
      <c r="CG50" s="10">
        <f>+BS!AA30</f>
        <v>517350.40873969777</v>
      </c>
      <c r="CH50" s="306" t="s">
        <v>155</v>
      </c>
      <c r="CI50" s="308">
        <v>100</v>
      </c>
      <c r="CJ50" s="310">
        <f>IF(CG51=0,"-",(CG50/CG51)*CI50)</f>
        <v>111.06205200196939</v>
      </c>
      <c r="CK50" s="304"/>
      <c r="CL50" s="10">
        <f>+BS!AB30</f>
        <v>498369.84079773061</v>
      </c>
      <c r="CM50" s="306" t="s">
        <v>111</v>
      </c>
      <c r="CN50" s="308">
        <v>100</v>
      </c>
      <c r="CO50" s="310">
        <f>IF(CL51=0,"-",(CL50/CL51)*CN50)</f>
        <v>134.37154577987801</v>
      </c>
      <c r="CP50" s="304"/>
      <c r="CQ50" s="10">
        <f>+BS!AC30</f>
        <v>460032.87031823228</v>
      </c>
      <c r="CR50" s="306" t="s">
        <v>111</v>
      </c>
      <c r="CS50" s="308">
        <v>100</v>
      </c>
      <c r="CT50" s="310">
        <f>IF(CQ51=0,"-",(CQ50/CQ51)*CS50)</f>
        <v>140.15110619697313</v>
      </c>
    </row>
    <row r="51" spans="1:98" ht="18" customHeight="1" x14ac:dyDescent="0.2">
      <c r="A51" s="23"/>
      <c r="B51" s="321"/>
      <c r="C51" s="323"/>
      <c r="D51" s="305"/>
      <c r="E51" s="12">
        <f>+E9</f>
        <v>214410.24671519001</v>
      </c>
      <c r="F51" s="307"/>
      <c r="G51" s="309"/>
      <c r="H51" s="311"/>
      <c r="I51" s="305"/>
      <c r="J51" s="12">
        <f>+J9</f>
        <v>151693.77747717281</v>
      </c>
      <c r="K51" s="307"/>
      <c r="L51" s="309"/>
      <c r="M51" s="311"/>
      <c r="N51" s="305"/>
      <c r="O51" s="12">
        <f>+O9</f>
        <v>234876.05653604114</v>
      </c>
      <c r="P51" s="307"/>
      <c r="Q51" s="309"/>
      <c r="R51" s="311"/>
      <c r="S51" s="305"/>
      <c r="T51" s="12">
        <f>+T9</f>
        <v>196880.23819661731</v>
      </c>
      <c r="U51" s="307"/>
      <c r="V51" s="309"/>
      <c r="W51" s="311"/>
      <c r="X51" s="305"/>
      <c r="Y51" s="12">
        <f>+Y9</f>
        <v>194715.75434787461</v>
      </c>
      <c r="Z51" s="307"/>
      <c r="AA51" s="309"/>
      <c r="AB51" s="311"/>
      <c r="AC51" s="305"/>
      <c r="AD51" s="12">
        <f>+AD9</f>
        <v>213066.16336647802</v>
      </c>
      <c r="AE51" s="307"/>
      <c r="AF51" s="309"/>
      <c r="AG51" s="311"/>
      <c r="AH51" s="305"/>
      <c r="AI51" s="12">
        <f>+AI9</f>
        <v>230511.5034242344</v>
      </c>
      <c r="AJ51" s="307"/>
      <c r="AK51" s="309"/>
      <c r="AL51" s="311"/>
      <c r="AM51" s="305"/>
      <c r="AN51" s="12">
        <f>+AN9</f>
        <v>163658.89093449863</v>
      </c>
      <c r="AO51" s="307"/>
      <c r="AP51" s="309"/>
      <c r="AQ51" s="311"/>
      <c r="AR51" s="305"/>
      <c r="AS51" s="12">
        <f>+AS9</f>
        <v>169502.7581893882</v>
      </c>
      <c r="AT51" s="307"/>
      <c r="AU51" s="309"/>
      <c r="AV51" s="311"/>
      <c r="AW51" s="305"/>
      <c r="AX51" s="12">
        <f>+AX9</f>
        <v>124469.13049434198</v>
      </c>
      <c r="AY51" s="307"/>
      <c r="AZ51" s="309"/>
      <c r="BA51" s="311"/>
      <c r="BB51" s="305"/>
      <c r="BC51" s="12">
        <f>+BC9</f>
        <v>213990.93283555479</v>
      </c>
      <c r="BD51" s="307"/>
      <c r="BE51" s="309"/>
      <c r="BF51" s="311"/>
      <c r="BG51" s="305"/>
      <c r="BH51" s="12">
        <f>+BH9</f>
        <v>229503.14756122368</v>
      </c>
      <c r="BI51" s="307"/>
      <c r="BJ51" s="309"/>
      <c r="BK51" s="311"/>
      <c r="BL51" s="305"/>
      <c r="BM51" s="12">
        <f>+BM9</f>
        <v>220457.3063183683</v>
      </c>
      <c r="BN51" s="307"/>
      <c r="BO51" s="309"/>
      <c r="BP51" s="311"/>
      <c r="BQ51" s="305"/>
      <c r="BR51" s="12">
        <f>+BR9</f>
        <v>247024.11725563827</v>
      </c>
      <c r="BS51" s="307"/>
      <c r="BT51" s="309"/>
      <c r="BU51" s="311"/>
      <c r="BV51" s="305"/>
      <c r="BW51" s="12">
        <f>+BW9</f>
        <v>284583.30241205147</v>
      </c>
      <c r="BX51" s="307"/>
      <c r="BY51" s="309"/>
      <c r="BZ51" s="311"/>
      <c r="CA51" s="305"/>
      <c r="CB51" s="12">
        <f>+CB9</f>
        <v>319656.20687728823</v>
      </c>
      <c r="CC51" s="307"/>
      <c r="CD51" s="309"/>
      <c r="CE51" s="311"/>
      <c r="CF51" s="305"/>
      <c r="CG51" s="12">
        <f>+CG9</f>
        <v>465821.04275412089</v>
      </c>
      <c r="CH51" s="307"/>
      <c r="CI51" s="309"/>
      <c r="CJ51" s="311"/>
      <c r="CK51" s="305"/>
      <c r="CL51" s="12">
        <f>+CL9</f>
        <v>370889.41554199264</v>
      </c>
      <c r="CM51" s="307"/>
      <c r="CN51" s="309"/>
      <c r="CO51" s="311"/>
      <c r="CP51" s="305"/>
      <c r="CQ51" s="12">
        <f>+CQ9</f>
        <v>328240.62742086849</v>
      </c>
      <c r="CR51" s="307"/>
      <c r="CS51" s="309"/>
      <c r="CT51" s="311"/>
    </row>
    <row r="52" spans="1:98" ht="18" customHeight="1" x14ac:dyDescent="0.2">
      <c r="A52" s="327" t="s">
        <v>156</v>
      </c>
      <c r="B52" s="328"/>
      <c r="C52" s="329"/>
      <c r="D52" s="13"/>
      <c r="E52" s="14"/>
      <c r="F52" s="13"/>
      <c r="G52" s="13"/>
      <c r="H52" s="15"/>
      <c r="I52" s="13"/>
      <c r="J52" s="14"/>
      <c r="K52" s="13"/>
      <c r="L52" s="13"/>
      <c r="M52" s="15"/>
      <c r="N52" s="13"/>
      <c r="O52" s="14"/>
      <c r="P52" s="13"/>
      <c r="Q52" s="13"/>
      <c r="R52" s="15"/>
      <c r="S52" s="13"/>
      <c r="T52" s="14"/>
      <c r="U52" s="13"/>
      <c r="V52" s="13"/>
      <c r="W52" s="15"/>
      <c r="X52" s="13"/>
      <c r="Y52" s="14"/>
      <c r="Z52" s="13"/>
      <c r="AA52" s="13"/>
      <c r="AB52" s="15"/>
      <c r="AC52" s="13"/>
      <c r="AD52" s="14"/>
      <c r="AE52" s="13"/>
      <c r="AF52" s="13"/>
      <c r="AG52" s="15"/>
      <c r="AH52" s="13"/>
      <c r="AI52" s="14"/>
      <c r="AJ52" s="13"/>
      <c r="AK52" s="13"/>
      <c r="AL52" s="15"/>
      <c r="AM52" s="13"/>
      <c r="AN52" s="14"/>
      <c r="AO52" s="13"/>
      <c r="AP52" s="13"/>
      <c r="AQ52" s="15"/>
      <c r="AR52" s="13"/>
      <c r="AS52" s="14"/>
      <c r="AT52" s="13"/>
      <c r="AU52" s="13"/>
      <c r="AV52" s="15"/>
      <c r="AW52" s="13"/>
      <c r="AX52" s="14"/>
      <c r="AY52" s="13"/>
      <c r="AZ52" s="13"/>
      <c r="BA52" s="15"/>
      <c r="BB52" s="13"/>
      <c r="BC52" s="14"/>
      <c r="BD52" s="13"/>
      <c r="BE52" s="13"/>
      <c r="BF52" s="15"/>
      <c r="BG52" s="13"/>
      <c r="BH52" s="14"/>
      <c r="BI52" s="13"/>
      <c r="BJ52" s="13"/>
      <c r="BK52" s="15"/>
      <c r="BL52" s="13"/>
      <c r="BM52" s="14"/>
      <c r="BN52" s="13"/>
      <c r="BO52" s="13"/>
      <c r="BP52" s="15"/>
      <c r="BQ52" s="13"/>
      <c r="BR52" s="14"/>
      <c r="BS52" s="13"/>
      <c r="BT52" s="13"/>
      <c r="BU52" s="15"/>
      <c r="BV52" s="13"/>
      <c r="BW52" s="14"/>
      <c r="BX52" s="13"/>
      <c r="BY52" s="13"/>
      <c r="BZ52" s="15"/>
      <c r="CA52" s="13"/>
      <c r="CB52" s="14"/>
      <c r="CC52" s="13"/>
      <c r="CD52" s="13"/>
      <c r="CE52" s="15"/>
      <c r="CF52" s="13"/>
      <c r="CG52" s="14"/>
      <c r="CH52" s="13"/>
      <c r="CI52" s="13"/>
      <c r="CJ52" s="15"/>
      <c r="CK52" s="13"/>
      <c r="CL52" s="14"/>
      <c r="CM52" s="13"/>
      <c r="CN52" s="13"/>
      <c r="CO52" s="15"/>
      <c r="CP52" s="13"/>
      <c r="CQ52" s="14"/>
      <c r="CR52" s="13"/>
      <c r="CS52" s="13"/>
      <c r="CT52" s="15"/>
    </row>
    <row r="53" spans="1:98" ht="18" customHeight="1" x14ac:dyDescent="0.2">
      <c r="A53" s="17"/>
      <c r="B53" s="320" t="s">
        <v>157</v>
      </c>
      <c r="C53" s="322" t="s">
        <v>132</v>
      </c>
      <c r="D53" s="304"/>
      <c r="E53" s="10">
        <f>+BS!K15</f>
        <v>340922.58247471403</v>
      </c>
      <c r="F53" s="306" t="s">
        <v>111</v>
      </c>
      <c r="G53" s="308">
        <v>100</v>
      </c>
      <c r="H53" s="310">
        <f>IF(E54=0,"-",(E53/E54)*G53)</f>
        <v>82.186879887410285</v>
      </c>
      <c r="I53" s="304"/>
      <c r="J53" s="10">
        <f>+BS!L15</f>
        <v>290894.91038214409</v>
      </c>
      <c r="K53" s="306" t="s">
        <v>111</v>
      </c>
      <c r="L53" s="308">
        <v>100</v>
      </c>
      <c r="M53" s="310">
        <f>IF(J54=0,"-",(J53/J54)*L53)</f>
        <v>93.74226920968573</v>
      </c>
      <c r="N53" s="304"/>
      <c r="O53" s="10">
        <f>+BS!M15</f>
        <v>314912.03655108716</v>
      </c>
      <c r="P53" s="306" t="s">
        <v>111</v>
      </c>
      <c r="Q53" s="308">
        <v>100</v>
      </c>
      <c r="R53" s="310">
        <f>IF(O54=0,"-",(O53/O54)*Q53)</f>
        <v>72.440662424141195</v>
      </c>
      <c r="S53" s="304"/>
      <c r="T53" s="10">
        <f>+BS!N15</f>
        <v>227991.84271681667</v>
      </c>
      <c r="U53" s="306" t="s">
        <v>111</v>
      </c>
      <c r="V53" s="308">
        <v>100</v>
      </c>
      <c r="W53" s="310">
        <f>IF(T54=0,"-",(T53/T54)*V53)</f>
        <v>70.845429694761435</v>
      </c>
      <c r="X53" s="304"/>
      <c r="Y53" s="10">
        <f>+BS!O15</f>
        <v>283619.64463044232</v>
      </c>
      <c r="Z53" s="306" t="s">
        <v>111</v>
      </c>
      <c r="AA53" s="308">
        <v>100</v>
      </c>
      <c r="AB53" s="310">
        <f>IF(Y54=0,"-",(Y53/Y54)*AA53)</f>
        <v>74.817517014168217</v>
      </c>
      <c r="AC53" s="304"/>
      <c r="AD53" s="10">
        <f>+BS!P15</f>
        <v>344632.65972943947</v>
      </c>
      <c r="AE53" s="306" t="s">
        <v>111</v>
      </c>
      <c r="AF53" s="308">
        <v>100</v>
      </c>
      <c r="AG53" s="310">
        <f>IF(AD54=0,"-",(AD53/AD54)*AF53)</f>
        <v>83.124105508859685</v>
      </c>
      <c r="AH53" s="304"/>
      <c r="AI53" s="10">
        <f>+BS!Q15</f>
        <v>299696.02276924497</v>
      </c>
      <c r="AJ53" s="306" t="s">
        <v>111</v>
      </c>
      <c r="AK53" s="308">
        <v>100</v>
      </c>
      <c r="AL53" s="310">
        <f>IF(AI54=0,"-",(AI53/AI54)*AK53)</f>
        <v>75.343677897217916</v>
      </c>
      <c r="AM53" s="304"/>
      <c r="AN53" s="10">
        <f>+BS!R15</f>
        <v>190051.90290246147</v>
      </c>
      <c r="AO53" s="306" t="s">
        <v>111</v>
      </c>
      <c r="AP53" s="308">
        <v>100</v>
      </c>
      <c r="AQ53" s="310">
        <f>IF(AN54=0,"-",(AN53/AN54)*AP53)</f>
        <v>67.445298856935509</v>
      </c>
      <c r="AR53" s="304"/>
      <c r="AS53" s="10">
        <f>+BS!S15</f>
        <v>194638.81078006912</v>
      </c>
      <c r="AT53" s="306" t="s">
        <v>111</v>
      </c>
      <c r="AU53" s="308">
        <v>100</v>
      </c>
      <c r="AV53" s="310">
        <f>IF(AS54=0,"-",(AS53/AS54)*AU53)</f>
        <v>65.005244797762373</v>
      </c>
      <c r="AW53" s="304"/>
      <c r="AX53" s="10">
        <f>+BS!T15</f>
        <v>175738.48785882795</v>
      </c>
      <c r="AY53" s="306" t="s">
        <v>111</v>
      </c>
      <c r="AZ53" s="308">
        <v>100</v>
      </c>
      <c r="BA53" s="310">
        <f>IF(AX54=0,"-",(AX53/AX54)*AZ53)</f>
        <v>73.667899837216765</v>
      </c>
      <c r="BB53" s="304"/>
      <c r="BC53" s="10">
        <f>+BS!U15</f>
        <v>282533.72091865877</v>
      </c>
      <c r="BD53" s="306" t="s">
        <v>111</v>
      </c>
      <c r="BE53" s="308">
        <v>100</v>
      </c>
      <c r="BF53" s="310">
        <f>IF(BC54=0,"-",(BC53/BC54)*BE53)</f>
        <v>68.464066791953741</v>
      </c>
      <c r="BG53" s="304"/>
      <c r="BH53" s="10">
        <f>+BS!V15</f>
        <v>279050.50936653023</v>
      </c>
      <c r="BI53" s="306" t="s">
        <v>111</v>
      </c>
      <c r="BJ53" s="308">
        <v>100</v>
      </c>
      <c r="BK53" s="310">
        <f>IF(BH54=0,"-",(BH53/BH54)*BJ53)</f>
        <v>72.044712632276642</v>
      </c>
      <c r="BL53" s="304"/>
      <c r="BM53" s="10">
        <f>+BS!W15</f>
        <v>289570.37651678827</v>
      </c>
      <c r="BN53" s="306" t="s">
        <v>111</v>
      </c>
      <c r="BO53" s="308">
        <v>100</v>
      </c>
      <c r="BP53" s="310">
        <f>IF(BM54=0,"-",(BM53/BM54)*BO53)</f>
        <v>74.468053379465829</v>
      </c>
      <c r="BQ53" s="304"/>
      <c r="BR53" s="10">
        <f>+BS!X15</f>
        <v>261550.16193262357</v>
      </c>
      <c r="BS53" s="306" t="s">
        <v>111</v>
      </c>
      <c r="BT53" s="308">
        <v>100</v>
      </c>
      <c r="BU53" s="310">
        <f>IF(BR54=0,"-",(BR53/BR54)*BT53)</f>
        <v>68.757063259677409</v>
      </c>
      <c r="BV53" s="304"/>
      <c r="BW53" s="10">
        <f>+BS!Y15</f>
        <v>328032.95488321257</v>
      </c>
      <c r="BX53" s="306" t="s">
        <v>111</v>
      </c>
      <c r="BY53" s="308">
        <v>100</v>
      </c>
      <c r="BZ53" s="310">
        <f>IF(BW54=0,"-",(BW53/BW54)*BY53)</f>
        <v>71.372429608317248</v>
      </c>
      <c r="CA53" s="304"/>
      <c r="CB53" s="10">
        <f>+BS!Z15</f>
        <v>344403.41255524522</v>
      </c>
      <c r="CC53" s="306" t="s">
        <v>111</v>
      </c>
      <c r="CD53" s="308">
        <v>100</v>
      </c>
      <c r="CE53" s="310">
        <f>IF(CB54=0,"-",(CB53/CB54)*CD53)</f>
        <v>68.952451029431543</v>
      </c>
      <c r="CF53" s="304"/>
      <c r="CG53" s="10">
        <f>+BS!AA15</f>
        <v>508259.97982486262</v>
      </c>
      <c r="CH53" s="306" t="s">
        <v>155</v>
      </c>
      <c r="CI53" s="308">
        <v>100</v>
      </c>
      <c r="CJ53" s="310">
        <f>IF(CG54=0,"-",(CG53/CG54)*CI53)</f>
        <v>74.19132403856986</v>
      </c>
      <c r="CK53" s="304"/>
      <c r="CL53" s="10">
        <f>+BS!AB15</f>
        <v>423793.72242757672</v>
      </c>
      <c r="CM53" s="306" t="s">
        <v>111</v>
      </c>
      <c r="CN53" s="308">
        <v>100</v>
      </c>
      <c r="CO53" s="310">
        <f>IF(CL54=0,"-",(CL53/CL54)*CN53)</f>
        <v>70.596780252836027</v>
      </c>
      <c r="CP53" s="304"/>
      <c r="CQ53" s="10">
        <f>+BS!AC15</f>
        <v>358953.73500554566</v>
      </c>
      <c r="CR53" s="306" t="s">
        <v>111</v>
      </c>
      <c r="CS53" s="308">
        <v>100</v>
      </c>
      <c r="CT53" s="310">
        <f>IF(CQ54=0,"-",(CQ53/CQ54)*CS53)</f>
        <v>65.928731539561213</v>
      </c>
    </row>
    <row r="54" spans="1:98" ht="18" customHeight="1" x14ac:dyDescent="0.2">
      <c r="A54" s="17"/>
      <c r="B54" s="321"/>
      <c r="C54" s="323"/>
      <c r="D54" s="305"/>
      <c r="E54" s="12">
        <f>+BS!K43+BS!K37</f>
        <v>414813.87654787698</v>
      </c>
      <c r="F54" s="307"/>
      <c r="G54" s="309"/>
      <c r="H54" s="311"/>
      <c r="I54" s="305"/>
      <c r="J54" s="12">
        <f>+BS!L43+BS!L37</f>
        <v>310313.49340547854</v>
      </c>
      <c r="K54" s="307"/>
      <c r="L54" s="309"/>
      <c r="M54" s="311"/>
      <c r="N54" s="305"/>
      <c r="O54" s="12">
        <f>+BS!M43+BS!M37</f>
        <v>434717.2237427542</v>
      </c>
      <c r="P54" s="307"/>
      <c r="Q54" s="309"/>
      <c r="R54" s="311"/>
      <c r="S54" s="305"/>
      <c r="T54" s="12">
        <f>+BS!N43+BS!N37</f>
        <v>321815.87958337303</v>
      </c>
      <c r="U54" s="307"/>
      <c r="V54" s="309"/>
      <c r="W54" s="311"/>
      <c r="X54" s="305"/>
      <c r="Y54" s="12">
        <f>+BS!O43+BS!O37</f>
        <v>379081.87273407262</v>
      </c>
      <c r="Z54" s="307"/>
      <c r="AA54" s="309"/>
      <c r="AB54" s="311"/>
      <c r="AC54" s="305"/>
      <c r="AD54" s="12">
        <f>+BS!P43+BS!P37</f>
        <v>414600.14230493846</v>
      </c>
      <c r="AE54" s="307"/>
      <c r="AF54" s="309"/>
      <c r="AG54" s="311"/>
      <c r="AH54" s="305"/>
      <c r="AI54" s="12">
        <f>+BS!Q43+BS!Q37</f>
        <v>397771.95795788371</v>
      </c>
      <c r="AJ54" s="307"/>
      <c r="AK54" s="309"/>
      <c r="AL54" s="311"/>
      <c r="AM54" s="305"/>
      <c r="AN54" s="12">
        <f>+BS!R43+BS!R37</f>
        <v>281786.73105978552</v>
      </c>
      <c r="AO54" s="307"/>
      <c r="AP54" s="309"/>
      <c r="AQ54" s="311"/>
      <c r="AR54" s="305"/>
      <c r="AS54" s="12">
        <f>+BS!S43+BS!S37</f>
        <v>299420.16430460243</v>
      </c>
      <c r="AT54" s="307"/>
      <c r="AU54" s="309"/>
      <c r="AV54" s="311"/>
      <c r="AW54" s="305"/>
      <c r="AX54" s="12">
        <f>+BS!T43+BS!T37</f>
        <v>238555.03991176016</v>
      </c>
      <c r="AY54" s="307"/>
      <c r="AZ54" s="309"/>
      <c r="BA54" s="311"/>
      <c r="BB54" s="305"/>
      <c r="BC54" s="12">
        <f>+BS!U43+BS!U37</f>
        <v>412674.46436860459</v>
      </c>
      <c r="BD54" s="307"/>
      <c r="BE54" s="309"/>
      <c r="BF54" s="311"/>
      <c r="BG54" s="305"/>
      <c r="BH54" s="12">
        <f>+BS!V43+BS!V37</f>
        <v>387329.6168045415</v>
      </c>
      <c r="BI54" s="307"/>
      <c r="BJ54" s="309"/>
      <c r="BK54" s="311"/>
      <c r="BL54" s="305"/>
      <c r="BM54" s="12">
        <f>+BS!W43+BS!W37</f>
        <v>388851.81413461757</v>
      </c>
      <c r="BN54" s="307"/>
      <c r="BO54" s="309"/>
      <c r="BP54" s="311"/>
      <c r="BQ54" s="305"/>
      <c r="BR54" s="12">
        <f>+BS!X43+BS!X37</f>
        <v>380397.51777183556</v>
      </c>
      <c r="BS54" s="307"/>
      <c r="BT54" s="309"/>
      <c r="BU54" s="311"/>
      <c r="BV54" s="305"/>
      <c r="BW54" s="12">
        <f>+BS!Y43+BS!Y37</f>
        <v>459607.38156654529</v>
      </c>
      <c r="BX54" s="307"/>
      <c r="BY54" s="309"/>
      <c r="BZ54" s="311"/>
      <c r="CA54" s="305"/>
      <c r="CB54" s="12">
        <f>+BS!Z43+BS!Z37</f>
        <v>499479.57964284788</v>
      </c>
      <c r="CC54" s="307"/>
      <c r="CD54" s="309"/>
      <c r="CE54" s="311"/>
      <c r="CF54" s="305"/>
      <c r="CG54" s="12">
        <f>+BS!AA43+BS!AA37</f>
        <v>685066.59830013732</v>
      </c>
      <c r="CH54" s="307"/>
      <c r="CI54" s="309"/>
      <c r="CJ54" s="311"/>
      <c r="CK54" s="305"/>
      <c r="CL54" s="12">
        <f>+BS!AB43+BS!AB37</f>
        <v>600301.77142611542</v>
      </c>
      <c r="CM54" s="307"/>
      <c r="CN54" s="309"/>
      <c r="CO54" s="311"/>
      <c r="CP54" s="305"/>
      <c r="CQ54" s="12">
        <f>+BS!AC43+BS!AC37</f>
        <v>544457.21406023379</v>
      </c>
      <c r="CR54" s="307"/>
      <c r="CS54" s="309"/>
      <c r="CT54" s="311"/>
    </row>
    <row r="55" spans="1:98" ht="18" customHeight="1" x14ac:dyDescent="0.2">
      <c r="A55" s="17"/>
      <c r="B55" s="320" t="s">
        <v>158</v>
      </c>
      <c r="C55" s="322" t="s">
        <v>152</v>
      </c>
      <c r="D55" s="304"/>
      <c r="E55" s="10">
        <f>+E53</f>
        <v>340922.58247471403</v>
      </c>
      <c r="F55" s="306" t="s">
        <v>111</v>
      </c>
      <c r="G55" s="308">
        <v>100</v>
      </c>
      <c r="H55" s="310">
        <f>IF(E56=0,"-",(E55/E56)*G55)</f>
        <v>159.00479930307415</v>
      </c>
      <c r="I55" s="304"/>
      <c r="J55" s="10">
        <f>+J53</f>
        <v>290894.91038214409</v>
      </c>
      <c r="K55" s="306" t="s">
        <v>111</v>
      </c>
      <c r="L55" s="308">
        <v>100</v>
      </c>
      <c r="M55" s="310">
        <f>IF(J56=0,"-",(J55/J56)*L55)</f>
        <v>191.76456359649859</v>
      </c>
      <c r="N55" s="304"/>
      <c r="O55" s="10">
        <f>+O53</f>
        <v>314912.03655108716</v>
      </c>
      <c r="P55" s="306" t="s">
        <v>111</v>
      </c>
      <c r="Q55" s="308">
        <v>100</v>
      </c>
      <c r="R55" s="310">
        <f>IF(O56=0,"-",(O55/O56)*Q55)</f>
        <v>134.075836079428</v>
      </c>
      <c r="S55" s="304"/>
      <c r="T55" s="10">
        <f>+T53</f>
        <v>227991.84271681667</v>
      </c>
      <c r="U55" s="306" t="s">
        <v>111</v>
      </c>
      <c r="V55" s="308">
        <v>100</v>
      </c>
      <c r="W55" s="310">
        <f>IF(T56=0,"-",(T55/T56)*V55)</f>
        <v>115.80229930904964</v>
      </c>
      <c r="X55" s="304"/>
      <c r="Y55" s="10">
        <f>+Y53</f>
        <v>283619.64463044232</v>
      </c>
      <c r="Z55" s="306" t="s">
        <v>111</v>
      </c>
      <c r="AA55" s="308">
        <v>100</v>
      </c>
      <c r="AB55" s="310">
        <f>IF(Y56=0,"-",(Y55/Y56)*AA55)</f>
        <v>145.65829333138299</v>
      </c>
      <c r="AC55" s="304"/>
      <c r="AD55" s="10">
        <f>+AD53</f>
        <v>344632.65972943947</v>
      </c>
      <c r="AE55" s="306" t="s">
        <v>111</v>
      </c>
      <c r="AF55" s="308">
        <v>100</v>
      </c>
      <c r="AG55" s="310">
        <f>IF(AD56=0,"-",(AD55/AD56)*AF55)</f>
        <v>161.7491272589653</v>
      </c>
      <c r="AH55" s="304"/>
      <c r="AI55" s="10">
        <f>+AI53</f>
        <v>299696.02276924497</v>
      </c>
      <c r="AJ55" s="306" t="s">
        <v>111</v>
      </c>
      <c r="AK55" s="308">
        <v>100</v>
      </c>
      <c r="AL55" s="310">
        <f>IF(AI56=0,"-",(AI55/AI56)*AK55)</f>
        <v>130.01347799015613</v>
      </c>
      <c r="AM55" s="304"/>
      <c r="AN55" s="10">
        <f>+AN53</f>
        <v>190051.90290246147</v>
      </c>
      <c r="AO55" s="306" t="s">
        <v>111</v>
      </c>
      <c r="AP55" s="308">
        <v>100</v>
      </c>
      <c r="AQ55" s="310">
        <f>IF(AN56=0,"-",(AN55/AN56)*AP55)</f>
        <v>116.12684273812302</v>
      </c>
      <c r="AR55" s="304"/>
      <c r="AS55" s="10">
        <f>+AS53</f>
        <v>194638.81078006912</v>
      </c>
      <c r="AT55" s="306" t="s">
        <v>111</v>
      </c>
      <c r="AU55" s="308">
        <v>100</v>
      </c>
      <c r="AV55" s="310">
        <f>IF(AS56=0,"-",(AS55/AS56)*AU55)</f>
        <v>114.82928824237537</v>
      </c>
      <c r="AW55" s="304"/>
      <c r="AX55" s="10">
        <f>+AX53</f>
        <v>175738.48785882795</v>
      </c>
      <c r="AY55" s="306" t="s">
        <v>111</v>
      </c>
      <c r="AZ55" s="308">
        <v>100</v>
      </c>
      <c r="BA55" s="310">
        <f>IF(AX56=0,"-",(AX55/AX56)*AZ55)</f>
        <v>141.19041979393961</v>
      </c>
      <c r="BB55" s="304"/>
      <c r="BC55" s="10">
        <f>+BC53</f>
        <v>282533.72091865877</v>
      </c>
      <c r="BD55" s="306" t="s">
        <v>111</v>
      </c>
      <c r="BE55" s="308">
        <v>100</v>
      </c>
      <c r="BF55" s="310">
        <f>IF(BC56=0,"-",(BC55/BC56)*BE55)</f>
        <v>132.03069736406866</v>
      </c>
      <c r="BG55" s="304"/>
      <c r="BH55" s="10">
        <f>+BH53</f>
        <v>279050.50936653023</v>
      </c>
      <c r="BI55" s="306" t="s">
        <v>111</v>
      </c>
      <c r="BJ55" s="308">
        <v>100</v>
      </c>
      <c r="BK55" s="310">
        <f>IF(BH56=0,"-",(BH55/BH56)*BJ55)</f>
        <v>121.58896831342541</v>
      </c>
      <c r="BL55" s="304"/>
      <c r="BM55" s="10">
        <f>+BM53</f>
        <v>289570.37651678827</v>
      </c>
      <c r="BN55" s="306" t="s">
        <v>111</v>
      </c>
      <c r="BO55" s="308">
        <v>100</v>
      </c>
      <c r="BP55" s="310">
        <f>IF(BM56=0,"-",(BM55/BM56)*BO55)</f>
        <v>131.34986603647053</v>
      </c>
      <c r="BQ55" s="304"/>
      <c r="BR55" s="10">
        <f>+BR53</f>
        <v>261550.16193262357</v>
      </c>
      <c r="BS55" s="306" t="s">
        <v>111</v>
      </c>
      <c r="BT55" s="308">
        <v>100</v>
      </c>
      <c r="BU55" s="310">
        <f>IF(BR56=0,"-",(BR55/BR56)*BT55)</f>
        <v>105.88041557980863</v>
      </c>
      <c r="BV55" s="304"/>
      <c r="BW55" s="10">
        <f>+BW53</f>
        <v>328032.95488321257</v>
      </c>
      <c r="BX55" s="306" t="s">
        <v>111</v>
      </c>
      <c r="BY55" s="308">
        <v>100</v>
      </c>
      <c r="BZ55" s="310">
        <f>IF(BW56=0,"-",(BW55/BW56)*BY55)</f>
        <v>115.26781511876962</v>
      </c>
      <c r="CA55" s="304"/>
      <c r="CB55" s="10">
        <f>+CB53</f>
        <v>344403.41255524522</v>
      </c>
      <c r="CC55" s="306" t="s">
        <v>111</v>
      </c>
      <c r="CD55" s="308">
        <v>100</v>
      </c>
      <c r="CE55" s="310">
        <f>IF(CB56=0,"-",(CB55/CB56)*CD55)</f>
        <v>107.74181922500792</v>
      </c>
      <c r="CF55" s="304"/>
      <c r="CG55" s="10">
        <f>+CG53</f>
        <v>508259.97982486262</v>
      </c>
      <c r="CH55" s="306" t="s">
        <v>111</v>
      </c>
      <c r="CI55" s="308">
        <v>100</v>
      </c>
      <c r="CJ55" s="310">
        <f>IF(CG56=0,"-",(CG55/CG56)*CI55)</f>
        <v>109.1105667575311</v>
      </c>
      <c r="CK55" s="304"/>
      <c r="CL55" s="10">
        <f>+CL53</f>
        <v>423793.72242757672</v>
      </c>
      <c r="CM55" s="306" t="s">
        <v>111</v>
      </c>
      <c r="CN55" s="308">
        <v>100</v>
      </c>
      <c r="CO55" s="310">
        <f>IF(CL56=0,"-",(CL55/CL56)*CN55)</f>
        <v>114.26417273414862</v>
      </c>
      <c r="CP55" s="304"/>
      <c r="CQ55" s="10">
        <f>+CQ53</f>
        <v>358953.73500554566</v>
      </c>
      <c r="CR55" s="306" t="s">
        <v>111</v>
      </c>
      <c r="CS55" s="308">
        <v>100</v>
      </c>
      <c r="CT55" s="310">
        <f>IF(CQ56=0,"-",(CQ55/CQ56)*CS55)</f>
        <v>109.35688791055622</v>
      </c>
    </row>
    <row r="56" spans="1:98" ht="18" customHeight="1" x14ac:dyDescent="0.2">
      <c r="A56" s="17"/>
      <c r="B56" s="321"/>
      <c r="C56" s="323"/>
      <c r="D56" s="305"/>
      <c r="E56" s="12">
        <f>+E9</f>
        <v>214410.24671519001</v>
      </c>
      <c r="F56" s="307"/>
      <c r="G56" s="309"/>
      <c r="H56" s="311"/>
      <c r="I56" s="305"/>
      <c r="J56" s="12">
        <f>+J9</f>
        <v>151693.77747717281</v>
      </c>
      <c r="K56" s="307"/>
      <c r="L56" s="309"/>
      <c r="M56" s="311"/>
      <c r="N56" s="305"/>
      <c r="O56" s="12">
        <f>+O9</f>
        <v>234876.05653604114</v>
      </c>
      <c r="P56" s="307"/>
      <c r="Q56" s="309"/>
      <c r="R56" s="311"/>
      <c r="S56" s="305"/>
      <c r="T56" s="12">
        <f>+T9</f>
        <v>196880.23819661731</v>
      </c>
      <c r="U56" s="307"/>
      <c r="V56" s="309"/>
      <c r="W56" s="311"/>
      <c r="X56" s="305"/>
      <c r="Y56" s="12">
        <f>+Y9</f>
        <v>194715.75434787461</v>
      </c>
      <c r="Z56" s="307"/>
      <c r="AA56" s="309"/>
      <c r="AB56" s="311"/>
      <c r="AC56" s="305"/>
      <c r="AD56" s="12">
        <f>+AD9</f>
        <v>213066.16336647802</v>
      </c>
      <c r="AE56" s="307"/>
      <c r="AF56" s="309"/>
      <c r="AG56" s="311"/>
      <c r="AH56" s="305"/>
      <c r="AI56" s="12">
        <f>+AI9</f>
        <v>230511.5034242344</v>
      </c>
      <c r="AJ56" s="307"/>
      <c r="AK56" s="309"/>
      <c r="AL56" s="311"/>
      <c r="AM56" s="305"/>
      <c r="AN56" s="12">
        <f>+AN9</f>
        <v>163658.89093449863</v>
      </c>
      <c r="AO56" s="307"/>
      <c r="AP56" s="309"/>
      <c r="AQ56" s="311"/>
      <c r="AR56" s="305"/>
      <c r="AS56" s="12">
        <f>+AS9</f>
        <v>169502.7581893882</v>
      </c>
      <c r="AT56" s="307"/>
      <c r="AU56" s="309"/>
      <c r="AV56" s="311"/>
      <c r="AW56" s="305"/>
      <c r="AX56" s="12">
        <f>+AX9</f>
        <v>124469.13049434198</v>
      </c>
      <c r="AY56" s="307"/>
      <c r="AZ56" s="309"/>
      <c r="BA56" s="311"/>
      <c r="BB56" s="305"/>
      <c r="BC56" s="12">
        <f>+BC9</f>
        <v>213990.93283555479</v>
      </c>
      <c r="BD56" s="307"/>
      <c r="BE56" s="309"/>
      <c r="BF56" s="311"/>
      <c r="BG56" s="305"/>
      <c r="BH56" s="12">
        <f>+BH9</f>
        <v>229503.14756122368</v>
      </c>
      <c r="BI56" s="307"/>
      <c r="BJ56" s="309"/>
      <c r="BK56" s="311"/>
      <c r="BL56" s="305"/>
      <c r="BM56" s="12">
        <f>+BM9</f>
        <v>220457.3063183683</v>
      </c>
      <c r="BN56" s="307"/>
      <c r="BO56" s="309"/>
      <c r="BP56" s="311"/>
      <c r="BQ56" s="305"/>
      <c r="BR56" s="12">
        <f>+BR9</f>
        <v>247024.11725563827</v>
      </c>
      <c r="BS56" s="307"/>
      <c r="BT56" s="309"/>
      <c r="BU56" s="311"/>
      <c r="BV56" s="305"/>
      <c r="BW56" s="12">
        <f>+BW9</f>
        <v>284583.30241205147</v>
      </c>
      <c r="BX56" s="307"/>
      <c r="BY56" s="309"/>
      <c r="BZ56" s="311"/>
      <c r="CA56" s="305"/>
      <c r="CB56" s="12">
        <f>+CB9</f>
        <v>319656.20687728823</v>
      </c>
      <c r="CC56" s="307"/>
      <c r="CD56" s="309"/>
      <c r="CE56" s="311"/>
      <c r="CF56" s="305"/>
      <c r="CG56" s="12">
        <f>+CG9</f>
        <v>465821.04275412089</v>
      </c>
      <c r="CH56" s="307"/>
      <c r="CI56" s="309"/>
      <c r="CJ56" s="311"/>
      <c r="CK56" s="305"/>
      <c r="CL56" s="12">
        <f>+CL9</f>
        <v>370889.41554199264</v>
      </c>
      <c r="CM56" s="307"/>
      <c r="CN56" s="309"/>
      <c r="CO56" s="311"/>
      <c r="CP56" s="305"/>
      <c r="CQ56" s="12">
        <f>+CQ9</f>
        <v>328240.62742086849</v>
      </c>
      <c r="CR56" s="307"/>
      <c r="CS56" s="309"/>
      <c r="CT56" s="311"/>
    </row>
    <row r="57" spans="1:98" ht="18" customHeight="1" x14ac:dyDescent="0.2">
      <c r="A57" s="324" t="s">
        <v>159</v>
      </c>
      <c r="B57" s="325"/>
      <c r="C57" s="326"/>
      <c r="D57" s="7"/>
      <c r="E57" s="7"/>
      <c r="F57" s="7"/>
      <c r="G57" s="7"/>
      <c r="H57" s="8"/>
      <c r="I57" s="7"/>
      <c r="J57" s="7"/>
      <c r="K57" s="7"/>
      <c r="L57" s="7"/>
      <c r="M57" s="8"/>
      <c r="N57" s="7"/>
      <c r="O57" s="7"/>
      <c r="P57" s="7"/>
      <c r="Q57" s="7"/>
      <c r="R57" s="8"/>
      <c r="S57" s="7"/>
      <c r="T57" s="18"/>
      <c r="U57" s="7"/>
      <c r="V57" s="7"/>
      <c r="W57" s="8"/>
      <c r="X57" s="7"/>
      <c r="Y57" s="18"/>
      <c r="Z57" s="7"/>
      <c r="AA57" s="7"/>
      <c r="AB57" s="8"/>
      <c r="AC57" s="7"/>
      <c r="AD57" s="18"/>
      <c r="AE57" s="7"/>
      <c r="AF57" s="7"/>
      <c r="AG57" s="8"/>
      <c r="AH57" s="7"/>
      <c r="AI57" s="7"/>
      <c r="AJ57" s="7"/>
      <c r="AK57" s="7"/>
      <c r="AL57" s="8"/>
      <c r="AM57" s="7"/>
      <c r="AN57" s="18"/>
      <c r="AO57" s="7"/>
      <c r="AP57" s="7"/>
      <c r="AQ57" s="8"/>
      <c r="AR57" s="7"/>
      <c r="AS57" s="18"/>
      <c r="AT57" s="7"/>
      <c r="AU57" s="7"/>
      <c r="AV57" s="8"/>
      <c r="AW57" s="7"/>
      <c r="AX57" s="18"/>
      <c r="AY57" s="7"/>
      <c r="AZ57" s="7"/>
      <c r="BA57" s="8"/>
      <c r="BB57" s="7"/>
      <c r="BC57" s="18"/>
      <c r="BD57" s="7"/>
      <c r="BE57" s="7"/>
      <c r="BF57" s="8"/>
      <c r="BG57" s="7"/>
      <c r="BH57" s="18"/>
      <c r="BI57" s="7"/>
      <c r="BJ57" s="7"/>
      <c r="BK57" s="8"/>
      <c r="BL57" s="7"/>
      <c r="BM57" s="18"/>
      <c r="BN57" s="7"/>
      <c r="BO57" s="7"/>
      <c r="BP57" s="8"/>
      <c r="BQ57" s="7"/>
      <c r="BR57" s="18"/>
      <c r="BS57" s="7"/>
      <c r="BT57" s="7"/>
      <c r="BU57" s="8"/>
      <c r="BV57" s="7"/>
      <c r="BW57" s="18"/>
      <c r="BX57" s="7"/>
      <c r="BY57" s="7"/>
      <c r="BZ57" s="8"/>
      <c r="CA57" s="7"/>
      <c r="CB57" s="18"/>
      <c r="CC57" s="7"/>
      <c r="CD57" s="7"/>
      <c r="CE57" s="8"/>
      <c r="CF57" s="7"/>
      <c r="CG57" s="18"/>
      <c r="CH57" s="7"/>
      <c r="CI57" s="7"/>
      <c r="CJ57" s="8"/>
      <c r="CK57" s="7"/>
      <c r="CL57" s="18"/>
      <c r="CM57" s="7"/>
      <c r="CN57" s="7"/>
      <c r="CO57" s="8"/>
      <c r="CP57" s="7"/>
      <c r="CQ57" s="18"/>
      <c r="CR57" s="7"/>
      <c r="CS57" s="7"/>
      <c r="CT57" s="8"/>
    </row>
    <row r="58" spans="1:98" ht="18" customHeight="1" x14ac:dyDescent="0.2">
      <c r="A58" s="20"/>
      <c r="B58" s="320" t="s">
        <v>160</v>
      </c>
      <c r="C58" s="322" t="s">
        <v>161</v>
      </c>
      <c r="D58" s="330"/>
      <c r="E58" s="331"/>
      <c r="F58" s="331"/>
      <c r="G58" s="331"/>
      <c r="H58" s="332"/>
      <c r="I58" s="304"/>
      <c r="J58" s="10">
        <f>+J12-E12</f>
        <v>-236409.15028218972</v>
      </c>
      <c r="K58" s="306" t="s">
        <v>111</v>
      </c>
      <c r="L58" s="308">
        <v>100</v>
      </c>
      <c r="M58" s="310">
        <f>IF(J59=0,"-",(J58/J59)*L58)</f>
        <v>-22.973545138388111</v>
      </c>
      <c r="N58" s="304"/>
      <c r="O58" s="10">
        <f>+O12-J12</f>
        <v>40410.38522546168</v>
      </c>
      <c r="P58" s="306" t="s">
        <v>111</v>
      </c>
      <c r="Q58" s="308">
        <v>100</v>
      </c>
      <c r="R58" s="310">
        <f>IF(O59=0,"-",(O58/O59)*Q58)</f>
        <v>5.0981993893215796</v>
      </c>
      <c r="S58" s="304"/>
      <c r="T58" s="10">
        <f>+T12-O12</f>
        <v>-4986.4607032340718</v>
      </c>
      <c r="U58" s="306" t="s">
        <v>111</v>
      </c>
      <c r="V58" s="308">
        <v>100</v>
      </c>
      <c r="W58" s="310">
        <f>IF(T59=0,"-",(T58/T59)*V58)</f>
        <v>-0.59857827652566997</v>
      </c>
      <c r="X58" s="304"/>
      <c r="Y58" s="10">
        <f>+Y12-T12</f>
        <v>-26359.013893922674</v>
      </c>
      <c r="Z58" s="306" t="s">
        <v>111</v>
      </c>
      <c r="AA58" s="308">
        <v>100</v>
      </c>
      <c r="AB58" s="310">
        <f>IF(Y59=0,"-",(Y58/Y59)*AA58)</f>
        <v>-3.1832087032214766</v>
      </c>
      <c r="AC58" s="304"/>
      <c r="AD58" s="10">
        <f>+AD12-Y12</f>
        <v>120286.67734952562</v>
      </c>
      <c r="AE58" s="306" t="s">
        <v>111</v>
      </c>
      <c r="AF58" s="308">
        <v>100</v>
      </c>
      <c r="AG58" s="310">
        <f>IF(AD59=0,"-",(AD58/AD59)*AF58)</f>
        <v>15.003852913952494</v>
      </c>
      <c r="AH58" s="304"/>
      <c r="AI58" s="10">
        <f>+AI12-AD12</f>
        <v>-262229.28602962266</v>
      </c>
      <c r="AJ58" s="306" t="s">
        <v>162</v>
      </c>
      <c r="AK58" s="308">
        <v>100</v>
      </c>
      <c r="AL58" s="310">
        <f>IF(AI59=0,"-",(AI58/AI59)*AK58)</f>
        <v>-28.441603084156093</v>
      </c>
      <c r="AM58" s="304"/>
      <c r="AN58" s="10">
        <f>+AN12-AI12</f>
        <v>-62175.828184153419</v>
      </c>
      <c r="AO58" s="306" t="s">
        <v>162</v>
      </c>
      <c r="AP58" s="308">
        <v>100</v>
      </c>
      <c r="AQ58" s="310">
        <f>IF(AN59=0,"-",(AN58/AN59)*AP58)</f>
        <v>-9.4239691314765874</v>
      </c>
      <c r="AR58" s="304"/>
      <c r="AS58" s="10">
        <f>+AS12-AN12</f>
        <v>-35442.926471118117</v>
      </c>
      <c r="AT58" s="306" t="s">
        <v>111</v>
      </c>
      <c r="AU58" s="308">
        <v>100</v>
      </c>
      <c r="AV58" s="310">
        <f>IF(AS59=0,"-",(AS58/AS59)*AU58)</f>
        <v>-5.9310087440903807</v>
      </c>
      <c r="AW58" s="304"/>
      <c r="AX58" s="10">
        <f>+AX12-AS12</f>
        <v>-159973.97986590362</v>
      </c>
      <c r="AY58" s="306" t="s">
        <v>111</v>
      </c>
      <c r="AZ58" s="308">
        <v>100</v>
      </c>
      <c r="BA58" s="310">
        <f>IF(AX59=0,"-",(AX58/AX59)*AZ58)</f>
        <v>-28.457834742144573</v>
      </c>
      <c r="BB58" s="304"/>
      <c r="BC58" s="10">
        <f>+BC12-AX12</f>
        <v>317307.92556113971</v>
      </c>
      <c r="BD58" s="306" t="s">
        <v>111</v>
      </c>
      <c r="BE58" s="308">
        <v>100</v>
      </c>
      <c r="BF58" s="310">
        <f>IF(BC59=0,"-",(BC58/BC59)*BE58)</f>
        <v>78.898971753073539</v>
      </c>
      <c r="BG58" s="304"/>
      <c r="BH58" s="10">
        <f>+BH12-BC12</f>
        <v>37692.838411451317</v>
      </c>
      <c r="BI58" s="306" t="s">
        <v>111</v>
      </c>
      <c r="BJ58" s="308">
        <v>100</v>
      </c>
      <c r="BK58" s="310">
        <f>IF(BH59=0,"-",(BH58/BH59)*BJ58)</f>
        <v>5.2389158392665118</v>
      </c>
      <c r="BL58" s="304"/>
      <c r="BM58" s="10">
        <f>+BM12-BH12</f>
        <v>38655.783485342748</v>
      </c>
      <c r="BN58" s="306" t="s">
        <v>111</v>
      </c>
      <c r="BO58" s="308">
        <v>100</v>
      </c>
      <c r="BP58" s="310">
        <f>IF(BM59=0,"-",(BM58/BM59)*BO58)</f>
        <v>5.1052932572615273</v>
      </c>
      <c r="BQ58" s="304"/>
      <c r="BR58" s="10">
        <f>+BR12-BM12</f>
        <v>-35425.102272269665</v>
      </c>
      <c r="BS58" s="306" t="s">
        <v>111</v>
      </c>
      <c r="BT58" s="308">
        <v>100</v>
      </c>
      <c r="BU58" s="310">
        <f>IF(BR59=0,"-",(BR58/BR59)*BT58)</f>
        <v>-4.4513601972814616</v>
      </c>
      <c r="BV58" s="304"/>
      <c r="BW58" s="10">
        <f>+BW12-BR12</f>
        <v>707.78464043710846</v>
      </c>
      <c r="BX58" s="306" t="s">
        <v>111</v>
      </c>
      <c r="BY58" s="308">
        <v>100</v>
      </c>
      <c r="BZ58" s="310">
        <f>IF(BW59=0,"-",(BW58/BW59)*BY58)</f>
        <v>9.3080402001274501E-2</v>
      </c>
      <c r="CA58" s="304"/>
      <c r="CB58" s="10">
        <f>+CB12-BW12</f>
        <v>104976.44403856178</v>
      </c>
      <c r="CC58" s="306" t="s">
        <v>111</v>
      </c>
      <c r="CD58" s="308">
        <v>100</v>
      </c>
      <c r="CE58" s="310">
        <f>IF(CB59=0,"-",(CB58/CB59)*CD58)</f>
        <v>13.792561174011537</v>
      </c>
      <c r="CF58" s="304"/>
      <c r="CG58" s="10">
        <f>+CG12-CB12</f>
        <v>-13552.101002379437</v>
      </c>
      <c r="CH58" s="306" t="s">
        <v>155</v>
      </c>
      <c r="CI58" s="308">
        <v>100</v>
      </c>
      <c r="CJ58" s="310">
        <f>IF(CG59=0,"-",(CG58/CG59)*CI58)</f>
        <v>-1.5647530934302198</v>
      </c>
      <c r="CK58" s="304"/>
      <c r="CL58" s="10">
        <f>+CL12-CG12</f>
        <v>30382.097591206199</v>
      </c>
      <c r="CM58" s="306" t="s">
        <v>111</v>
      </c>
      <c r="CN58" s="308">
        <v>100</v>
      </c>
      <c r="CO58" s="310">
        <f>IF(CL59=0,"-",(CL58/CL59)*CN58)</f>
        <v>3.5637424356281171</v>
      </c>
      <c r="CP58" s="304"/>
      <c r="CQ58" s="10">
        <f>+CQ12-CL12</f>
        <v>-19327.393079820438</v>
      </c>
      <c r="CR58" s="306" t="s">
        <v>111</v>
      </c>
      <c r="CS58" s="308">
        <v>100</v>
      </c>
      <c r="CT58" s="310">
        <f>IF(CQ59=0,"-",(CQ58/CQ59)*CS58)</f>
        <v>-2.1890420166768458</v>
      </c>
    </row>
    <row r="59" spans="1:98" ht="18" customHeight="1" x14ac:dyDescent="0.2">
      <c r="A59" s="20"/>
      <c r="B59" s="321"/>
      <c r="C59" s="323"/>
      <c r="D59" s="333"/>
      <c r="E59" s="334"/>
      <c r="F59" s="334"/>
      <c r="G59" s="334"/>
      <c r="H59" s="335"/>
      <c r="I59" s="305"/>
      <c r="J59" s="12">
        <f>+E12</f>
        <v>1029049.49522639</v>
      </c>
      <c r="K59" s="307"/>
      <c r="L59" s="309"/>
      <c r="M59" s="311"/>
      <c r="N59" s="305"/>
      <c r="O59" s="12">
        <f>+J12</f>
        <v>792640.34494420025</v>
      </c>
      <c r="P59" s="307"/>
      <c r="Q59" s="309"/>
      <c r="R59" s="311"/>
      <c r="S59" s="305"/>
      <c r="T59" s="12">
        <f>+O12</f>
        <v>833050.73016966193</v>
      </c>
      <c r="U59" s="307"/>
      <c r="V59" s="309"/>
      <c r="W59" s="311"/>
      <c r="X59" s="305"/>
      <c r="Y59" s="12">
        <f>+T12</f>
        <v>828064.26946642785</v>
      </c>
      <c r="Z59" s="307"/>
      <c r="AA59" s="309"/>
      <c r="AB59" s="311"/>
      <c r="AC59" s="305"/>
      <c r="AD59" s="12">
        <f>+Y12</f>
        <v>801705.25557250518</v>
      </c>
      <c r="AE59" s="307"/>
      <c r="AF59" s="309"/>
      <c r="AG59" s="311"/>
      <c r="AH59" s="305"/>
      <c r="AI59" s="12">
        <f>+AD12</f>
        <v>921991.9329220308</v>
      </c>
      <c r="AJ59" s="307"/>
      <c r="AK59" s="309"/>
      <c r="AL59" s="311"/>
      <c r="AM59" s="305"/>
      <c r="AN59" s="12">
        <f>+AI12</f>
        <v>659762.64689240814</v>
      </c>
      <c r="AO59" s="307"/>
      <c r="AP59" s="309"/>
      <c r="AQ59" s="311"/>
      <c r="AR59" s="305"/>
      <c r="AS59" s="12">
        <f>+AN12</f>
        <v>597586.81870825472</v>
      </c>
      <c r="AT59" s="307"/>
      <c r="AU59" s="309"/>
      <c r="AV59" s="311"/>
      <c r="AW59" s="305"/>
      <c r="AX59" s="12">
        <f>+AS12</f>
        <v>562143.89223713661</v>
      </c>
      <c r="AY59" s="307"/>
      <c r="AZ59" s="309"/>
      <c r="BA59" s="311"/>
      <c r="BB59" s="305"/>
      <c r="BC59" s="12">
        <f>+AX12</f>
        <v>402169.91237123299</v>
      </c>
      <c r="BD59" s="307"/>
      <c r="BE59" s="309"/>
      <c r="BF59" s="311"/>
      <c r="BG59" s="305"/>
      <c r="BH59" s="12">
        <f>+BC12</f>
        <v>719477.8379323727</v>
      </c>
      <c r="BI59" s="307"/>
      <c r="BJ59" s="309"/>
      <c r="BK59" s="311"/>
      <c r="BL59" s="305"/>
      <c r="BM59" s="12">
        <f>+BH12</f>
        <v>757170.67634382402</v>
      </c>
      <c r="BN59" s="307"/>
      <c r="BO59" s="309"/>
      <c r="BP59" s="311"/>
      <c r="BQ59" s="305"/>
      <c r="BR59" s="12">
        <f>+BM12</f>
        <v>795826.45982916676</v>
      </c>
      <c r="BS59" s="307"/>
      <c r="BT59" s="309"/>
      <c r="BU59" s="311"/>
      <c r="BV59" s="305"/>
      <c r="BW59" s="12">
        <f>+BR12</f>
        <v>760401.3575568971</v>
      </c>
      <c r="BX59" s="307"/>
      <c r="BY59" s="309"/>
      <c r="BZ59" s="311"/>
      <c r="CA59" s="305"/>
      <c r="CB59" s="12">
        <f>+BW12</f>
        <v>761109.14219733421</v>
      </c>
      <c r="CC59" s="307"/>
      <c r="CD59" s="309"/>
      <c r="CE59" s="311"/>
      <c r="CF59" s="305"/>
      <c r="CG59" s="12">
        <f>+CB12</f>
        <v>866085.58623589599</v>
      </c>
      <c r="CH59" s="307"/>
      <c r="CI59" s="309"/>
      <c r="CJ59" s="311"/>
      <c r="CK59" s="305"/>
      <c r="CL59" s="12">
        <f>+CG12</f>
        <v>852533.48523351655</v>
      </c>
      <c r="CM59" s="307"/>
      <c r="CN59" s="309"/>
      <c r="CO59" s="311"/>
      <c r="CP59" s="305"/>
      <c r="CQ59" s="12">
        <f>+CL12</f>
        <v>882915.58282472275</v>
      </c>
      <c r="CR59" s="307"/>
      <c r="CS59" s="309"/>
      <c r="CT59" s="311"/>
    </row>
    <row r="60" spans="1:98" ht="18" customHeight="1" x14ac:dyDescent="0.2">
      <c r="A60" s="20"/>
      <c r="B60" s="320" t="s">
        <v>163</v>
      </c>
      <c r="C60" s="322" t="s">
        <v>164</v>
      </c>
      <c r="D60" s="330"/>
      <c r="E60" s="331"/>
      <c r="F60" s="331"/>
      <c r="G60" s="331"/>
      <c r="H60" s="332"/>
      <c r="I60" s="304"/>
      <c r="J60" s="10">
        <f>+J15-E15</f>
        <v>-13240.246356838681</v>
      </c>
      <c r="K60" s="306" t="s">
        <v>111</v>
      </c>
      <c r="L60" s="308">
        <v>100</v>
      </c>
      <c r="M60" s="310">
        <f>IF(J61=0,"-",(J60/J61)*L60)</f>
        <v>-36.096420928365056</v>
      </c>
      <c r="N60" s="304"/>
      <c r="O60" s="10">
        <f>+O15-J15</f>
        <v>11813.279312461134</v>
      </c>
      <c r="P60" s="306" t="s">
        <v>111</v>
      </c>
      <c r="Q60" s="308">
        <v>100</v>
      </c>
      <c r="R60" s="310">
        <f>IF(O61=0,"-",(O60/O61)*Q60)</f>
        <v>50.398007454621961</v>
      </c>
      <c r="S60" s="304"/>
      <c r="T60" s="10">
        <f>+T15-O15</f>
        <v>-5981.5314369065964</v>
      </c>
      <c r="U60" s="306" t="s">
        <v>111</v>
      </c>
      <c r="V60" s="308">
        <v>100</v>
      </c>
      <c r="W60" s="310">
        <f>IF(T61=0,"-",(T60/T61)*V60)</f>
        <v>-16.967318059419114</v>
      </c>
      <c r="X60" s="304"/>
      <c r="Y60" s="10">
        <f>+Y15-T15</f>
        <v>335.98341986163359</v>
      </c>
      <c r="Z60" s="306" t="s">
        <v>111</v>
      </c>
      <c r="AA60" s="308">
        <v>100</v>
      </c>
      <c r="AB60" s="310">
        <f>IF(Y61=0,"-",(Y60/Y61)*AA60)</f>
        <v>1.1478089105692764</v>
      </c>
      <c r="AC60" s="304"/>
      <c r="AD60" s="10">
        <f>+AD15-Y15</f>
        <v>-15902.675258958234</v>
      </c>
      <c r="AE60" s="306" t="s">
        <v>111</v>
      </c>
      <c r="AF60" s="308">
        <v>100</v>
      </c>
      <c r="AG60" s="310">
        <f>IF(AD61=0,"-",(AD60/AD61)*AF60)</f>
        <v>-53.711274368085625</v>
      </c>
      <c r="AH60" s="304"/>
      <c r="AI60" s="10">
        <f>+AI15-AD15</f>
        <v>-11347.562921792874</v>
      </c>
      <c r="AJ60" s="306" t="s">
        <v>111</v>
      </c>
      <c r="AK60" s="308">
        <v>100</v>
      </c>
      <c r="AL60" s="310">
        <f>IF(AI61=0,"-",(AI60/AI61)*AK60)</f>
        <v>-82.798532835557054</v>
      </c>
      <c r="AM60" s="304"/>
      <c r="AN60" s="10">
        <f>+AN15-AI15</f>
        <v>16240.717805323045</v>
      </c>
      <c r="AO60" s="306" t="s">
        <v>111</v>
      </c>
      <c r="AP60" s="308">
        <v>100</v>
      </c>
      <c r="AQ60" s="310">
        <f>IF(AN61=0,"-",(AN60/AN61)*AP60)</f>
        <v>688.90568901006054</v>
      </c>
      <c r="AR60" s="304"/>
      <c r="AS60" s="10">
        <f>+AS15-AN15</f>
        <v>2002.9261449808728</v>
      </c>
      <c r="AT60" s="306" t="s">
        <v>111</v>
      </c>
      <c r="AU60" s="308">
        <v>100</v>
      </c>
      <c r="AV60" s="310">
        <f>IF(AS61=0,"-",(AS60/AS61)*AU60)</f>
        <v>10.769471683156771</v>
      </c>
      <c r="AW60" s="304"/>
      <c r="AX60" s="10">
        <f>+AX15-AN15</f>
        <v>-3389.3606111847766</v>
      </c>
      <c r="AY60" s="306" t="s">
        <v>111</v>
      </c>
      <c r="AZ60" s="308">
        <v>100</v>
      </c>
      <c r="BA60" s="310">
        <f>IF(AX61=0,"-",(AX60/AX61)*AZ60)</f>
        <v>-18.224148313022273</v>
      </c>
      <c r="BB60" s="304"/>
      <c r="BC60" s="10">
        <f>+BC15-AX15</f>
        <v>11460.40800307141</v>
      </c>
      <c r="BD60" s="306" t="s">
        <v>111</v>
      </c>
      <c r="BE60" s="308">
        <v>100</v>
      </c>
      <c r="BF60" s="310">
        <f>IF(BC61=0,"-",(BC60/BC61)*BE60)</f>
        <v>75.353679975134241</v>
      </c>
      <c r="BG60" s="304"/>
      <c r="BH60" s="10">
        <f>+BH15-BC15</f>
        <v>2240.2688600549518</v>
      </c>
      <c r="BI60" s="306" t="s">
        <v>111</v>
      </c>
      <c r="BJ60" s="308">
        <v>100</v>
      </c>
      <c r="BK60" s="310">
        <f>IF(BH61=0,"-",(BH60/BH61)*BJ60)</f>
        <v>8.4002003598473163</v>
      </c>
      <c r="BL60" s="304"/>
      <c r="BM60" s="10">
        <f>+BM15-BH15</f>
        <v>-3241.9798181236874</v>
      </c>
      <c r="BN60" s="306" t="s">
        <v>111</v>
      </c>
      <c r="BO60" s="308">
        <v>100</v>
      </c>
      <c r="BP60" s="310">
        <f>IF(BM61=0,"-",(BM60/BM61)*BO60)</f>
        <v>-11.214236859679028</v>
      </c>
      <c r="BQ60" s="304"/>
      <c r="BR60" s="10">
        <f>+BR15-BM15</f>
        <v>1944.3061784136371</v>
      </c>
      <c r="BS60" s="306" t="s">
        <v>111</v>
      </c>
      <c r="BT60" s="308">
        <v>100</v>
      </c>
      <c r="BU60" s="310">
        <f>IF(BR61=0,"-",(BR60/BR61)*BT60)</f>
        <v>7.5749669455299813</v>
      </c>
      <c r="BV60" s="304"/>
      <c r="BW60" s="10">
        <f>+BW15-BR15</f>
        <v>7160.2350487870099</v>
      </c>
      <c r="BX60" s="306" t="s">
        <v>111</v>
      </c>
      <c r="BY60" s="308">
        <v>100</v>
      </c>
      <c r="BZ60" s="310">
        <f>IF(BW61=0,"-",(BW60/BW61)*BY60)</f>
        <v>25.931768963385949</v>
      </c>
      <c r="CA60" s="304"/>
      <c r="CB60" s="10">
        <f>+CB15-BW15</f>
        <v>-1563.364271361279</v>
      </c>
      <c r="CC60" s="306" t="s">
        <v>111</v>
      </c>
      <c r="CD60" s="308">
        <v>100</v>
      </c>
      <c r="CE60" s="310">
        <f>IF(CB61=0,"-",(CB60/CB61)*CD60)</f>
        <v>-4.4960356180410841</v>
      </c>
      <c r="CF60" s="304"/>
      <c r="CG60" s="10">
        <f>+CG15-CB15</f>
        <v>-7847.0318190719263</v>
      </c>
      <c r="CH60" s="306" t="s">
        <v>111</v>
      </c>
      <c r="CI60" s="308">
        <v>100</v>
      </c>
      <c r="CJ60" s="310">
        <f>IF(CG61=0,"-",(CG60/CG61)*CI60)</f>
        <v>-23.629447908690839</v>
      </c>
      <c r="CK60" s="304"/>
      <c r="CL60" s="10">
        <f>+CL15-CG15</f>
        <v>-3312.1353922855742</v>
      </c>
      <c r="CM60" s="306" t="s">
        <v>111</v>
      </c>
      <c r="CN60" s="308">
        <v>100</v>
      </c>
      <c r="CO60" s="310">
        <f>IF(CL61=0,"-",(CL60/CL61)*CN60)</f>
        <v>-13.059613141838902</v>
      </c>
      <c r="CP60" s="304"/>
      <c r="CQ60" s="10">
        <f>+CQ15-CL15</f>
        <v>9614.6984349579434</v>
      </c>
      <c r="CR60" s="306" t="s">
        <v>111</v>
      </c>
      <c r="CS60" s="308">
        <v>100</v>
      </c>
      <c r="CT60" s="310">
        <f>IF(CQ61=0,"-",(CQ60/CQ61)*CS60)</f>
        <v>43.6050038973219</v>
      </c>
    </row>
    <row r="61" spans="1:98" ht="18" customHeight="1" x14ac:dyDescent="0.2">
      <c r="A61" s="20"/>
      <c r="B61" s="321"/>
      <c r="C61" s="323"/>
      <c r="D61" s="333"/>
      <c r="E61" s="334"/>
      <c r="F61" s="334"/>
      <c r="G61" s="334"/>
      <c r="H61" s="335"/>
      <c r="I61" s="305"/>
      <c r="J61" s="12">
        <f>+E15</f>
        <v>36680.219302391604</v>
      </c>
      <c r="K61" s="307"/>
      <c r="L61" s="309"/>
      <c r="M61" s="311"/>
      <c r="N61" s="305"/>
      <c r="O61" s="12">
        <f>+J15</f>
        <v>23439.972945552923</v>
      </c>
      <c r="P61" s="307"/>
      <c r="Q61" s="309"/>
      <c r="R61" s="311"/>
      <c r="S61" s="305"/>
      <c r="T61" s="12">
        <f>+O15</f>
        <v>35253.252258014058</v>
      </c>
      <c r="U61" s="307"/>
      <c r="V61" s="309"/>
      <c r="W61" s="311"/>
      <c r="X61" s="305"/>
      <c r="Y61" s="12">
        <f>+T15</f>
        <v>29271.720821107461</v>
      </c>
      <c r="Z61" s="307"/>
      <c r="AA61" s="309"/>
      <c r="AB61" s="311"/>
      <c r="AC61" s="305"/>
      <c r="AD61" s="12">
        <f>+Y15</f>
        <v>29607.704240969095</v>
      </c>
      <c r="AE61" s="307"/>
      <c r="AF61" s="309"/>
      <c r="AG61" s="311"/>
      <c r="AH61" s="305"/>
      <c r="AI61" s="12">
        <f>+AD15</f>
        <v>13705.028982010861</v>
      </c>
      <c r="AJ61" s="307"/>
      <c r="AK61" s="309"/>
      <c r="AL61" s="311"/>
      <c r="AM61" s="305"/>
      <c r="AN61" s="12">
        <f>+AI15</f>
        <v>2357.4660602179861</v>
      </c>
      <c r="AO61" s="307"/>
      <c r="AP61" s="309"/>
      <c r="AQ61" s="311"/>
      <c r="AR61" s="305"/>
      <c r="AS61" s="12">
        <f>+AN15</f>
        <v>18598.183865541032</v>
      </c>
      <c r="AT61" s="307"/>
      <c r="AU61" s="309"/>
      <c r="AV61" s="311"/>
      <c r="AW61" s="305"/>
      <c r="AX61" s="12">
        <f>+AN15</f>
        <v>18598.183865541032</v>
      </c>
      <c r="AY61" s="307"/>
      <c r="AZ61" s="309"/>
      <c r="BA61" s="311"/>
      <c r="BB61" s="305"/>
      <c r="BC61" s="12">
        <f>+AX15</f>
        <v>15208.823254356255</v>
      </c>
      <c r="BD61" s="307"/>
      <c r="BE61" s="309"/>
      <c r="BF61" s="311"/>
      <c r="BG61" s="305"/>
      <c r="BH61" s="12">
        <f>+BC15</f>
        <v>26669.231257427666</v>
      </c>
      <c r="BI61" s="307"/>
      <c r="BJ61" s="309"/>
      <c r="BK61" s="311"/>
      <c r="BL61" s="305"/>
      <c r="BM61" s="12">
        <f>+BH15</f>
        <v>28909.500117482617</v>
      </c>
      <c r="BN61" s="307"/>
      <c r="BO61" s="309"/>
      <c r="BP61" s="311"/>
      <c r="BQ61" s="305"/>
      <c r="BR61" s="12">
        <f>+BM15</f>
        <v>25667.52029935893</v>
      </c>
      <c r="BS61" s="307"/>
      <c r="BT61" s="309"/>
      <c r="BU61" s="311"/>
      <c r="BV61" s="305"/>
      <c r="BW61" s="12">
        <f>+BR15</f>
        <v>27611.826477772567</v>
      </c>
      <c r="BX61" s="307"/>
      <c r="BY61" s="309"/>
      <c r="BZ61" s="311"/>
      <c r="CA61" s="305"/>
      <c r="CB61" s="12">
        <f>+BW15</f>
        <v>34772.061526559577</v>
      </c>
      <c r="CC61" s="307"/>
      <c r="CD61" s="309"/>
      <c r="CE61" s="311"/>
      <c r="CF61" s="305"/>
      <c r="CG61" s="12">
        <f>+CB15</f>
        <v>33208.697255198298</v>
      </c>
      <c r="CH61" s="307"/>
      <c r="CI61" s="309"/>
      <c r="CJ61" s="311"/>
      <c r="CK61" s="305"/>
      <c r="CL61" s="12">
        <f>+CG15</f>
        <v>25361.665436126372</v>
      </c>
      <c r="CM61" s="307"/>
      <c r="CN61" s="309"/>
      <c r="CO61" s="311"/>
      <c r="CP61" s="305"/>
      <c r="CQ61" s="12">
        <f>+CL15</f>
        <v>22049.530043840798</v>
      </c>
      <c r="CR61" s="307"/>
      <c r="CS61" s="309"/>
      <c r="CT61" s="311"/>
    </row>
    <row r="62" spans="1:98" ht="18" customHeight="1" x14ac:dyDescent="0.2">
      <c r="A62" s="20"/>
      <c r="B62" s="320" t="s">
        <v>165</v>
      </c>
      <c r="C62" s="322" t="s">
        <v>149</v>
      </c>
      <c r="D62" s="330"/>
      <c r="E62" s="331"/>
      <c r="F62" s="331"/>
      <c r="G62" s="331"/>
      <c r="H62" s="332"/>
      <c r="I62" s="304"/>
      <c r="J62" s="10">
        <f>+J19-E19</f>
        <v>-16650.994803322072</v>
      </c>
      <c r="K62" s="306" t="s">
        <v>111</v>
      </c>
      <c r="L62" s="308">
        <v>100</v>
      </c>
      <c r="M62" s="310">
        <f>IF(J63=0,"-",(J62/J63)*L62)</f>
        <v>-13.73791397314511</v>
      </c>
      <c r="N62" s="304"/>
      <c r="O62" s="10">
        <f>+O19-J19</f>
        <v>3975.8434925825277</v>
      </c>
      <c r="P62" s="306" t="s">
        <v>111</v>
      </c>
      <c r="Q62" s="308">
        <v>100</v>
      </c>
      <c r="R62" s="310">
        <f>IF(O63=0,"-",(O62/O63)*Q62)</f>
        <v>3.8026813193159761</v>
      </c>
      <c r="S62" s="304"/>
      <c r="T62" s="10">
        <f>+T19-O19</f>
        <v>-13168.232780561651</v>
      </c>
      <c r="U62" s="306" t="s">
        <v>111</v>
      </c>
      <c r="V62" s="308">
        <v>100</v>
      </c>
      <c r="W62" s="310">
        <f>IF(T63=0,"-",(T62/T63)*V62)</f>
        <v>-12.133317836808128</v>
      </c>
      <c r="X62" s="304"/>
      <c r="Y62" s="10">
        <f>+Y19-T19</f>
        <v>1010.5837766170007</v>
      </c>
      <c r="Z62" s="306" t="s">
        <v>111</v>
      </c>
      <c r="AA62" s="308">
        <v>100</v>
      </c>
      <c r="AB62" s="310">
        <f>IF(Y63=0,"-",(Y62/Y63)*AA62)</f>
        <v>1.0597420648379849</v>
      </c>
      <c r="AC62" s="304"/>
      <c r="AD62" s="10">
        <f>+AD19-Y19</f>
        <v>-5529.9212930241483</v>
      </c>
      <c r="AE62" s="306" t="s">
        <v>111</v>
      </c>
      <c r="AF62" s="308">
        <v>100</v>
      </c>
      <c r="AG62" s="310">
        <f>IF(AD63=0,"-",(AD62/AD63)*AF62)</f>
        <v>-5.738106650323533</v>
      </c>
      <c r="AH62" s="304"/>
      <c r="AI62" s="10">
        <f>+AI19-AD19</f>
        <v>-7472.1811934930738</v>
      </c>
      <c r="AJ62" s="306" t="s">
        <v>150</v>
      </c>
      <c r="AK62" s="308">
        <v>100</v>
      </c>
      <c r="AL62" s="310">
        <f>IF(AI63=0,"-",(AI62/AI63)*AK62)</f>
        <v>-8.2254733889546312</v>
      </c>
      <c r="AM62" s="304"/>
      <c r="AN62" s="10">
        <f>+AN19-AI19</f>
        <v>-21821.020720465684</v>
      </c>
      <c r="AO62" s="306" t="s">
        <v>150</v>
      </c>
      <c r="AP62" s="308">
        <v>100</v>
      </c>
      <c r="AQ62" s="310">
        <f>IF(AN63=0,"-",(AN62/AN63)*AP62)</f>
        <v>-26.173778075587943</v>
      </c>
      <c r="AR62" s="304"/>
      <c r="AS62" s="10">
        <f>+AS19-AN19</f>
        <v>11467.932370815579</v>
      </c>
      <c r="AT62" s="306" t="s">
        <v>111</v>
      </c>
      <c r="AU62" s="308">
        <v>100</v>
      </c>
      <c r="AV62" s="310">
        <f>IF(AS63=0,"-",(AS62/AS63)*AU62)</f>
        <v>18.632272763782236</v>
      </c>
      <c r="AW62" s="304"/>
      <c r="AX62" s="10">
        <f>+AX19-AS19</f>
        <v>-5206.6591636635858</v>
      </c>
      <c r="AY62" s="306" t="s">
        <v>111</v>
      </c>
      <c r="AZ62" s="308">
        <v>100</v>
      </c>
      <c r="BA62" s="310">
        <f>IF(AX63=0,"-",(AX62/AX63)*AZ62)</f>
        <v>-7.130779519635742</v>
      </c>
      <c r="BB62" s="304"/>
      <c r="BC62" s="10">
        <f>+BC19-AX19</f>
        <v>9138.7427466242953</v>
      </c>
      <c r="BD62" s="306" t="s">
        <v>111</v>
      </c>
      <c r="BE62" s="308">
        <v>100</v>
      </c>
      <c r="BF62" s="310">
        <f>IF(BC63=0,"-",(BC62/BC63)*BE62)</f>
        <v>13.47697775395584</v>
      </c>
      <c r="BG62" s="304"/>
      <c r="BH62" s="10">
        <f>+BH19-BC19</f>
        <v>5546.5383967545058</v>
      </c>
      <c r="BI62" s="306" t="s">
        <v>111</v>
      </c>
      <c r="BJ62" s="308">
        <v>100</v>
      </c>
      <c r="BK62" s="310">
        <f>IF(BH63=0,"-",(BH62/BH63)*BJ62)</f>
        <v>7.2080920220066051</v>
      </c>
      <c r="BL62" s="304"/>
      <c r="BM62" s="10">
        <f>+BM19-BH19</f>
        <v>-1909.6788926730806</v>
      </c>
      <c r="BN62" s="306" t="s">
        <v>111</v>
      </c>
      <c r="BO62" s="308">
        <v>100</v>
      </c>
      <c r="BP62" s="310">
        <f>IF(BM63=0,"-",(BM62/BM63)*BO62)</f>
        <v>-2.3148938418330802</v>
      </c>
      <c r="BQ62" s="304"/>
      <c r="BR62" s="10">
        <f>+BR19-BM19</f>
        <v>-4101.632503296074</v>
      </c>
      <c r="BS62" s="306" t="s">
        <v>111</v>
      </c>
      <c r="BT62" s="308">
        <v>100</v>
      </c>
      <c r="BU62" s="310">
        <f>IF(BR63=0,"-",(BR62/BR63)*BT62)</f>
        <v>-5.0897813360632256</v>
      </c>
      <c r="BV62" s="304"/>
      <c r="BW62" s="10">
        <f>+BW19-BR19</f>
        <v>9752.0052875927649</v>
      </c>
      <c r="BX62" s="306" t="s">
        <v>111</v>
      </c>
      <c r="BY62" s="308">
        <v>100</v>
      </c>
      <c r="BZ62" s="310">
        <f>IF(BW63=0,"-",(BW62/BW63)*BY62)</f>
        <v>12.750386010146972</v>
      </c>
      <c r="CA62" s="304"/>
      <c r="CB62" s="10">
        <f>+CB19-BW19</f>
        <v>12002.234671218554</v>
      </c>
      <c r="CC62" s="306" t="s">
        <v>111</v>
      </c>
      <c r="CD62" s="308">
        <v>100</v>
      </c>
      <c r="CE62" s="310">
        <f>IF(CB63=0,"-",(CB62/CB63)*CD62)</f>
        <v>13.917892619069793</v>
      </c>
      <c r="CF62" s="304"/>
      <c r="CG62" s="10">
        <f>+CG19-CB19</f>
        <v>-4065.6442954473605</v>
      </c>
      <c r="CH62" s="306" t="s">
        <v>150</v>
      </c>
      <c r="CI62" s="308">
        <v>100</v>
      </c>
      <c r="CJ62" s="310">
        <f>IF(CG63=0,"-",(CG62/CG63)*CI62)</f>
        <v>-4.138555699293998</v>
      </c>
      <c r="CK62" s="304"/>
      <c r="CL62" s="10">
        <f>+CL19-CG19</f>
        <v>5178.3918972767133</v>
      </c>
      <c r="CM62" s="306" t="s">
        <v>111</v>
      </c>
      <c r="CN62" s="308">
        <v>100</v>
      </c>
      <c r="CO62" s="310">
        <f>IF(CL63=0,"-",(CL62/CL63)*CN62)</f>
        <v>5.4988309906395809</v>
      </c>
      <c r="CP62" s="304"/>
      <c r="CQ62" s="10">
        <f>+CQ19-CL19</f>
        <v>1490.7226396259794</v>
      </c>
      <c r="CR62" s="306" t="s">
        <v>111</v>
      </c>
      <c r="CS62" s="308">
        <v>100</v>
      </c>
      <c r="CT62" s="310">
        <f>IF(CQ63=0,"-",(CQ62/CQ63)*CS62)</f>
        <v>1.5004608108648816</v>
      </c>
    </row>
    <row r="63" spans="1:98" ht="18" customHeight="1" x14ac:dyDescent="0.2">
      <c r="A63" s="20"/>
      <c r="B63" s="321"/>
      <c r="C63" s="323"/>
      <c r="D63" s="333"/>
      <c r="E63" s="334"/>
      <c r="F63" s="334"/>
      <c r="G63" s="334"/>
      <c r="H63" s="335"/>
      <c r="I63" s="305"/>
      <c r="J63" s="12">
        <f>+E19</f>
        <v>121204.680971736</v>
      </c>
      <c r="K63" s="307"/>
      <c r="L63" s="309"/>
      <c r="M63" s="311"/>
      <c r="N63" s="305"/>
      <c r="O63" s="12">
        <f>+J19</f>
        <v>104553.68616841393</v>
      </c>
      <c r="P63" s="307"/>
      <c r="Q63" s="309"/>
      <c r="R63" s="311"/>
      <c r="S63" s="305"/>
      <c r="T63" s="12">
        <f>+O19</f>
        <v>108529.52966099646</v>
      </c>
      <c r="U63" s="307"/>
      <c r="V63" s="309"/>
      <c r="W63" s="311"/>
      <c r="X63" s="305"/>
      <c r="Y63" s="12">
        <f>+T19</f>
        <v>95361.296880434806</v>
      </c>
      <c r="Z63" s="307"/>
      <c r="AA63" s="309"/>
      <c r="AB63" s="311"/>
      <c r="AC63" s="305"/>
      <c r="AD63" s="12">
        <f>+Y19</f>
        <v>96371.880657051806</v>
      </c>
      <c r="AE63" s="307"/>
      <c r="AF63" s="309"/>
      <c r="AG63" s="311"/>
      <c r="AH63" s="305"/>
      <c r="AI63" s="12">
        <f>+AD19</f>
        <v>90841.959364027658</v>
      </c>
      <c r="AJ63" s="307"/>
      <c r="AK63" s="309"/>
      <c r="AL63" s="311"/>
      <c r="AM63" s="305"/>
      <c r="AN63" s="12">
        <f>+AI19</f>
        <v>83369.778170534584</v>
      </c>
      <c r="AO63" s="307"/>
      <c r="AP63" s="309"/>
      <c r="AQ63" s="311"/>
      <c r="AR63" s="305"/>
      <c r="AS63" s="12">
        <f>+AN19</f>
        <v>61548.757450068901</v>
      </c>
      <c r="AT63" s="307"/>
      <c r="AU63" s="309"/>
      <c r="AV63" s="311"/>
      <c r="AW63" s="305"/>
      <c r="AX63" s="12">
        <f>+AS19</f>
        <v>73016.68982088448</v>
      </c>
      <c r="AY63" s="307"/>
      <c r="AZ63" s="309"/>
      <c r="BA63" s="311"/>
      <c r="BB63" s="305"/>
      <c r="BC63" s="12">
        <f>+AX19</f>
        <v>67810.030657220894</v>
      </c>
      <c r="BD63" s="307"/>
      <c r="BE63" s="309"/>
      <c r="BF63" s="311"/>
      <c r="BG63" s="305"/>
      <c r="BH63" s="12">
        <f>+BC19</f>
        <v>76948.773403845189</v>
      </c>
      <c r="BI63" s="307"/>
      <c r="BJ63" s="309"/>
      <c r="BK63" s="311"/>
      <c r="BL63" s="305"/>
      <c r="BM63" s="12">
        <f>+BH19</f>
        <v>82495.311800599695</v>
      </c>
      <c r="BN63" s="307"/>
      <c r="BO63" s="309"/>
      <c r="BP63" s="311"/>
      <c r="BQ63" s="305"/>
      <c r="BR63" s="12">
        <f>+BM19</f>
        <v>80585.632907926614</v>
      </c>
      <c r="BS63" s="307"/>
      <c r="BT63" s="309"/>
      <c r="BU63" s="311"/>
      <c r="BV63" s="305"/>
      <c r="BW63" s="12">
        <f>+BR19</f>
        <v>76484.00040463054</v>
      </c>
      <c r="BX63" s="307"/>
      <c r="BY63" s="309"/>
      <c r="BZ63" s="311"/>
      <c r="CA63" s="305"/>
      <c r="CB63" s="12">
        <f>+BW19</f>
        <v>86236.005692223305</v>
      </c>
      <c r="CC63" s="307"/>
      <c r="CD63" s="309"/>
      <c r="CE63" s="311"/>
      <c r="CF63" s="305"/>
      <c r="CG63" s="12">
        <f>+CB19</f>
        <v>98238.240363441859</v>
      </c>
      <c r="CH63" s="307"/>
      <c r="CI63" s="309"/>
      <c r="CJ63" s="311"/>
      <c r="CK63" s="305"/>
      <c r="CL63" s="12">
        <f>+CG19</f>
        <v>94172.596067994498</v>
      </c>
      <c r="CM63" s="307"/>
      <c r="CN63" s="309"/>
      <c r="CO63" s="311"/>
      <c r="CP63" s="305"/>
      <c r="CQ63" s="12">
        <f>+CL19</f>
        <v>99350.987965271212</v>
      </c>
      <c r="CR63" s="307"/>
      <c r="CS63" s="309"/>
      <c r="CT63" s="311"/>
    </row>
    <row r="64" spans="1:98" ht="18" customHeight="1" x14ac:dyDescent="0.2">
      <c r="A64" s="20"/>
      <c r="B64" s="320" t="s">
        <v>166</v>
      </c>
      <c r="C64" s="322" t="s">
        <v>167</v>
      </c>
      <c r="D64" s="330"/>
      <c r="E64" s="331"/>
      <c r="F64" s="331"/>
      <c r="G64" s="331"/>
      <c r="H64" s="332"/>
      <c r="I64" s="304"/>
      <c r="J64" s="237">
        <f>+BS!L5-BS!K5</f>
        <v>-9.844636012802539</v>
      </c>
      <c r="K64" s="306" t="s">
        <v>111</v>
      </c>
      <c r="L64" s="308">
        <v>100</v>
      </c>
      <c r="M64" s="310">
        <f>IF(J65=0,"-",(J64/J65)*L64)</f>
        <v>-20.441345029910003</v>
      </c>
      <c r="N64" s="304"/>
      <c r="O64" s="237">
        <f>+BS!M5-BS!L5</f>
        <v>5.7037323584148254</v>
      </c>
      <c r="P64" s="306" t="s">
        <v>111</v>
      </c>
      <c r="Q64" s="308">
        <v>100</v>
      </c>
      <c r="R64" s="310">
        <f>IF(O65=0,"-",(O64/O65)*Q64)</f>
        <v>14.886119858016137</v>
      </c>
      <c r="S64" s="304"/>
      <c r="T64" s="237">
        <f>+BS!N5-BS!M5</f>
        <v>-1.0054038394011116</v>
      </c>
      <c r="U64" s="306" t="s">
        <v>111</v>
      </c>
      <c r="V64" s="308">
        <v>100</v>
      </c>
      <c r="W64" s="310">
        <f>IF(T65=0,"-",(T64/T65)*V64)</f>
        <v>-2.2839960600479396</v>
      </c>
      <c r="X64" s="304"/>
      <c r="Y64" s="237">
        <f>+BS!O5-BS!N5</f>
        <v>-5.0490278489693452</v>
      </c>
      <c r="Z64" s="306" t="s">
        <v>111</v>
      </c>
      <c r="AA64" s="308">
        <v>100</v>
      </c>
      <c r="AB64" s="310">
        <f>IF(Y65=0,"-",(Y64/Y65)*AA64)</f>
        <v>-11.738074965920569</v>
      </c>
      <c r="AC64" s="304"/>
      <c r="AD64" s="237">
        <f>+BS!P5-BS!O5</f>
        <v>-5.0277853145689448</v>
      </c>
      <c r="AE64" s="306" t="s">
        <v>111</v>
      </c>
      <c r="AF64" s="308">
        <v>100</v>
      </c>
      <c r="AG64" s="310">
        <f>IF(AD65=0,"-",(AD64/AD65)*AF64)</f>
        <v>-13.243184892748605</v>
      </c>
      <c r="AH64" s="304"/>
      <c r="AI64" s="237">
        <f>+BS!Q5-BS!P5</f>
        <v>4.2263258519068643</v>
      </c>
      <c r="AJ64" s="306" t="s">
        <v>168</v>
      </c>
      <c r="AK64" s="308">
        <v>100</v>
      </c>
      <c r="AL64" s="310">
        <f>IF(AI65=0,"-",(AI64/AI65)*AK64)</f>
        <v>12.831431067981594</v>
      </c>
      <c r="AM64" s="304"/>
      <c r="AN64" s="237">
        <f>+BS!R5-BS!Q5</f>
        <v>-6.8177677821222389</v>
      </c>
      <c r="AO64" s="306" t="s">
        <v>168</v>
      </c>
      <c r="AP64" s="308">
        <v>100</v>
      </c>
      <c r="AQ64" s="310">
        <f>IF(AN65=0,"-",(AN64/AN65)*AP64)</f>
        <v>-18.345274953314174</v>
      </c>
      <c r="AR64" s="304"/>
      <c r="AS64" s="237">
        <f>+BS!S5-BS!R5</f>
        <v>0.89241209892412243</v>
      </c>
      <c r="AT64" s="306" t="s">
        <v>111</v>
      </c>
      <c r="AU64" s="308">
        <v>100</v>
      </c>
      <c r="AV64" s="310">
        <f>IF(AS65=0,"-",(AS64/AS65)*AU64)</f>
        <v>2.9408044663974016</v>
      </c>
      <c r="AW64" s="304"/>
      <c r="AX64" s="237">
        <f>+BS!T5-BS!S5</f>
        <v>-1.1594438320026015</v>
      </c>
      <c r="AY64" s="306" t="s">
        <v>111</v>
      </c>
      <c r="AZ64" s="308">
        <v>100</v>
      </c>
      <c r="BA64" s="310">
        <f>IF(AX65=0,"-",(AX64/AX65)*AZ64)</f>
        <v>-3.7116144459122897</v>
      </c>
      <c r="BB64" s="304"/>
      <c r="BC64" s="237">
        <f>+BS!U5-BS!T5</f>
        <v>4.2832789725138021</v>
      </c>
      <c r="BD64" s="306" t="s">
        <v>111</v>
      </c>
      <c r="BE64" s="308">
        <v>100</v>
      </c>
      <c r="BF64" s="310">
        <f>IF(BC65=0,"-",(BC64/BC65)*BE64)</f>
        <v>14.240183901593934</v>
      </c>
      <c r="BG64" s="304"/>
      <c r="BH64" s="237">
        <f>+BS!V5-BS!U5</f>
        <v>0.64623739661323043</v>
      </c>
      <c r="BI64" s="306" t="s">
        <v>111</v>
      </c>
      <c r="BJ64" s="308">
        <v>100</v>
      </c>
      <c r="BK64" s="310">
        <f>IF(BH65=0,"-",(BH64/BH65)*BJ64)</f>
        <v>1.8806692751571592</v>
      </c>
      <c r="BL64" s="304"/>
      <c r="BM64" s="237">
        <f>+BS!W5-BS!V5</f>
        <v>0.21218163092603248</v>
      </c>
      <c r="BN64" s="306" t="s">
        <v>111</v>
      </c>
      <c r="BO64" s="308">
        <v>100</v>
      </c>
      <c r="BP64" s="310">
        <f>IF(BM65=0,"-",(BM64/BM65)*BO64)</f>
        <v>0.60608890957269612</v>
      </c>
      <c r="BQ64" s="304"/>
      <c r="BR64" s="237">
        <f>+BS!X5-BS!W5</f>
        <v>-0.24333912051852025</v>
      </c>
      <c r="BS64" s="306" t="s">
        <v>111</v>
      </c>
      <c r="BT64" s="308">
        <v>100</v>
      </c>
      <c r="BU64" s="310">
        <f>IF(BR65=0,"-",(BR64/BR65)*BT64)</f>
        <v>-0.69090163751447009</v>
      </c>
      <c r="BV64" s="304"/>
      <c r="BW64" s="237">
        <f>+BS!Y5-BS!X5</f>
        <v>2.7020788479831737</v>
      </c>
      <c r="BX64" s="306" t="s">
        <v>111</v>
      </c>
      <c r="BY64" s="308">
        <v>100</v>
      </c>
      <c r="BZ64" s="310">
        <f>IF(BW65=0,"-",(BW64/BW65)*BY64)</f>
        <v>7.7252628805781116</v>
      </c>
      <c r="CA64" s="304"/>
      <c r="CB64" s="237">
        <f>+BS!Z5-BS!Y5</f>
        <v>1.8749516665066821</v>
      </c>
      <c r="CC64" s="306" t="s">
        <v>111</v>
      </c>
      <c r="CD64" s="308">
        <v>100</v>
      </c>
      <c r="CE64" s="310">
        <f>IF(CB65=0,"-",(CB64/CB65)*CD64)</f>
        <v>4.9760846901811879</v>
      </c>
      <c r="CF64" s="304"/>
      <c r="CG64" s="237">
        <f>+BS!AA5-BS!Z5</f>
        <v>-1.2352683370300568</v>
      </c>
      <c r="CH64" s="306" t="s">
        <v>169</v>
      </c>
      <c r="CI64" s="308">
        <v>100</v>
      </c>
      <c r="CJ64" s="310">
        <f>IF(CG65=0,"-",(CG64/CG65)*CI64)</f>
        <v>-3.1229758454045289</v>
      </c>
      <c r="CK64" s="304"/>
      <c r="CL64" s="237">
        <f>+BS!AB5-BS!AA5</f>
        <v>2.2523668944472135</v>
      </c>
      <c r="CM64" s="306" t="s">
        <v>111</v>
      </c>
      <c r="CN64" s="308">
        <v>100</v>
      </c>
      <c r="CO64" s="310">
        <f>IF(CL65=0,"-",(CL64/CL65)*CN64)</f>
        <v>5.8779469386545085</v>
      </c>
      <c r="CP64" s="304"/>
      <c r="CQ64" s="237">
        <f>+BS!AC5-BS!AB5</f>
        <v>-1.0501045053826914</v>
      </c>
      <c r="CR64" s="306" t="s">
        <v>111</v>
      </c>
      <c r="CS64" s="308">
        <v>100</v>
      </c>
      <c r="CT64" s="310">
        <f>IF(CQ65=0,"-",(CQ64/CQ65)*CS64)</f>
        <v>-2.5882935870628074</v>
      </c>
    </row>
    <row r="65" spans="1:98" ht="18" customHeight="1" x14ac:dyDescent="0.2">
      <c r="A65" s="20"/>
      <c r="B65" s="321"/>
      <c r="C65" s="323"/>
      <c r="D65" s="333"/>
      <c r="E65" s="334"/>
      <c r="F65" s="334"/>
      <c r="G65" s="334"/>
      <c r="H65" s="335"/>
      <c r="I65" s="305"/>
      <c r="J65" s="238">
        <f>+BS!K5</f>
        <v>48.160412137252997</v>
      </c>
      <c r="K65" s="307"/>
      <c r="L65" s="309"/>
      <c r="M65" s="311"/>
      <c r="N65" s="305"/>
      <c r="O65" s="238">
        <f>+BS!L5</f>
        <v>38.315776124450458</v>
      </c>
      <c r="P65" s="307"/>
      <c r="Q65" s="309"/>
      <c r="R65" s="311"/>
      <c r="S65" s="305"/>
      <c r="T65" s="238">
        <f>+BS!M5</f>
        <v>44.019508482865284</v>
      </c>
      <c r="U65" s="307"/>
      <c r="V65" s="309"/>
      <c r="W65" s="311"/>
      <c r="X65" s="305"/>
      <c r="Y65" s="238">
        <f>+BS!N5</f>
        <v>43.014104643464172</v>
      </c>
      <c r="Z65" s="307"/>
      <c r="AA65" s="309"/>
      <c r="AB65" s="311"/>
      <c r="AC65" s="305"/>
      <c r="AD65" s="238">
        <f>+BS!O5</f>
        <v>37.965076794494827</v>
      </c>
      <c r="AE65" s="307"/>
      <c r="AF65" s="309"/>
      <c r="AG65" s="311"/>
      <c r="AH65" s="305"/>
      <c r="AI65" s="238">
        <f>+BS!P5</f>
        <v>32.937291479925882</v>
      </c>
      <c r="AJ65" s="307"/>
      <c r="AK65" s="309"/>
      <c r="AL65" s="311"/>
      <c r="AM65" s="305"/>
      <c r="AN65" s="238">
        <f>+BS!Q5</f>
        <v>37.163617331832747</v>
      </c>
      <c r="AO65" s="307"/>
      <c r="AP65" s="309"/>
      <c r="AQ65" s="311"/>
      <c r="AR65" s="305"/>
      <c r="AS65" s="238">
        <f>+BS!R5</f>
        <v>30.345849549710508</v>
      </c>
      <c r="AT65" s="307"/>
      <c r="AU65" s="309"/>
      <c r="AV65" s="311"/>
      <c r="AW65" s="305"/>
      <c r="AX65" s="238">
        <f>+BS!S5</f>
        <v>31.23826164863463</v>
      </c>
      <c r="AY65" s="307"/>
      <c r="AZ65" s="309"/>
      <c r="BA65" s="311"/>
      <c r="BB65" s="305"/>
      <c r="BC65" s="238">
        <f>+BS!T5</f>
        <v>30.078817816632029</v>
      </c>
      <c r="BD65" s="307"/>
      <c r="BE65" s="309"/>
      <c r="BF65" s="311"/>
      <c r="BG65" s="305"/>
      <c r="BH65" s="238">
        <f>+BS!U5</f>
        <v>34.362096789145831</v>
      </c>
      <c r="BI65" s="307"/>
      <c r="BJ65" s="309"/>
      <c r="BK65" s="311"/>
      <c r="BL65" s="305"/>
      <c r="BM65" s="238">
        <f>+BS!V5</f>
        <v>35.008334185759061</v>
      </c>
      <c r="BN65" s="307"/>
      <c r="BO65" s="309"/>
      <c r="BP65" s="311"/>
      <c r="BQ65" s="305"/>
      <c r="BR65" s="238">
        <f>+BS!W5</f>
        <v>35.220515816685094</v>
      </c>
      <c r="BS65" s="307"/>
      <c r="BT65" s="309"/>
      <c r="BU65" s="311"/>
      <c r="BV65" s="305"/>
      <c r="BW65" s="238">
        <f>+BS!X5</f>
        <v>34.977176696166573</v>
      </c>
      <c r="BX65" s="307"/>
      <c r="BY65" s="309"/>
      <c r="BZ65" s="311"/>
      <c r="CA65" s="305"/>
      <c r="CB65" s="238">
        <f>+BS!Y5</f>
        <v>37.679255544149747</v>
      </c>
      <c r="CC65" s="307"/>
      <c r="CD65" s="309"/>
      <c r="CE65" s="311"/>
      <c r="CF65" s="305"/>
      <c r="CG65" s="238">
        <f>+BS!Z5</f>
        <v>39.554207210656429</v>
      </c>
      <c r="CH65" s="307"/>
      <c r="CI65" s="309"/>
      <c r="CJ65" s="311"/>
      <c r="CK65" s="305"/>
      <c r="CL65" s="238">
        <f>+BS!AA5</f>
        <v>38.318938873626372</v>
      </c>
      <c r="CM65" s="307"/>
      <c r="CN65" s="309"/>
      <c r="CO65" s="311"/>
      <c r="CP65" s="305"/>
      <c r="CQ65" s="238">
        <f>+BS!AB5</f>
        <v>40.571305768073586</v>
      </c>
      <c r="CR65" s="307"/>
      <c r="CS65" s="309"/>
      <c r="CT65" s="311"/>
    </row>
    <row r="66" spans="1:98" ht="18" customHeight="1" x14ac:dyDescent="0.2">
      <c r="A66" s="20"/>
      <c r="B66" s="320" t="s">
        <v>303</v>
      </c>
      <c r="C66" s="322" t="s">
        <v>149</v>
      </c>
      <c r="D66" s="330"/>
      <c r="E66" s="331"/>
      <c r="F66" s="331"/>
      <c r="G66" s="331"/>
      <c r="H66" s="332"/>
      <c r="I66" s="304"/>
      <c r="J66" s="10">
        <f>+J7-E7</f>
        <v>-137133.00642702973</v>
      </c>
      <c r="K66" s="306" t="s">
        <v>111</v>
      </c>
      <c r="L66" s="308">
        <v>100</v>
      </c>
      <c r="M66" s="310">
        <f>IF(J67=0,"-",(J66/J67)*L66)</f>
        <v>-18.654032476548217</v>
      </c>
      <c r="N66" s="304"/>
      <c r="O66" s="10">
        <f>+O7-J7</f>
        <v>95641.548558047274</v>
      </c>
      <c r="P66" s="306" t="s">
        <v>111</v>
      </c>
      <c r="Q66" s="308">
        <v>100</v>
      </c>
      <c r="R66" s="310">
        <f>IF(O67=0,"-",(O66/O67)*Q66)</f>
        <v>15.993418496133978</v>
      </c>
      <c r="S66" s="304"/>
      <c r="T66" s="10">
        <f>+T7-O7</f>
        <v>-122064.16766803362</v>
      </c>
      <c r="U66" s="306" t="s">
        <v>111</v>
      </c>
      <c r="V66" s="308">
        <v>100</v>
      </c>
      <c r="W66" s="310">
        <f>IF(T67=0,"-",(T66/T67)*V66)</f>
        <v>-17.597442239480998</v>
      </c>
      <c r="X66" s="304"/>
      <c r="Y66" s="10">
        <f>+Y7-T7</f>
        <v>65192.144855633378</v>
      </c>
      <c r="Z66" s="306" t="s">
        <v>111</v>
      </c>
      <c r="AA66" s="308">
        <v>100</v>
      </c>
      <c r="AB66" s="310">
        <f>IF(Y67=0,"-",(Y66/Y67)*AA66)</f>
        <v>11.40554209551741</v>
      </c>
      <c r="AC66" s="304"/>
      <c r="AD66" s="10">
        <f>+AD7-Y7</f>
        <v>5748.4049757337198</v>
      </c>
      <c r="AE66" s="306" t="s">
        <v>111</v>
      </c>
      <c r="AF66" s="308">
        <v>100</v>
      </c>
      <c r="AG66" s="310">
        <f>IF(AD67=0,"-",(AD66/AD67)*AF66)</f>
        <v>0.90273695702431289</v>
      </c>
      <c r="AH66" s="304"/>
      <c r="AI66" s="10">
        <f>+AI7-AD7</f>
        <v>-31433.430469576386</v>
      </c>
      <c r="AJ66" s="306" t="s">
        <v>150</v>
      </c>
      <c r="AK66" s="308">
        <v>100</v>
      </c>
      <c r="AL66" s="310">
        <f>IF(AI67=0,"-",(AI66/AI67)*AK66)</f>
        <v>-4.892183057889107</v>
      </c>
      <c r="AM66" s="304"/>
      <c r="AN66" s="10">
        <f>+AN7-AI7</f>
        <v>-160210.63374719012</v>
      </c>
      <c r="AO66" s="306" t="s">
        <v>150</v>
      </c>
      <c r="AP66" s="308">
        <v>100</v>
      </c>
      <c r="AQ66" s="310">
        <f>IF(AN67=0,"-",(AN66/AN67)*AP66)</f>
        <v>-26.217184137752149</v>
      </c>
      <c r="AR66" s="304"/>
      <c r="AS66" s="10">
        <f>+AS7-AN7</f>
        <v>15348.243351256242</v>
      </c>
      <c r="AT66" s="306" t="s">
        <v>111</v>
      </c>
      <c r="AU66" s="308">
        <v>100</v>
      </c>
      <c r="AV66" s="310">
        <f>IF(AS67=0,"-",(AS66/AS67)*AU66)</f>
        <v>3.4040674492834864</v>
      </c>
      <c r="AW66" s="304"/>
      <c r="AX66" s="10">
        <f>+AX7-AS7</f>
        <v>-103801.61583446583</v>
      </c>
      <c r="AY66" s="306" t="s">
        <v>111</v>
      </c>
      <c r="AZ66" s="308">
        <v>100</v>
      </c>
      <c r="BA66" s="310">
        <f>IF(AX67=0,"-",(AX66/AX67)*AZ66)</f>
        <v>-22.264142451045892</v>
      </c>
      <c r="BB66" s="304"/>
      <c r="BC66" s="10">
        <f>+BC7-AX7</f>
        <v>215018.89671422762</v>
      </c>
      <c r="BD66" s="306" t="s">
        <v>111</v>
      </c>
      <c r="BE66" s="308">
        <v>100</v>
      </c>
      <c r="BF66" s="310">
        <f>IF(BC67=0,"-",(BC66/BC67)*BE66)</f>
        <v>59.327642788450142</v>
      </c>
      <c r="BG66" s="304"/>
      <c r="BH66" s="10">
        <f>+BH7-BC7</f>
        <v>28384.077134286868</v>
      </c>
      <c r="BI66" s="306" t="s">
        <v>111</v>
      </c>
      <c r="BJ66" s="308">
        <v>100</v>
      </c>
      <c r="BK66" s="310">
        <f>IF(BH67=0,"-",(BH66/BH67)*BJ66)</f>
        <v>4.9154593801972482</v>
      </c>
      <c r="BL66" s="304"/>
      <c r="BM66" s="10">
        <f>+BM7-BH7</f>
        <v>-9307.9245895467466</v>
      </c>
      <c r="BN66" s="306" t="s">
        <v>111</v>
      </c>
      <c r="BO66" s="308">
        <v>100</v>
      </c>
      <c r="BP66" s="310">
        <f>IF(BM67=0,"-",(BM66/BM67)*BO66)</f>
        <v>-1.5363943547504149</v>
      </c>
      <c r="BQ66" s="304"/>
      <c r="BR66" s="10">
        <f>+BR7-BM7</f>
        <v>-5032.9424441753654</v>
      </c>
      <c r="BS66" s="306" t="s">
        <v>111</v>
      </c>
      <c r="BT66" s="308">
        <v>100</v>
      </c>
      <c r="BU66" s="310">
        <f>IF(BR67=0,"-",(BR66/BR67)*BT66)</f>
        <v>-0.84371559272686936</v>
      </c>
      <c r="BV66" s="304"/>
      <c r="BW66" s="10">
        <f>+BW7-BR7</f>
        <v>92151.17988569662</v>
      </c>
      <c r="BX66" s="306" t="s">
        <v>111</v>
      </c>
      <c r="BY66" s="308">
        <v>100</v>
      </c>
      <c r="BZ66" s="310">
        <f>IF(BW67=0,"-",(BW66/BW67)*BY66)</f>
        <v>15.579544900936652</v>
      </c>
      <c r="CA66" s="304"/>
      <c r="CB66" s="10">
        <f>+CB7-BW7</f>
        <v>47331.539265166386</v>
      </c>
      <c r="CC66" s="306" t="s">
        <v>111</v>
      </c>
      <c r="CD66" s="308">
        <v>100</v>
      </c>
      <c r="CE66" s="310">
        <f>IF(CB67=0,"-",(CB66/CB67)*CD66)</f>
        <v>6.9234652263347298</v>
      </c>
      <c r="CF66" s="304"/>
      <c r="CG66" s="10">
        <f>+CG7-CB7</f>
        <v>252200.46698190237</v>
      </c>
      <c r="CH66" s="306" t="s">
        <v>170</v>
      </c>
      <c r="CI66" s="308">
        <v>100</v>
      </c>
      <c r="CJ66" s="310">
        <f>IF(CG67=0,"-",(CG66/CG67)*CI66)</f>
        <v>34.502117365205898</v>
      </c>
      <c r="CK66" s="304"/>
      <c r="CL66" s="10">
        <f>+CL7-CG7</f>
        <v>-113912.19506813318</v>
      </c>
      <c r="CM66" s="306" t="s">
        <v>111</v>
      </c>
      <c r="CN66" s="308">
        <v>100</v>
      </c>
      <c r="CO66" s="310">
        <f>IF(CL67=0,"-",(CL66/CL67)*CN66)</f>
        <v>-11.586198408736989</v>
      </c>
      <c r="CP66" s="304"/>
      <c r="CQ66" s="10">
        <f>+CQ7-CL7</f>
        <v>-80985.75868658477</v>
      </c>
      <c r="CR66" s="306" t="s">
        <v>111</v>
      </c>
      <c r="CS66" s="308">
        <v>100</v>
      </c>
      <c r="CT66" s="310">
        <f>IF(CQ67=0,"-",(CQ66/CQ67)*CS66)</f>
        <v>-9.3166403564790095</v>
      </c>
    </row>
    <row r="67" spans="1:98" ht="18" customHeight="1" x14ac:dyDescent="0.2">
      <c r="A67" s="22"/>
      <c r="B67" s="321"/>
      <c r="C67" s="323"/>
      <c r="D67" s="333"/>
      <c r="E67" s="334"/>
      <c r="F67" s="334"/>
      <c r="G67" s="334"/>
      <c r="H67" s="335"/>
      <c r="I67" s="305"/>
      <c r="J67" s="12">
        <f>+E7</f>
        <v>735138.67095188599</v>
      </c>
      <c r="K67" s="307"/>
      <c r="L67" s="309"/>
      <c r="M67" s="311"/>
      <c r="N67" s="305"/>
      <c r="O67" s="12">
        <f>+J7</f>
        <v>598005.66452485626</v>
      </c>
      <c r="P67" s="307"/>
      <c r="Q67" s="309"/>
      <c r="R67" s="311"/>
      <c r="S67" s="305"/>
      <c r="T67" s="12">
        <f>+O7</f>
        <v>693647.21308290353</v>
      </c>
      <c r="U67" s="307"/>
      <c r="V67" s="309"/>
      <c r="W67" s="311"/>
      <c r="X67" s="305"/>
      <c r="Y67" s="12">
        <f>+T7</f>
        <v>571583.04541486991</v>
      </c>
      <c r="Z67" s="307"/>
      <c r="AA67" s="309"/>
      <c r="AB67" s="311"/>
      <c r="AC67" s="305"/>
      <c r="AD67" s="12">
        <f>+Y7</f>
        <v>636775.19027050328</v>
      </c>
      <c r="AE67" s="307"/>
      <c r="AF67" s="309"/>
      <c r="AG67" s="311"/>
      <c r="AH67" s="305"/>
      <c r="AI67" s="12">
        <f>+AD7</f>
        <v>642523.595246237</v>
      </c>
      <c r="AJ67" s="307"/>
      <c r="AK67" s="309"/>
      <c r="AL67" s="311"/>
      <c r="AM67" s="305"/>
      <c r="AN67" s="12">
        <f>+AI7</f>
        <v>611090.16477666062</v>
      </c>
      <c r="AO67" s="307"/>
      <c r="AP67" s="309"/>
      <c r="AQ67" s="311"/>
      <c r="AR67" s="305"/>
      <c r="AS67" s="12">
        <f>+AN7</f>
        <v>450879.5310294705</v>
      </c>
      <c r="AT67" s="307"/>
      <c r="AU67" s="309"/>
      <c r="AV67" s="311"/>
      <c r="AW67" s="305"/>
      <c r="AX67" s="12">
        <f>+AS7</f>
        <v>466227.77438072674</v>
      </c>
      <c r="AY67" s="307"/>
      <c r="AZ67" s="309"/>
      <c r="BA67" s="311"/>
      <c r="BB67" s="305"/>
      <c r="BC67" s="12">
        <f>+AX7</f>
        <v>362426.15854626091</v>
      </c>
      <c r="BD67" s="307"/>
      <c r="BE67" s="309"/>
      <c r="BF67" s="311"/>
      <c r="BG67" s="305"/>
      <c r="BH67" s="12">
        <f>+BC7</f>
        <v>577445.05526048853</v>
      </c>
      <c r="BI67" s="307"/>
      <c r="BJ67" s="309"/>
      <c r="BK67" s="311"/>
      <c r="BL67" s="305"/>
      <c r="BM67" s="12">
        <f>+BH7</f>
        <v>605829.1323947754</v>
      </c>
      <c r="BN67" s="307"/>
      <c r="BO67" s="309"/>
      <c r="BP67" s="311"/>
      <c r="BQ67" s="305"/>
      <c r="BR67" s="12">
        <f>+BM7</f>
        <v>596521.20780522865</v>
      </c>
      <c r="BS67" s="307"/>
      <c r="BT67" s="309"/>
      <c r="BU67" s="311"/>
      <c r="BV67" s="305"/>
      <c r="BW67" s="12">
        <f>+BR7</f>
        <v>591488.26536105329</v>
      </c>
      <c r="BX67" s="307"/>
      <c r="BY67" s="309"/>
      <c r="BZ67" s="311"/>
      <c r="CA67" s="305"/>
      <c r="CB67" s="12">
        <f>+BW7</f>
        <v>683639.44524674991</v>
      </c>
      <c r="CC67" s="307"/>
      <c r="CD67" s="309"/>
      <c r="CE67" s="311"/>
      <c r="CF67" s="305"/>
      <c r="CG67" s="12">
        <f>+CB7</f>
        <v>730970.98451191629</v>
      </c>
      <c r="CH67" s="307"/>
      <c r="CI67" s="309"/>
      <c r="CJ67" s="311"/>
      <c r="CK67" s="305"/>
      <c r="CL67" s="12">
        <f>+CG7</f>
        <v>983171.45149381866</v>
      </c>
      <c r="CM67" s="307"/>
      <c r="CN67" s="309"/>
      <c r="CO67" s="311"/>
      <c r="CP67" s="305"/>
      <c r="CQ67" s="12">
        <f>+CL7</f>
        <v>869259.25642568548</v>
      </c>
      <c r="CR67" s="307"/>
      <c r="CS67" s="309"/>
      <c r="CT67" s="311"/>
    </row>
    <row r="68" spans="1:98" ht="18" customHeight="1" x14ac:dyDescent="0.2">
      <c r="A68" s="327" t="s">
        <v>171</v>
      </c>
      <c r="B68" s="328"/>
      <c r="C68" s="329"/>
      <c r="D68" s="13"/>
      <c r="E68" s="13"/>
      <c r="F68" s="13"/>
      <c r="G68" s="13"/>
      <c r="H68" s="15"/>
      <c r="I68" s="13"/>
      <c r="J68" s="13"/>
      <c r="K68" s="13"/>
      <c r="L68" s="13"/>
      <c r="M68" s="15"/>
      <c r="N68" s="13"/>
      <c r="O68" s="13"/>
      <c r="P68" s="13"/>
      <c r="Q68" s="13"/>
      <c r="R68" s="15"/>
      <c r="S68" s="13"/>
      <c r="T68" s="14"/>
      <c r="U68" s="13"/>
      <c r="V68" s="13"/>
      <c r="W68" s="15"/>
      <c r="X68" s="13"/>
      <c r="Y68" s="14"/>
      <c r="Z68" s="13"/>
      <c r="AA68" s="13"/>
      <c r="AB68" s="15"/>
      <c r="AC68" s="13"/>
      <c r="AD68" s="14"/>
      <c r="AE68" s="13"/>
      <c r="AF68" s="13"/>
      <c r="AG68" s="15"/>
      <c r="AH68" s="13"/>
      <c r="AI68" s="13"/>
      <c r="AJ68" s="13"/>
      <c r="AK68" s="13"/>
      <c r="AL68" s="15"/>
      <c r="AM68" s="13"/>
      <c r="AN68" s="14"/>
      <c r="AO68" s="13"/>
      <c r="AP68" s="13"/>
      <c r="AQ68" s="15"/>
      <c r="AR68" s="13"/>
      <c r="AS68" s="14"/>
      <c r="AT68" s="13"/>
      <c r="AU68" s="13"/>
      <c r="AV68" s="15"/>
      <c r="AW68" s="13"/>
      <c r="AX68" s="14"/>
      <c r="AY68" s="13"/>
      <c r="AZ68" s="13"/>
      <c r="BA68" s="15"/>
      <c r="BB68" s="13"/>
      <c r="BC68" s="14"/>
      <c r="BD68" s="13"/>
      <c r="BE68" s="13"/>
      <c r="BF68" s="15"/>
      <c r="BG68" s="13"/>
      <c r="BH68" s="14"/>
      <c r="BI68" s="13"/>
      <c r="BJ68" s="13"/>
      <c r="BK68" s="15"/>
      <c r="BL68" s="13"/>
      <c r="BM68" s="14"/>
      <c r="BN68" s="13"/>
      <c r="BO68" s="13"/>
      <c r="BP68" s="15"/>
      <c r="BQ68" s="13"/>
      <c r="BR68" s="14"/>
      <c r="BS68" s="13"/>
      <c r="BT68" s="13"/>
      <c r="BU68" s="15"/>
      <c r="BV68" s="13"/>
      <c r="BW68" s="14"/>
      <c r="BX68" s="13"/>
      <c r="BY68" s="13"/>
      <c r="BZ68" s="15"/>
      <c r="CA68" s="13"/>
      <c r="CB68" s="14"/>
      <c r="CC68" s="13"/>
      <c r="CD68" s="13"/>
      <c r="CE68" s="15"/>
      <c r="CF68" s="13"/>
      <c r="CG68" s="14"/>
      <c r="CH68" s="13"/>
      <c r="CI68" s="13"/>
      <c r="CJ68" s="15"/>
      <c r="CK68" s="13"/>
      <c r="CL68" s="14"/>
      <c r="CM68" s="13"/>
      <c r="CN68" s="13"/>
      <c r="CO68" s="15"/>
      <c r="CP68" s="13"/>
      <c r="CQ68" s="14"/>
      <c r="CR68" s="13"/>
      <c r="CS68" s="13"/>
      <c r="CT68" s="15"/>
    </row>
    <row r="69" spans="1:98" ht="18" customHeight="1" x14ac:dyDescent="0.2">
      <c r="A69" s="17"/>
      <c r="B69" s="320" t="s">
        <v>172</v>
      </c>
      <c r="C69" s="322" t="s">
        <v>149</v>
      </c>
      <c r="D69" s="304"/>
      <c r="E69" s="24">
        <f>+PL!K47</f>
        <v>393255.67539464694</v>
      </c>
      <c r="F69" s="306" t="s">
        <v>118</v>
      </c>
      <c r="G69" s="308">
        <v>100</v>
      </c>
      <c r="H69" s="310">
        <f>IF(E70=0,"-",(E69/E70)*G69)</f>
        <v>38.215428627962254</v>
      </c>
      <c r="I69" s="304"/>
      <c r="J69" s="24">
        <f>+PL!L47</f>
        <v>307123.01318904298</v>
      </c>
      <c r="K69" s="306" t="s">
        <v>111</v>
      </c>
      <c r="L69" s="308">
        <v>100</v>
      </c>
      <c r="M69" s="310">
        <f>IF(J70=0,"-",(J69/J70)*L69)</f>
        <v>38.746830784984027</v>
      </c>
      <c r="N69" s="304"/>
      <c r="O69" s="24">
        <f>+PL!M47</f>
        <v>346290.95397098799</v>
      </c>
      <c r="P69" s="306" t="s">
        <v>111</v>
      </c>
      <c r="Q69" s="308">
        <v>100</v>
      </c>
      <c r="R69" s="310">
        <f>IF(O70=0,"-",(O69/O70)*Q69)</f>
        <v>41.569011517517211</v>
      </c>
      <c r="S69" s="304"/>
      <c r="T69" s="24">
        <f>+PL!N47</f>
        <v>319920.16979466018</v>
      </c>
      <c r="U69" s="306" t="s">
        <v>111</v>
      </c>
      <c r="V69" s="308">
        <v>100</v>
      </c>
      <c r="W69" s="310">
        <f>IF(T70=0,"-",(T69/T70)*V69)</f>
        <v>38.634702835421727</v>
      </c>
      <c r="X69" s="304"/>
      <c r="Y69" s="24">
        <f>+PL!O47</f>
        <v>332815.60714089364</v>
      </c>
      <c r="Z69" s="306" t="s">
        <v>111</v>
      </c>
      <c r="AA69" s="308">
        <v>100</v>
      </c>
      <c r="AB69" s="310">
        <f>IF(Y70=0,"-",(Y69/Y70)*AA69)</f>
        <v>41.513462064462445</v>
      </c>
      <c r="AC69" s="304"/>
      <c r="AD69" s="24">
        <f>+PL!P47</f>
        <v>357060.51252820645</v>
      </c>
      <c r="AE69" s="306" t="s">
        <v>111</v>
      </c>
      <c r="AF69" s="308">
        <v>100</v>
      </c>
      <c r="AG69" s="310">
        <f>IF(AD70=0,"-",(AD69/AD70)*AF69)</f>
        <v>38.727075560909668</v>
      </c>
      <c r="AH69" s="304"/>
      <c r="AI69" s="24">
        <f>+PL!Q47</f>
        <v>264705.09718996001</v>
      </c>
      <c r="AJ69" s="306" t="s">
        <v>118</v>
      </c>
      <c r="AK69" s="308">
        <v>100</v>
      </c>
      <c r="AL69" s="310">
        <f>IF(AI70=0,"-",(AI69/AI70)*AK69)</f>
        <v>40.121261553191147</v>
      </c>
      <c r="AM69" s="304"/>
      <c r="AN69" s="24">
        <f>+PL!R47</f>
        <v>267789.74428650487</v>
      </c>
      <c r="AO69" s="306" t="s">
        <v>173</v>
      </c>
      <c r="AP69" s="308">
        <v>100</v>
      </c>
      <c r="AQ69" s="310">
        <f>IF(AN70=0,"-",(AN69/AN70)*AP69)</f>
        <v>44.811855935068969</v>
      </c>
      <c r="AR69" s="304"/>
      <c r="AS69" s="24">
        <f>+PL!S47</f>
        <v>227037.89144963975</v>
      </c>
      <c r="AT69" s="306" t="s">
        <v>111</v>
      </c>
      <c r="AU69" s="308">
        <v>100</v>
      </c>
      <c r="AV69" s="310">
        <f>IF(AS70=0,"-",(AS69/AS70)*AU69)</f>
        <v>40.38786057891835</v>
      </c>
      <c r="AW69" s="304"/>
      <c r="AX69" s="24">
        <f>+PL!T47</f>
        <v>192388.09286662968</v>
      </c>
      <c r="AY69" s="306" t="s">
        <v>111</v>
      </c>
      <c r="AZ69" s="308">
        <v>100</v>
      </c>
      <c r="BA69" s="310">
        <f>IF(AX70=0,"-",(AX69/AX70)*AZ69)</f>
        <v>47.837515176680114</v>
      </c>
      <c r="BB69" s="304"/>
      <c r="BC69" s="24">
        <f>+PL!U47</f>
        <v>304316.2749047525</v>
      </c>
      <c r="BD69" s="306" t="s">
        <v>111</v>
      </c>
      <c r="BE69" s="308">
        <v>100</v>
      </c>
      <c r="BF69" s="310">
        <f>IF(BC70=0,"-",(BC69/BC70)*BE69)</f>
        <v>42.29682401049255</v>
      </c>
      <c r="BG69" s="304"/>
      <c r="BH69" s="24">
        <f>+PL!V47</f>
        <v>312954.82536491682</v>
      </c>
      <c r="BI69" s="306" t="s">
        <v>111</v>
      </c>
      <c r="BJ69" s="308">
        <v>100</v>
      </c>
      <c r="BK69" s="310">
        <f>IF(BH70=0,"-",(BH69/BH70)*BJ69)</f>
        <v>41.332137540784395</v>
      </c>
      <c r="BL69" s="304"/>
      <c r="BM69" s="24">
        <f>+PL!W47</f>
        <v>311920.24688486045</v>
      </c>
      <c r="BN69" s="306" t="s">
        <v>111</v>
      </c>
      <c r="BO69" s="308">
        <v>100</v>
      </c>
      <c r="BP69" s="310">
        <f>IF(BM70=0,"-",(BM69/BM70)*BO69)</f>
        <v>39.194505665445917</v>
      </c>
      <c r="BQ69" s="304"/>
      <c r="BR69" s="24">
        <f>+PL!X47</f>
        <v>338070.06779931602</v>
      </c>
      <c r="BS69" s="306" t="s">
        <v>111</v>
      </c>
      <c r="BT69" s="308">
        <v>100</v>
      </c>
      <c r="BU69" s="310">
        <f>IF(BR70=0,"-",(BR69/BR70)*BT69)</f>
        <v>44.459424544625421</v>
      </c>
      <c r="BV69" s="304"/>
      <c r="BW69" s="24">
        <f>+PL!Y47</f>
        <v>329132.95276115369</v>
      </c>
      <c r="BX69" s="306" t="s">
        <v>111</v>
      </c>
      <c r="BY69" s="308">
        <v>100</v>
      </c>
      <c r="BZ69" s="310">
        <f>IF(BW70=0,"-",(BW69/BW70)*BY69)</f>
        <v>43.243857485529816</v>
      </c>
      <c r="CA69" s="304"/>
      <c r="CB69" s="24">
        <f>+PL!Z47</f>
        <v>384947.37213565846</v>
      </c>
      <c r="CC69" s="306" t="s">
        <v>111</v>
      </c>
      <c r="CD69" s="308">
        <v>100</v>
      </c>
      <c r="CE69" s="310">
        <f>IF(CB70=0,"-",(CB69/CB70)*CD69)</f>
        <v>44.446805056378139</v>
      </c>
      <c r="CF69" s="304"/>
      <c r="CG69" s="24">
        <f>+PL!AA47</f>
        <v>368613.81224244507</v>
      </c>
      <c r="CH69" s="306" t="s">
        <v>173</v>
      </c>
      <c r="CI69" s="308">
        <v>100</v>
      </c>
      <c r="CJ69" s="310">
        <f>IF(CG70=0,"-",(CG69/CG70)*CI69)</f>
        <v>43.237458542930831</v>
      </c>
      <c r="CK69" s="304"/>
      <c r="CL69" s="24">
        <f>+PL!AB47</f>
        <v>403636.12464540533</v>
      </c>
      <c r="CM69" s="306" t="s">
        <v>111</v>
      </c>
      <c r="CN69" s="308">
        <v>100</v>
      </c>
      <c r="CO69" s="310">
        <f>IF(CL70=0,"-",(CL69/CL70)*CN69)</f>
        <v>45.716275994817906</v>
      </c>
      <c r="CP69" s="304"/>
      <c r="CQ69" s="24">
        <f>+PL!AC47</f>
        <v>374651.02943434851</v>
      </c>
      <c r="CR69" s="306" t="s">
        <v>111</v>
      </c>
      <c r="CS69" s="308">
        <v>100</v>
      </c>
      <c r="CT69" s="310">
        <f>IF(CQ70=0,"-",(CQ69/CQ70)*CS69)</f>
        <v>43.383065433655098</v>
      </c>
    </row>
    <row r="70" spans="1:98" ht="18" customHeight="1" x14ac:dyDescent="0.2">
      <c r="A70" s="17"/>
      <c r="B70" s="321"/>
      <c r="C70" s="323"/>
      <c r="D70" s="305"/>
      <c r="E70" s="25">
        <f>+E12</f>
        <v>1029049.49522639</v>
      </c>
      <c r="F70" s="307"/>
      <c r="G70" s="309"/>
      <c r="H70" s="311"/>
      <c r="I70" s="305"/>
      <c r="J70" s="25">
        <f>+J12</f>
        <v>792640.34494420025</v>
      </c>
      <c r="K70" s="307"/>
      <c r="L70" s="309"/>
      <c r="M70" s="311"/>
      <c r="N70" s="305"/>
      <c r="O70" s="25">
        <f>+O12</f>
        <v>833050.73016966193</v>
      </c>
      <c r="P70" s="307"/>
      <c r="Q70" s="309"/>
      <c r="R70" s="311"/>
      <c r="S70" s="305"/>
      <c r="T70" s="25">
        <f>+T12</f>
        <v>828064.26946642785</v>
      </c>
      <c r="U70" s="307"/>
      <c r="V70" s="309"/>
      <c r="W70" s="311"/>
      <c r="X70" s="305"/>
      <c r="Y70" s="25">
        <f>+Y12</f>
        <v>801705.25557250518</v>
      </c>
      <c r="Z70" s="307"/>
      <c r="AA70" s="309"/>
      <c r="AB70" s="311"/>
      <c r="AC70" s="305"/>
      <c r="AD70" s="25">
        <f>+AD12</f>
        <v>921991.9329220308</v>
      </c>
      <c r="AE70" s="307"/>
      <c r="AF70" s="309"/>
      <c r="AG70" s="311"/>
      <c r="AH70" s="305"/>
      <c r="AI70" s="25">
        <f>+AI12</f>
        <v>659762.64689240814</v>
      </c>
      <c r="AJ70" s="307"/>
      <c r="AK70" s="309"/>
      <c r="AL70" s="311"/>
      <c r="AM70" s="305"/>
      <c r="AN70" s="25">
        <f>+AN12</f>
        <v>597586.81870825472</v>
      </c>
      <c r="AO70" s="307"/>
      <c r="AP70" s="309"/>
      <c r="AQ70" s="311"/>
      <c r="AR70" s="305"/>
      <c r="AS70" s="25">
        <f>+AS12</f>
        <v>562143.89223713661</v>
      </c>
      <c r="AT70" s="307"/>
      <c r="AU70" s="309"/>
      <c r="AV70" s="311"/>
      <c r="AW70" s="305"/>
      <c r="AX70" s="25">
        <f>+AX12</f>
        <v>402169.91237123299</v>
      </c>
      <c r="AY70" s="307"/>
      <c r="AZ70" s="309"/>
      <c r="BA70" s="311"/>
      <c r="BB70" s="305"/>
      <c r="BC70" s="25">
        <f>+BC12</f>
        <v>719477.8379323727</v>
      </c>
      <c r="BD70" s="307"/>
      <c r="BE70" s="309"/>
      <c r="BF70" s="311"/>
      <c r="BG70" s="305"/>
      <c r="BH70" s="25">
        <f>+BH12</f>
        <v>757170.67634382402</v>
      </c>
      <c r="BI70" s="307"/>
      <c r="BJ70" s="309"/>
      <c r="BK70" s="311"/>
      <c r="BL70" s="305"/>
      <c r="BM70" s="25">
        <f>+BM12</f>
        <v>795826.45982916676</v>
      </c>
      <c r="BN70" s="307"/>
      <c r="BO70" s="309"/>
      <c r="BP70" s="311"/>
      <c r="BQ70" s="305"/>
      <c r="BR70" s="25">
        <f>+BR12</f>
        <v>760401.3575568971</v>
      </c>
      <c r="BS70" s="307"/>
      <c r="BT70" s="309"/>
      <c r="BU70" s="311"/>
      <c r="BV70" s="305"/>
      <c r="BW70" s="25">
        <f>+BW12</f>
        <v>761109.14219733421</v>
      </c>
      <c r="BX70" s="307"/>
      <c r="BY70" s="309"/>
      <c r="BZ70" s="311"/>
      <c r="CA70" s="305"/>
      <c r="CB70" s="25">
        <f>+CB12</f>
        <v>866085.58623589599</v>
      </c>
      <c r="CC70" s="307"/>
      <c r="CD70" s="309"/>
      <c r="CE70" s="311"/>
      <c r="CF70" s="305"/>
      <c r="CG70" s="25">
        <f>+CG12</f>
        <v>852533.48523351655</v>
      </c>
      <c r="CH70" s="307"/>
      <c r="CI70" s="309"/>
      <c r="CJ70" s="311"/>
      <c r="CK70" s="305"/>
      <c r="CL70" s="25">
        <f>+CL12</f>
        <v>882915.58282472275</v>
      </c>
      <c r="CM70" s="307"/>
      <c r="CN70" s="309"/>
      <c r="CO70" s="311"/>
      <c r="CP70" s="305"/>
      <c r="CQ70" s="25">
        <f>+CQ12</f>
        <v>863588.18974490231</v>
      </c>
      <c r="CR70" s="307"/>
      <c r="CS70" s="309"/>
      <c r="CT70" s="311"/>
    </row>
    <row r="71" spans="1:98" ht="18" customHeight="1" x14ac:dyDescent="0.2">
      <c r="A71" s="17"/>
      <c r="B71" s="320" t="s">
        <v>174</v>
      </c>
      <c r="C71" s="322" t="s">
        <v>175</v>
      </c>
      <c r="D71" s="304"/>
      <c r="E71" s="24">
        <f>+PL!K11+PL!K17</f>
        <v>201253.961622081</v>
      </c>
      <c r="F71" s="306" t="s">
        <v>118</v>
      </c>
      <c r="G71" s="308">
        <v>100</v>
      </c>
      <c r="H71" s="310">
        <f>IF(E72=0,"-",(E71/E72)*G71)</f>
        <v>51.176365457438102</v>
      </c>
      <c r="I71" s="304"/>
      <c r="J71" s="24">
        <f>+PL!L11+PL!L17</f>
        <v>182534.66351031454</v>
      </c>
      <c r="K71" s="306" t="s">
        <v>111</v>
      </c>
      <c r="L71" s="308">
        <v>100</v>
      </c>
      <c r="M71" s="310">
        <f>IF(J72=0,"-",(J71/J72)*L71)</f>
        <v>59.433730352847</v>
      </c>
      <c r="N71" s="304"/>
      <c r="O71" s="24">
        <f>+PL!M11+PL!M17</f>
        <v>177960.82364090846</v>
      </c>
      <c r="P71" s="306" t="s">
        <v>111</v>
      </c>
      <c r="Q71" s="308">
        <v>100</v>
      </c>
      <c r="R71" s="310">
        <f>IF(O72=0,"-",(O71/O72)*Q71)</f>
        <v>51.390549363243807</v>
      </c>
      <c r="S71" s="304"/>
      <c r="T71" s="24">
        <f>+PL!N11+PL!N17</f>
        <v>161774.60825586933</v>
      </c>
      <c r="U71" s="306" t="s">
        <v>111</v>
      </c>
      <c r="V71" s="308">
        <v>100</v>
      </c>
      <c r="W71" s="310">
        <f>IF(T72=0,"-",(T71/T72)*V71)</f>
        <v>50.567180043603969</v>
      </c>
      <c r="X71" s="304"/>
      <c r="Y71" s="24">
        <f>+PL!O11+PL!O17</f>
        <v>170123.21527709399</v>
      </c>
      <c r="Z71" s="306" t="s">
        <v>111</v>
      </c>
      <c r="AA71" s="308">
        <v>100</v>
      </c>
      <c r="AB71" s="310">
        <f>IF(Y72=0,"-",(Y71/Y72)*AA71)</f>
        <v>51.11635741441485</v>
      </c>
      <c r="AC71" s="304"/>
      <c r="AD71" s="24">
        <f>+PL!P11+PL!P17</f>
        <v>183662.71915277658</v>
      </c>
      <c r="AE71" s="306" t="s">
        <v>111</v>
      </c>
      <c r="AF71" s="308">
        <v>100</v>
      </c>
      <c r="AG71" s="310">
        <f>IF(AD72=0,"-",(AD71/AD72)*AF71)</f>
        <v>51.437421027694263</v>
      </c>
      <c r="AH71" s="304"/>
      <c r="AI71" s="24">
        <f>+PL!Q11+PL!Q17</f>
        <v>148075.98553870659</v>
      </c>
      <c r="AJ71" s="306" t="s">
        <v>118</v>
      </c>
      <c r="AK71" s="308">
        <v>100</v>
      </c>
      <c r="AL71" s="310">
        <f>IF(AI72=0,"-",(AI71/AI72)*AK71)</f>
        <v>55.939982686635979</v>
      </c>
      <c r="AM71" s="304"/>
      <c r="AN71" s="24">
        <f>+PL!R11+PL!R17</f>
        <v>130496.27985510934</v>
      </c>
      <c r="AO71" s="306" t="s">
        <v>112</v>
      </c>
      <c r="AP71" s="308">
        <v>100</v>
      </c>
      <c r="AQ71" s="310">
        <f>IF(AN72=0,"-",(AN71/AN72)*AP71)</f>
        <v>48.730872872970451</v>
      </c>
      <c r="AR71" s="304"/>
      <c r="AS71" s="24">
        <f>+PL!S11+PL!S17</f>
        <v>117311.16946395778</v>
      </c>
      <c r="AT71" s="306" t="s">
        <v>111</v>
      </c>
      <c r="AU71" s="308">
        <v>100</v>
      </c>
      <c r="AV71" s="310">
        <f>IF(AS72=0,"-",(AS71/AS72)*AU71)</f>
        <v>51.670304333309524</v>
      </c>
      <c r="AW71" s="304"/>
      <c r="AX71" s="24">
        <f>+PL!T11+PL!T17</f>
        <v>112364.92897469609</v>
      </c>
      <c r="AY71" s="306" t="s">
        <v>111</v>
      </c>
      <c r="AZ71" s="308">
        <v>100</v>
      </c>
      <c r="BA71" s="310">
        <f>IF(AX72=0,"-",(AX71/AX72)*AZ71)</f>
        <v>58.405344790538308</v>
      </c>
      <c r="BB71" s="304"/>
      <c r="BC71" s="24">
        <f>+PL!U11+PL!U17</f>
        <v>158598.80751740537</v>
      </c>
      <c r="BD71" s="306" t="s">
        <v>111</v>
      </c>
      <c r="BE71" s="308">
        <v>100</v>
      </c>
      <c r="BF71" s="310">
        <f>IF(BC72=0,"-",(BC71/BC72)*BE71)</f>
        <v>52.116439571641372</v>
      </c>
      <c r="BG71" s="304"/>
      <c r="BH71" s="24">
        <f>+PL!V11+PL!V17</f>
        <v>157730.93865008079</v>
      </c>
      <c r="BI71" s="306" t="s">
        <v>111</v>
      </c>
      <c r="BJ71" s="308">
        <v>100</v>
      </c>
      <c r="BK71" s="310">
        <f>IF(BH72=0,"-",(BH71/BH72)*BJ71)</f>
        <v>50.400545339462568</v>
      </c>
      <c r="BL71" s="304"/>
      <c r="BM71" s="24">
        <f>+PL!W11+PL!W17</f>
        <v>158402.00802716889</v>
      </c>
      <c r="BN71" s="306" t="s">
        <v>111</v>
      </c>
      <c r="BO71" s="308">
        <v>100</v>
      </c>
      <c r="BP71" s="310">
        <f>IF(BM72=0,"-",(BM71/BM72)*BO71)</f>
        <v>50.782855428310825</v>
      </c>
      <c r="BQ71" s="304"/>
      <c r="BR71" s="24">
        <f>+PL!X11+PL!X17</f>
        <v>176508.02640455723</v>
      </c>
      <c r="BS71" s="306" t="s">
        <v>111</v>
      </c>
      <c r="BT71" s="308">
        <v>100</v>
      </c>
      <c r="BU71" s="310">
        <f>IF(BR72=0,"-",(BR71/BR72)*BT71)</f>
        <v>52.210486291656942</v>
      </c>
      <c r="BV71" s="304"/>
      <c r="BW71" s="24">
        <f>+PL!Y11+PL!Y17</f>
        <v>176144.20654062269</v>
      </c>
      <c r="BX71" s="306" t="s">
        <v>111</v>
      </c>
      <c r="BY71" s="308">
        <v>100</v>
      </c>
      <c r="BZ71" s="310">
        <f>IF(BW72=0,"-",(BW71/BW72)*BY71)</f>
        <v>53.517645396159288</v>
      </c>
      <c r="CA71" s="304"/>
      <c r="CB71" s="24">
        <f>+PL!Z11+PL!Z17</f>
        <v>172738.69494702137</v>
      </c>
      <c r="CC71" s="306" t="s">
        <v>111</v>
      </c>
      <c r="CD71" s="308">
        <v>100</v>
      </c>
      <c r="CE71" s="310">
        <f>IF(CB72=0,"-",(CB71/CB72)*CD71)</f>
        <v>44.873327485957461</v>
      </c>
      <c r="CF71" s="304"/>
      <c r="CG71" s="24">
        <f>+PL!AA11+PL!AA17</f>
        <v>164876.82099931317</v>
      </c>
      <c r="CH71" s="306" t="s">
        <v>112</v>
      </c>
      <c r="CI71" s="308">
        <v>100</v>
      </c>
      <c r="CJ71" s="310">
        <f>IF(CG72=0,"-",(CG71/CG72)*CI71)</f>
        <v>44.72887762840265</v>
      </c>
      <c r="CK71" s="304"/>
      <c r="CL71" s="24">
        <f>+PL!AB11+PL!AB17</f>
        <v>188582.17716840026</v>
      </c>
      <c r="CM71" s="306" t="s">
        <v>111</v>
      </c>
      <c r="CN71" s="308">
        <v>100</v>
      </c>
      <c r="CO71" s="310">
        <f>IF(CL72=0,"-",(CL71/CL72)*CN71)</f>
        <v>46.720837321998829</v>
      </c>
      <c r="CP71" s="304"/>
      <c r="CQ71" s="24">
        <f>+PL!AC11+PL!AC17</f>
        <v>174182.48084634417</v>
      </c>
      <c r="CR71" s="306" t="s">
        <v>111</v>
      </c>
      <c r="CS71" s="308">
        <v>100</v>
      </c>
      <c r="CT71" s="310">
        <f>IF(CQ72=0,"-",(CQ71/CQ72)*CS71)</f>
        <v>46.491926395965457</v>
      </c>
    </row>
    <row r="72" spans="1:98" ht="18" customHeight="1" x14ac:dyDescent="0.2">
      <c r="A72" s="17"/>
      <c r="B72" s="321"/>
      <c r="C72" s="323"/>
      <c r="D72" s="305"/>
      <c r="E72" s="25">
        <f>+E69</f>
        <v>393255.67539464694</v>
      </c>
      <c r="F72" s="307"/>
      <c r="G72" s="309"/>
      <c r="H72" s="311"/>
      <c r="I72" s="305"/>
      <c r="J72" s="25">
        <f>+J69</f>
        <v>307123.01318904298</v>
      </c>
      <c r="K72" s="307"/>
      <c r="L72" s="309"/>
      <c r="M72" s="311"/>
      <c r="N72" s="305"/>
      <c r="O72" s="25">
        <f>+O69</f>
        <v>346290.95397098799</v>
      </c>
      <c r="P72" s="307"/>
      <c r="Q72" s="309"/>
      <c r="R72" s="311"/>
      <c r="S72" s="305"/>
      <c r="T72" s="25">
        <f>+T69</f>
        <v>319920.16979466018</v>
      </c>
      <c r="U72" s="307"/>
      <c r="V72" s="309"/>
      <c r="W72" s="311"/>
      <c r="X72" s="305"/>
      <c r="Y72" s="25">
        <f>+Y69</f>
        <v>332815.60714089364</v>
      </c>
      <c r="Z72" s="307"/>
      <c r="AA72" s="309"/>
      <c r="AB72" s="311"/>
      <c r="AC72" s="305"/>
      <c r="AD72" s="25">
        <f>+AD69</f>
        <v>357060.51252820645</v>
      </c>
      <c r="AE72" s="307"/>
      <c r="AF72" s="309"/>
      <c r="AG72" s="311"/>
      <c r="AH72" s="305"/>
      <c r="AI72" s="25">
        <f>+AI69</f>
        <v>264705.09718996001</v>
      </c>
      <c r="AJ72" s="307"/>
      <c r="AK72" s="309"/>
      <c r="AL72" s="311"/>
      <c r="AM72" s="305"/>
      <c r="AN72" s="25">
        <f>+AN69</f>
        <v>267789.74428650487</v>
      </c>
      <c r="AO72" s="307"/>
      <c r="AP72" s="309"/>
      <c r="AQ72" s="311"/>
      <c r="AR72" s="305"/>
      <c r="AS72" s="25">
        <f>+AS69</f>
        <v>227037.89144963975</v>
      </c>
      <c r="AT72" s="307"/>
      <c r="AU72" s="309"/>
      <c r="AV72" s="311"/>
      <c r="AW72" s="305"/>
      <c r="AX72" s="25">
        <f>+AX69</f>
        <v>192388.09286662968</v>
      </c>
      <c r="AY72" s="307"/>
      <c r="AZ72" s="309"/>
      <c r="BA72" s="311"/>
      <c r="BB72" s="305"/>
      <c r="BC72" s="25">
        <f>+BC69</f>
        <v>304316.2749047525</v>
      </c>
      <c r="BD72" s="307"/>
      <c r="BE72" s="309"/>
      <c r="BF72" s="311"/>
      <c r="BG72" s="305"/>
      <c r="BH72" s="25">
        <f>+BH69</f>
        <v>312954.82536491682</v>
      </c>
      <c r="BI72" s="307"/>
      <c r="BJ72" s="309"/>
      <c r="BK72" s="311"/>
      <c r="BL72" s="305"/>
      <c r="BM72" s="25">
        <f>+BM69</f>
        <v>311920.24688486045</v>
      </c>
      <c r="BN72" s="307"/>
      <c r="BO72" s="309"/>
      <c r="BP72" s="311"/>
      <c r="BQ72" s="305"/>
      <c r="BR72" s="25">
        <f>+BR69</f>
        <v>338070.06779931602</v>
      </c>
      <c r="BS72" s="307"/>
      <c r="BT72" s="309"/>
      <c r="BU72" s="311"/>
      <c r="BV72" s="305"/>
      <c r="BW72" s="25">
        <f>+BW69</f>
        <v>329132.95276115369</v>
      </c>
      <c r="BX72" s="307"/>
      <c r="BY72" s="309"/>
      <c r="BZ72" s="311"/>
      <c r="CA72" s="305"/>
      <c r="CB72" s="25">
        <f>+CB69</f>
        <v>384947.37213565846</v>
      </c>
      <c r="CC72" s="307"/>
      <c r="CD72" s="309"/>
      <c r="CE72" s="311"/>
      <c r="CF72" s="305"/>
      <c r="CG72" s="25">
        <f>+CG69</f>
        <v>368613.81224244507</v>
      </c>
      <c r="CH72" s="307"/>
      <c r="CI72" s="309"/>
      <c r="CJ72" s="311"/>
      <c r="CK72" s="305"/>
      <c r="CL72" s="25">
        <f>+CL69</f>
        <v>403636.12464540533</v>
      </c>
      <c r="CM72" s="307"/>
      <c r="CN72" s="309"/>
      <c r="CO72" s="311"/>
      <c r="CP72" s="305"/>
      <c r="CQ72" s="25">
        <f>+CQ69</f>
        <v>374651.02943434851</v>
      </c>
      <c r="CR72" s="307"/>
      <c r="CS72" s="309"/>
      <c r="CT72" s="311"/>
    </row>
    <row r="73" spans="1:98" ht="18" customHeight="1" x14ac:dyDescent="0.2">
      <c r="A73" s="17"/>
      <c r="B73" s="320" t="s">
        <v>288</v>
      </c>
      <c r="C73" s="322" t="s">
        <v>176</v>
      </c>
      <c r="D73" s="304"/>
      <c r="E73" s="24">
        <f>+E69</f>
        <v>393255.67539464694</v>
      </c>
      <c r="F73" s="306" t="s">
        <v>177</v>
      </c>
      <c r="G73" s="308">
        <v>100</v>
      </c>
      <c r="H73" s="310">
        <f>IF(E74=0,"-",(E73/E74)*G73)</f>
        <v>53.494080903871414</v>
      </c>
      <c r="I73" s="304"/>
      <c r="J73" s="24">
        <f>+J69</f>
        <v>307123.01318904298</v>
      </c>
      <c r="K73" s="306" t="s">
        <v>111</v>
      </c>
      <c r="L73" s="308">
        <v>100</v>
      </c>
      <c r="M73" s="310">
        <f>IF(J74=0,"-",(J73/J74)*L73)</f>
        <v>51.35787692463861</v>
      </c>
      <c r="N73" s="304"/>
      <c r="O73" s="24">
        <f>+O69</f>
        <v>346290.95397098799</v>
      </c>
      <c r="P73" s="306" t="s">
        <v>111</v>
      </c>
      <c r="Q73" s="308">
        <v>100</v>
      </c>
      <c r="R73" s="310">
        <f>IF(O74=0,"-",(O73/O74)*Q73)</f>
        <v>49.923209873777708</v>
      </c>
      <c r="S73" s="304"/>
      <c r="T73" s="24">
        <f>+T69</f>
        <v>319920.16979466018</v>
      </c>
      <c r="U73" s="306" t="s">
        <v>111</v>
      </c>
      <c r="V73" s="308">
        <v>100</v>
      </c>
      <c r="W73" s="310">
        <f>IF(T74=0,"-",(T73/T74)*V73)</f>
        <v>55.970899130231153</v>
      </c>
      <c r="X73" s="304"/>
      <c r="Y73" s="24">
        <f>+Y69</f>
        <v>332815.60714089364</v>
      </c>
      <c r="Z73" s="306" t="s">
        <v>111</v>
      </c>
      <c r="AA73" s="308">
        <v>100</v>
      </c>
      <c r="AB73" s="310">
        <f>IF(Y74=0,"-",(Y73/Y74)*AA73)</f>
        <v>52.265793678223069</v>
      </c>
      <c r="AC73" s="304"/>
      <c r="AD73" s="24">
        <f>+AD69</f>
        <v>357060.51252820645</v>
      </c>
      <c r="AE73" s="306" t="s">
        <v>111</v>
      </c>
      <c r="AF73" s="308">
        <v>100</v>
      </c>
      <c r="AG73" s="310">
        <f>IF(AD74=0,"-",(AD73/AD74)*AF73)</f>
        <v>55.571579809667327</v>
      </c>
      <c r="AH73" s="304"/>
      <c r="AI73" s="24">
        <f>+AI69</f>
        <v>264705.09718996001</v>
      </c>
      <c r="AJ73" s="306" t="s">
        <v>177</v>
      </c>
      <c r="AK73" s="308">
        <v>100</v>
      </c>
      <c r="AL73" s="310">
        <f>IF(AI74=0,"-",(AI73/AI74)*AK73)</f>
        <v>43.316864261218086</v>
      </c>
      <c r="AM73" s="304"/>
      <c r="AN73" s="24">
        <f>+AN69</f>
        <v>267789.74428650487</v>
      </c>
      <c r="AO73" s="306" t="s">
        <v>178</v>
      </c>
      <c r="AP73" s="308">
        <v>100</v>
      </c>
      <c r="AQ73" s="310">
        <f>IF(AN74=0,"-",(AN73/AN74)*AP73)</f>
        <v>59.392748141631991</v>
      </c>
      <c r="AR73" s="304"/>
      <c r="AS73" s="24">
        <f>+AS69</f>
        <v>227037.89144963975</v>
      </c>
      <c r="AT73" s="306" t="s">
        <v>111</v>
      </c>
      <c r="AU73" s="308">
        <v>100</v>
      </c>
      <c r="AV73" s="310">
        <f>IF(AS74=0,"-",(AS73/AS74)*AU73)</f>
        <v>48.696775251368472</v>
      </c>
      <c r="AW73" s="304"/>
      <c r="AX73" s="24">
        <f>+AX69</f>
        <v>192388.09286662968</v>
      </c>
      <c r="AY73" s="306" t="s">
        <v>111</v>
      </c>
      <c r="AZ73" s="308">
        <v>100</v>
      </c>
      <c r="BA73" s="310">
        <f>IF(AX74=0,"-",(AX73/AX74)*AZ73)</f>
        <v>53.083390458989953</v>
      </c>
      <c r="BB73" s="304"/>
      <c r="BC73" s="24">
        <f>+BC69</f>
        <v>304316.2749047525</v>
      </c>
      <c r="BD73" s="306" t="s">
        <v>111</v>
      </c>
      <c r="BE73" s="308">
        <v>100</v>
      </c>
      <c r="BF73" s="310">
        <f>IF(BC74=0,"-",(BC73/BC74)*BE73)</f>
        <v>52.700472907759824</v>
      </c>
      <c r="BG73" s="304"/>
      <c r="BH73" s="24">
        <f>+BH69</f>
        <v>312954.82536491682</v>
      </c>
      <c r="BI73" s="306" t="s">
        <v>111</v>
      </c>
      <c r="BJ73" s="308">
        <v>100</v>
      </c>
      <c r="BK73" s="310">
        <f>IF(BH74=0,"-",(BH73/BH74)*BJ73)</f>
        <v>51.657275728527793</v>
      </c>
      <c r="BL73" s="304"/>
      <c r="BM73" s="24">
        <f>+BM69</f>
        <v>311920.24688486045</v>
      </c>
      <c r="BN73" s="306" t="s">
        <v>111</v>
      </c>
      <c r="BO73" s="308">
        <v>100</v>
      </c>
      <c r="BP73" s="310">
        <f>IF(BM74=0,"-",(BM73/BM74)*BO73)</f>
        <v>52.289883880659303</v>
      </c>
      <c r="BQ73" s="304"/>
      <c r="BR73" s="24">
        <f>+BR69</f>
        <v>338070.06779931602</v>
      </c>
      <c r="BS73" s="306" t="s">
        <v>111</v>
      </c>
      <c r="BT73" s="308">
        <v>100</v>
      </c>
      <c r="BU73" s="310">
        <f>IF(BR74=0,"-",(BR73/BR74)*BT73)</f>
        <v>57.15583682678016</v>
      </c>
      <c r="BV73" s="304"/>
      <c r="BW73" s="24">
        <f>+BW69</f>
        <v>329132.95276115369</v>
      </c>
      <c r="BX73" s="306" t="s">
        <v>111</v>
      </c>
      <c r="BY73" s="308">
        <v>100</v>
      </c>
      <c r="BZ73" s="310">
        <f>IF(BW74=0,"-",(BW73/BW74)*BY73)</f>
        <v>48.144230858761794</v>
      </c>
      <c r="CA73" s="304"/>
      <c r="CB73" s="24">
        <f>+CB69</f>
        <v>384947.37213565846</v>
      </c>
      <c r="CC73" s="306" t="s">
        <v>111</v>
      </c>
      <c r="CD73" s="308">
        <v>100</v>
      </c>
      <c r="CE73" s="310">
        <f>IF(CB74=0,"-",(CB73/CB74)*CD73)</f>
        <v>52.662469549690186</v>
      </c>
      <c r="CF73" s="304"/>
      <c r="CG73" s="24">
        <f>+CG69</f>
        <v>368613.81224244507</v>
      </c>
      <c r="CH73" s="306" t="s">
        <v>178</v>
      </c>
      <c r="CI73" s="308">
        <v>100</v>
      </c>
      <c r="CJ73" s="310">
        <f>IF(CG74=0,"-",(CG73/CG74)*CI73)</f>
        <v>37.492322593620656</v>
      </c>
      <c r="CK73" s="304"/>
      <c r="CL73" s="24">
        <f>+CL69</f>
        <v>403636.12464540533</v>
      </c>
      <c r="CM73" s="306" t="s">
        <v>111</v>
      </c>
      <c r="CN73" s="308">
        <v>100</v>
      </c>
      <c r="CO73" s="310">
        <f>IF(CL74=0,"-",(CL73/CL74)*CN73)</f>
        <v>46.434492547726222</v>
      </c>
      <c r="CP73" s="304"/>
      <c r="CQ73" s="24">
        <f>+CQ69</f>
        <v>374651.02943434851</v>
      </c>
      <c r="CR73" s="306" t="s">
        <v>111</v>
      </c>
      <c r="CS73" s="308">
        <v>100</v>
      </c>
      <c r="CT73" s="310">
        <f>IF(CQ74=0,"-",(CQ73/CQ74)*CS73)</f>
        <v>47.528050925079924</v>
      </c>
    </row>
    <row r="74" spans="1:98" ht="18" customHeight="1" x14ac:dyDescent="0.2">
      <c r="A74" s="17"/>
      <c r="B74" s="321"/>
      <c r="C74" s="323"/>
      <c r="D74" s="305"/>
      <c r="E74" s="25">
        <f>+E7</f>
        <v>735138.67095188599</v>
      </c>
      <c r="F74" s="307"/>
      <c r="G74" s="309"/>
      <c r="H74" s="311"/>
      <c r="I74" s="305"/>
      <c r="J74" s="25">
        <f>+J7</f>
        <v>598005.66452485626</v>
      </c>
      <c r="K74" s="307"/>
      <c r="L74" s="309"/>
      <c r="M74" s="311"/>
      <c r="N74" s="305"/>
      <c r="O74" s="25">
        <f>+O7</f>
        <v>693647.21308290353</v>
      </c>
      <c r="P74" s="307"/>
      <c r="Q74" s="309"/>
      <c r="R74" s="311"/>
      <c r="S74" s="305"/>
      <c r="T74" s="25">
        <f>+T7</f>
        <v>571583.04541486991</v>
      </c>
      <c r="U74" s="307"/>
      <c r="V74" s="309"/>
      <c r="W74" s="311"/>
      <c r="X74" s="305"/>
      <c r="Y74" s="25">
        <f>+Y7</f>
        <v>636775.19027050328</v>
      </c>
      <c r="Z74" s="307"/>
      <c r="AA74" s="309"/>
      <c r="AB74" s="311"/>
      <c r="AC74" s="305"/>
      <c r="AD74" s="25">
        <f>+AD7</f>
        <v>642523.595246237</v>
      </c>
      <c r="AE74" s="307"/>
      <c r="AF74" s="309"/>
      <c r="AG74" s="311"/>
      <c r="AH74" s="305"/>
      <c r="AI74" s="25">
        <f>+AI7</f>
        <v>611090.16477666062</v>
      </c>
      <c r="AJ74" s="307"/>
      <c r="AK74" s="309"/>
      <c r="AL74" s="311"/>
      <c r="AM74" s="305"/>
      <c r="AN74" s="25">
        <f>+AN7</f>
        <v>450879.5310294705</v>
      </c>
      <c r="AO74" s="307"/>
      <c r="AP74" s="309"/>
      <c r="AQ74" s="311"/>
      <c r="AR74" s="305"/>
      <c r="AS74" s="25">
        <f>+AS7</f>
        <v>466227.77438072674</v>
      </c>
      <c r="AT74" s="307"/>
      <c r="AU74" s="309"/>
      <c r="AV74" s="311"/>
      <c r="AW74" s="305"/>
      <c r="AX74" s="25">
        <f>+AX7</f>
        <v>362426.15854626091</v>
      </c>
      <c r="AY74" s="307"/>
      <c r="AZ74" s="309"/>
      <c r="BA74" s="311"/>
      <c r="BB74" s="305"/>
      <c r="BC74" s="25">
        <f>+BC7</f>
        <v>577445.05526048853</v>
      </c>
      <c r="BD74" s="307"/>
      <c r="BE74" s="309"/>
      <c r="BF74" s="311"/>
      <c r="BG74" s="305"/>
      <c r="BH74" s="25">
        <f>+BH7</f>
        <v>605829.1323947754</v>
      </c>
      <c r="BI74" s="307"/>
      <c r="BJ74" s="309"/>
      <c r="BK74" s="311"/>
      <c r="BL74" s="305"/>
      <c r="BM74" s="25">
        <f>+BM7</f>
        <v>596521.20780522865</v>
      </c>
      <c r="BN74" s="307"/>
      <c r="BO74" s="309"/>
      <c r="BP74" s="311"/>
      <c r="BQ74" s="305"/>
      <c r="BR74" s="25">
        <f>+BR7</f>
        <v>591488.26536105329</v>
      </c>
      <c r="BS74" s="307"/>
      <c r="BT74" s="309"/>
      <c r="BU74" s="311"/>
      <c r="BV74" s="305"/>
      <c r="BW74" s="25">
        <f>+BW7</f>
        <v>683639.44524674991</v>
      </c>
      <c r="BX74" s="307"/>
      <c r="BY74" s="309"/>
      <c r="BZ74" s="311"/>
      <c r="CA74" s="305"/>
      <c r="CB74" s="25">
        <f>+CB7</f>
        <v>730970.98451191629</v>
      </c>
      <c r="CC74" s="307"/>
      <c r="CD74" s="309"/>
      <c r="CE74" s="311"/>
      <c r="CF74" s="305"/>
      <c r="CG74" s="25">
        <f>+CG7</f>
        <v>983171.45149381866</v>
      </c>
      <c r="CH74" s="307"/>
      <c r="CI74" s="309"/>
      <c r="CJ74" s="311"/>
      <c r="CK74" s="305"/>
      <c r="CL74" s="25">
        <f>+CL7</f>
        <v>869259.25642568548</v>
      </c>
      <c r="CM74" s="307"/>
      <c r="CN74" s="309"/>
      <c r="CO74" s="311"/>
      <c r="CP74" s="305"/>
      <c r="CQ74" s="25">
        <f>+CQ7</f>
        <v>788273.49773910071</v>
      </c>
      <c r="CR74" s="307"/>
      <c r="CS74" s="309"/>
      <c r="CT74" s="311"/>
    </row>
    <row r="75" spans="1:98" ht="18" customHeight="1" x14ac:dyDescent="0.2">
      <c r="A75" s="17"/>
      <c r="B75" s="320" t="s">
        <v>179</v>
      </c>
      <c r="C75" s="322" t="s">
        <v>130</v>
      </c>
      <c r="D75" s="304"/>
      <c r="E75" s="24">
        <f>+E73</f>
        <v>393255.67539464694</v>
      </c>
      <c r="F75" s="306"/>
      <c r="G75" s="308"/>
      <c r="H75" s="312">
        <f>IF(E76=0,"-",(E75/E76))</f>
        <v>8165.5379998390044</v>
      </c>
      <c r="I75" s="304"/>
      <c r="J75" s="24">
        <f>+J73</f>
        <v>307123.01318904298</v>
      </c>
      <c r="K75" s="306"/>
      <c r="L75" s="308"/>
      <c r="M75" s="312">
        <f>IF(J76=0,"-",(J75/J76))</f>
        <v>8015.5759390466446</v>
      </c>
      <c r="N75" s="304"/>
      <c r="O75" s="24">
        <f>+O73</f>
        <v>346290.95397098799</v>
      </c>
      <c r="P75" s="306"/>
      <c r="Q75" s="308"/>
      <c r="R75" s="312">
        <f>IF(O76=0,"-",(O75/O76))</f>
        <v>7866.7610317771432</v>
      </c>
      <c r="S75" s="304"/>
      <c r="T75" s="24">
        <f>+T73</f>
        <v>319920.16979466018</v>
      </c>
      <c r="U75" s="306"/>
      <c r="V75" s="308"/>
      <c r="W75" s="312">
        <f>IF(T76=0,"-",(T75/T76))</f>
        <v>7437.5643163194563</v>
      </c>
      <c r="X75" s="304"/>
      <c r="Y75" s="24">
        <f>+Y73</f>
        <v>332815.60714089364</v>
      </c>
      <c r="Z75" s="306"/>
      <c r="AA75" s="308"/>
      <c r="AB75" s="312">
        <f>IF(Y76=0,"-",(Y75/Y76))</f>
        <v>8766.3620158712274</v>
      </c>
      <c r="AC75" s="304"/>
      <c r="AD75" s="24">
        <f>+AD73</f>
        <v>357060.51252820645</v>
      </c>
      <c r="AE75" s="306"/>
      <c r="AF75" s="308"/>
      <c r="AG75" s="312">
        <f>IF(AD76=0,"-",(AD75/AD76))</f>
        <v>10840.615499480953</v>
      </c>
      <c r="AH75" s="304"/>
      <c r="AI75" s="24">
        <f>+AI73</f>
        <v>264705.09718996001</v>
      </c>
      <c r="AJ75" s="306"/>
      <c r="AK75" s="308"/>
      <c r="AL75" s="312">
        <f>IF(AI76=0,"-",(AI75/AI76))</f>
        <v>7122.6946189445634</v>
      </c>
      <c r="AM75" s="304"/>
      <c r="AN75" s="24">
        <f>+AN73</f>
        <v>267789.74428650487</v>
      </c>
      <c r="AO75" s="306"/>
      <c r="AP75" s="308"/>
      <c r="AQ75" s="312">
        <f>IF(AN76=0,"-",(AN75/AN76))</f>
        <v>8824.5921027134173</v>
      </c>
      <c r="AR75" s="304"/>
      <c r="AS75" s="24">
        <f>+AS73</f>
        <v>227037.89144963975</v>
      </c>
      <c r="AT75" s="306"/>
      <c r="AU75" s="308"/>
      <c r="AV75" s="312">
        <f>IF(AS76=0,"-",(AS75/AS76))</f>
        <v>7267.9425636209526</v>
      </c>
      <c r="AW75" s="304"/>
      <c r="AX75" s="24">
        <f>+AX73</f>
        <v>192388.09286662968</v>
      </c>
      <c r="AY75" s="306"/>
      <c r="AZ75" s="308"/>
      <c r="BA75" s="312">
        <f>IF(AX76=0,"-",(AX75/AX76))</f>
        <v>6396.1321232594801</v>
      </c>
      <c r="BB75" s="304"/>
      <c r="BC75" s="24">
        <f>+BC73</f>
        <v>304316.2749047525</v>
      </c>
      <c r="BD75" s="306"/>
      <c r="BE75" s="308"/>
      <c r="BF75" s="312">
        <f>IF(BC76=0,"-",(BC75/BC76))</f>
        <v>8856.1613912012144</v>
      </c>
      <c r="BG75" s="304"/>
      <c r="BH75" s="24">
        <f>+BH73</f>
        <v>312954.82536491682</v>
      </c>
      <c r="BI75" s="306"/>
      <c r="BJ75" s="308"/>
      <c r="BK75" s="312">
        <f>IF(BH76=0,"-",(BH75/BH76))</f>
        <v>8939.43778370986</v>
      </c>
      <c r="BL75" s="304"/>
      <c r="BM75" s="24">
        <f>+BM73</f>
        <v>311920.24688486045</v>
      </c>
      <c r="BN75" s="306"/>
      <c r="BO75" s="308"/>
      <c r="BP75" s="312">
        <f>IF(BM76=0,"-",(BM75/BM76))</f>
        <v>8856.2089353925403</v>
      </c>
      <c r="BQ75" s="304"/>
      <c r="BR75" s="24">
        <f>+BR73</f>
        <v>338070.06779931602</v>
      </c>
      <c r="BS75" s="306"/>
      <c r="BT75" s="308"/>
      <c r="BU75" s="312">
        <f>IF(BR76=0,"-",(BR75/BR76))</f>
        <v>9665.4475784595943</v>
      </c>
      <c r="BV75" s="304"/>
      <c r="BW75" s="24">
        <f>+BW73</f>
        <v>329132.95276115369</v>
      </c>
      <c r="BX75" s="306"/>
      <c r="BY75" s="308"/>
      <c r="BZ75" s="312">
        <f>IF(BW76=0,"-",(BW75/BW76))</f>
        <v>8735.1235582534318</v>
      </c>
      <c r="CA75" s="304"/>
      <c r="CB75" s="24">
        <f>+CB73</f>
        <v>384947.37213565846</v>
      </c>
      <c r="CC75" s="306"/>
      <c r="CD75" s="308"/>
      <c r="CE75" s="312">
        <f>IF(CB76=0,"-",(CB75/CB76))</f>
        <v>9732.147331016371</v>
      </c>
      <c r="CF75" s="304"/>
      <c r="CG75" s="24">
        <f>+CG73</f>
        <v>368613.81224244507</v>
      </c>
      <c r="CH75" s="306"/>
      <c r="CI75" s="308"/>
      <c r="CJ75" s="312">
        <f>IF(CG76=0,"-",(CG75/CG76))</f>
        <v>9619.624735907013</v>
      </c>
      <c r="CK75" s="304"/>
      <c r="CL75" s="24">
        <f>+CL73</f>
        <v>403636.12464540533</v>
      </c>
      <c r="CM75" s="306"/>
      <c r="CN75" s="308"/>
      <c r="CO75" s="312">
        <f>IF(CL76=0,"-",(CL75/CL76))</f>
        <v>9948.8078336151339</v>
      </c>
      <c r="CP75" s="304"/>
      <c r="CQ75" s="24">
        <f>+CQ73</f>
        <v>374651.02943434851</v>
      </c>
      <c r="CR75" s="306"/>
      <c r="CS75" s="308"/>
      <c r="CT75" s="312">
        <f>IF(CQ76=0,"-",(CQ75/CQ76))</f>
        <v>9479.7480204132717</v>
      </c>
    </row>
    <row r="76" spans="1:98" ht="18" customHeight="1" x14ac:dyDescent="0.2">
      <c r="A76" s="21"/>
      <c r="B76" s="321"/>
      <c r="C76" s="323"/>
      <c r="D76" s="305"/>
      <c r="E76" s="25">
        <f>+PL!K5</f>
        <v>48.160412137252997</v>
      </c>
      <c r="F76" s="307"/>
      <c r="G76" s="309"/>
      <c r="H76" s="313"/>
      <c r="I76" s="305"/>
      <c r="J76" s="25">
        <f>+PL!L5</f>
        <v>38.315776124450458</v>
      </c>
      <c r="K76" s="307"/>
      <c r="L76" s="309"/>
      <c r="M76" s="313"/>
      <c r="N76" s="305"/>
      <c r="O76" s="25">
        <f>+PL!M5</f>
        <v>44.019508482865284</v>
      </c>
      <c r="P76" s="307"/>
      <c r="Q76" s="309"/>
      <c r="R76" s="313"/>
      <c r="S76" s="305"/>
      <c r="T76" s="25">
        <f>+PL!N5</f>
        <v>43.014104643464172</v>
      </c>
      <c r="U76" s="307"/>
      <c r="V76" s="309"/>
      <c r="W76" s="313"/>
      <c r="X76" s="305"/>
      <c r="Y76" s="25">
        <f>+PL!O5</f>
        <v>37.965076794494827</v>
      </c>
      <c r="Z76" s="307"/>
      <c r="AA76" s="309"/>
      <c r="AB76" s="313"/>
      <c r="AC76" s="305"/>
      <c r="AD76" s="25">
        <f>+PL!P5</f>
        <v>32.937291479925882</v>
      </c>
      <c r="AE76" s="307"/>
      <c r="AF76" s="309"/>
      <c r="AG76" s="313"/>
      <c r="AH76" s="305"/>
      <c r="AI76" s="25">
        <f>+PL!Q5</f>
        <v>37.163617331832747</v>
      </c>
      <c r="AJ76" s="307"/>
      <c r="AK76" s="309"/>
      <c r="AL76" s="313"/>
      <c r="AM76" s="305"/>
      <c r="AN76" s="25">
        <f>+PL!R5</f>
        <v>30.345849549710508</v>
      </c>
      <c r="AO76" s="307"/>
      <c r="AP76" s="309"/>
      <c r="AQ76" s="313"/>
      <c r="AR76" s="305"/>
      <c r="AS76" s="25">
        <f>+PL!S5</f>
        <v>31.238261648634641</v>
      </c>
      <c r="AT76" s="307"/>
      <c r="AU76" s="309"/>
      <c r="AV76" s="313"/>
      <c r="AW76" s="305"/>
      <c r="AX76" s="25">
        <f>+PL!T5</f>
        <v>30.078817816632025</v>
      </c>
      <c r="AY76" s="307"/>
      <c r="AZ76" s="309"/>
      <c r="BA76" s="313"/>
      <c r="BB76" s="305"/>
      <c r="BC76" s="25">
        <f>+PL!U5</f>
        <v>34.362096789145831</v>
      </c>
      <c r="BD76" s="307"/>
      <c r="BE76" s="309"/>
      <c r="BF76" s="313"/>
      <c r="BG76" s="305"/>
      <c r="BH76" s="25">
        <f>+PL!V5</f>
        <v>35.008334185759139</v>
      </c>
      <c r="BI76" s="307"/>
      <c r="BJ76" s="309"/>
      <c r="BK76" s="313"/>
      <c r="BL76" s="305"/>
      <c r="BM76" s="25">
        <f>+PL!W5</f>
        <v>35.220515816685051</v>
      </c>
      <c r="BN76" s="307"/>
      <c r="BO76" s="309"/>
      <c r="BP76" s="313"/>
      <c r="BQ76" s="305"/>
      <c r="BR76" s="25">
        <f>+PL!X5</f>
        <v>34.977176696166516</v>
      </c>
      <c r="BS76" s="307"/>
      <c r="BT76" s="309"/>
      <c r="BU76" s="313"/>
      <c r="BV76" s="305"/>
      <c r="BW76" s="25">
        <f>+PL!Y5</f>
        <v>37.679255544149747</v>
      </c>
      <c r="BX76" s="307"/>
      <c r="BY76" s="309"/>
      <c r="BZ76" s="313"/>
      <c r="CA76" s="305"/>
      <c r="CB76" s="25">
        <f>+PL!Z5</f>
        <v>39.554207210656429</v>
      </c>
      <c r="CC76" s="307"/>
      <c r="CD76" s="309"/>
      <c r="CE76" s="313"/>
      <c r="CF76" s="305"/>
      <c r="CG76" s="25">
        <f>+PL!AA5</f>
        <v>38.318938873626372</v>
      </c>
      <c r="CH76" s="307"/>
      <c r="CI76" s="309"/>
      <c r="CJ76" s="313"/>
      <c r="CK76" s="305"/>
      <c r="CL76" s="25">
        <f>+PL!AB5</f>
        <v>40.571305768073586</v>
      </c>
      <c r="CM76" s="307"/>
      <c r="CN76" s="309"/>
      <c r="CO76" s="313"/>
      <c r="CP76" s="305"/>
      <c r="CQ76" s="25">
        <f>+PL!AC5</f>
        <v>39.521201262690894</v>
      </c>
      <c r="CR76" s="307"/>
      <c r="CS76" s="309"/>
      <c r="CT76" s="313"/>
    </row>
    <row r="77" spans="1:98" ht="18" customHeight="1" x14ac:dyDescent="0.2">
      <c r="A77" s="324" t="s">
        <v>180</v>
      </c>
      <c r="B77" s="325"/>
      <c r="C77" s="326"/>
      <c r="D77" s="7"/>
      <c r="E77" s="7"/>
      <c r="F77" s="7"/>
      <c r="G77" s="7"/>
      <c r="H77" s="8"/>
      <c r="I77" s="7"/>
      <c r="J77" s="7"/>
      <c r="K77" s="7"/>
      <c r="L77" s="7"/>
      <c r="M77" s="8"/>
      <c r="N77" s="7"/>
      <c r="O77" s="7"/>
      <c r="P77" s="7"/>
      <c r="Q77" s="7"/>
      <c r="R77" s="8"/>
      <c r="S77" s="7"/>
      <c r="T77" s="18"/>
      <c r="U77" s="7"/>
      <c r="V77" s="7"/>
      <c r="W77" s="8"/>
      <c r="X77" s="7"/>
      <c r="Y77" s="18"/>
      <c r="Z77" s="7"/>
      <c r="AA77" s="7"/>
      <c r="AB77" s="8"/>
      <c r="AC77" s="7"/>
      <c r="AD77" s="18"/>
      <c r="AE77" s="7"/>
      <c r="AF77" s="7"/>
      <c r="AG77" s="8"/>
      <c r="AH77" s="7"/>
      <c r="AI77" s="7"/>
      <c r="AJ77" s="7"/>
      <c r="AK77" s="7"/>
      <c r="AL77" s="8"/>
      <c r="AM77" s="7"/>
      <c r="AN77" s="18"/>
      <c r="AO77" s="7"/>
      <c r="AP77" s="7"/>
      <c r="AQ77" s="8"/>
      <c r="AR77" s="7"/>
      <c r="AS77" s="18"/>
      <c r="AT77" s="7"/>
      <c r="AU77" s="7"/>
      <c r="AV77" s="8"/>
      <c r="AW77" s="7"/>
      <c r="AX77" s="18"/>
      <c r="AY77" s="7"/>
      <c r="AZ77" s="7"/>
      <c r="BA77" s="8"/>
      <c r="BB77" s="7"/>
      <c r="BC77" s="18"/>
      <c r="BD77" s="7"/>
      <c r="BE77" s="7"/>
      <c r="BF77" s="8"/>
      <c r="BG77" s="7"/>
      <c r="BH77" s="18"/>
      <c r="BI77" s="7"/>
      <c r="BJ77" s="7"/>
      <c r="BK77" s="8"/>
      <c r="BL77" s="7"/>
      <c r="BM77" s="18"/>
      <c r="BN77" s="7"/>
      <c r="BO77" s="7"/>
      <c r="BP77" s="8"/>
      <c r="BQ77" s="7"/>
      <c r="BR77" s="18"/>
      <c r="BS77" s="7"/>
      <c r="BT77" s="7"/>
      <c r="BU77" s="8"/>
      <c r="BV77" s="7"/>
      <c r="BW77" s="18"/>
      <c r="BX77" s="7"/>
      <c r="BY77" s="7"/>
      <c r="BZ77" s="8"/>
      <c r="CA77" s="7"/>
      <c r="CB77" s="18"/>
      <c r="CC77" s="7"/>
      <c r="CD77" s="7"/>
      <c r="CE77" s="8"/>
      <c r="CF77" s="7"/>
      <c r="CG77" s="18"/>
      <c r="CH77" s="7"/>
      <c r="CI77" s="7"/>
      <c r="CJ77" s="8"/>
      <c r="CK77" s="7"/>
      <c r="CL77" s="18"/>
      <c r="CM77" s="7"/>
      <c r="CN77" s="7"/>
      <c r="CO77" s="8"/>
      <c r="CP77" s="7"/>
      <c r="CQ77" s="18"/>
      <c r="CR77" s="7"/>
      <c r="CS77" s="7"/>
      <c r="CT77" s="8"/>
    </row>
    <row r="78" spans="1:98" ht="18" customHeight="1" x14ac:dyDescent="0.2">
      <c r="A78" s="20"/>
      <c r="B78" s="320" t="s">
        <v>181</v>
      </c>
      <c r="C78" s="322" t="s">
        <v>167</v>
      </c>
      <c r="D78" s="304"/>
      <c r="E78" s="24">
        <f>+BS!K33+BS!K34+BS!K38+BS!K39+BS!K40</f>
        <v>260591.07666131022</v>
      </c>
      <c r="F78" s="306" t="s">
        <v>168</v>
      </c>
      <c r="G78" s="308">
        <v>100</v>
      </c>
      <c r="H78" s="310">
        <f>IF(E79=0,"-",(E78/E79)*G78)</f>
        <v>35.447880373901</v>
      </c>
      <c r="I78" s="304"/>
      <c r="J78" s="24">
        <f>+BS!L33+BS!L34+BS!L38+BS!L39+BS!L40</f>
        <v>200565.18430842072</v>
      </c>
      <c r="K78" s="306" t="s">
        <v>111</v>
      </c>
      <c r="L78" s="308">
        <v>100</v>
      </c>
      <c r="M78" s="310">
        <f>IF(J79=0,"-",(J78/J79)*L78)</f>
        <v>33.539010783079995</v>
      </c>
      <c r="N78" s="304"/>
      <c r="O78" s="24">
        <f>+BS!M33+BS!M34+BS!M38+BS!M39+BS!M40</f>
        <v>239563.12268368731</v>
      </c>
      <c r="P78" s="306" t="s">
        <v>111</v>
      </c>
      <c r="Q78" s="308">
        <v>100</v>
      </c>
      <c r="R78" s="310">
        <f>IF(O79=0,"-",(O78/O79)*Q78)</f>
        <v>34.536738296540257</v>
      </c>
      <c r="S78" s="304"/>
      <c r="T78" s="24">
        <f>+BS!N33+BS!N34+BS!N38+BS!N39+BS!N40</f>
        <v>175186.95064432808</v>
      </c>
      <c r="U78" s="306" t="s">
        <v>111</v>
      </c>
      <c r="V78" s="308">
        <v>100</v>
      </c>
      <c r="W78" s="310">
        <f>IF(T79=0,"-",(T78/T79)*V78)</f>
        <v>30.649430918156927</v>
      </c>
      <c r="X78" s="304"/>
      <c r="Y78" s="24">
        <f>+BS!O33+BS!O34+BS!O38+BS!O39+BS!O40</f>
        <v>241031.01242685923</v>
      </c>
      <c r="Z78" s="306" t="s">
        <v>111</v>
      </c>
      <c r="AA78" s="308">
        <v>100</v>
      </c>
      <c r="AB78" s="310">
        <f>IF(Y79=0,"-",(Y78/Y79)*AA78)</f>
        <v>37.851822135920344</v>
      </c>
      <c r="AC78" s="304"/>
      <c r="AD78" s="24">
        <f>+BS!P33+BS!P34+BS!P38+BS!P39+BS!P40</f>
        <v>268480.8586631426</v>
      </c>
      <c r="AE78" s="306" t="s">
        <v>111</v>
      </c>
      <c r="AF78" s="308">
        <v>100</v>
      </c>
      <c r="AG78" s="310">
        <f>IF(AD79=0,"-",(AD78/AD79)*AF78)</f>
        <v>41.785369541215303</v>
      </c>
      <c r="AH78" s="304"/>
      <c r="AI78" s="24">
        <f>+BS!Q33+BS!Q34+BS!Q38+BS!Q39+BS!Q40</f>
        <v>228999.2889259434</v>
      </c>
      <c r="AJ78" s="306" t="s">
        <v>168</v>
      </c>
      <c r="AK78" s="308">
        <v>100</v>
      </c>
      <c r="AL78" s="310">
        <f>IF(AI79=0,"-",(AI78/AI79)*AK78)</f>
        <v>37.473895363646932</v>
      </c>
      <c r="AM78" s="304"/>
      <c r="AN78" s="24">
        <f>+BS!R33+BS!R34+BS!R38+BS!R39+BS!R40</f>
        <v>156984.90130966535</v>
      </c>
      <c r="AO78" s="306" t="s">
        <v>168</v>
      </c>
      <c r="AP78" s="308">
        <v>100</v>
      </c>
      <c r="AQ78" s="310">
        <f>IF(AN79=0,"-",(AN78/AN79)*AP78)</f>
        <v>34.817482388528404</v>
      </c>
      <c r="AR78" s="304"/>
      <c r="AS78" s="24">
        <f>+BS!S33+BS!S34+BS!S38+BS!S39+BS!S40</f>
        <v>169004.5396589681</v>
      </c>
      <c r="AT78" s="306" t="s">
        <v>111</v>
      </c>
      <c r="AU78" s="308">
        <v>100</v>
      </c>
      <c r="AV78" s="310">
        <f>IF(AS79=0,"-",(AS78/AS79)*AU78)</f>
        <v>36.249350413207502</v>
      </c>
      <c r="AW78" s="304"/>
      <c r="AX78" s="24">
        <f>+BS!T33+BS!T34+BS!T38+BS!T39+BS!T40</f>
        <v>152480.2004169242</v>
      </c>
      <c r="AY78" s="306" t="s">
        <v>111</v>
      </c>
      <c r="AZ78" s="308">
        <v>100</v>
      </c>
      <c r="BA78" s="310">
        <f>IF(AX79=0,"-",(AX78/AX79)*AZ78)</f>
        <v>42.072073668341815</v>
      </c>
      <c r="BB78" s="304"/>
      <c r="BC78" s="24">
        <f>+BS!U33+BS!U34+BS!U38+BS!U39+BS!U40</f>
        <v>188378.57470020265</v>
      </c>
      <c r="BD78" s="306" t="s">
        <v>111</v>
      </c>
      <c r="BE78" s="308">
        <v>100</v>
      </c>
      <c r="BF78" s="310">
        <f>IF(BC79=0,"-",(BC78/BC79)*BE78)</f>
        <v>32.622770423624821</v>
      </c>
      <c r="BG78" s="304"/>
      <c r="BH78" s="24">
        <f>+BS!V33+BS!V34+BS!V38+BS!V39+BS!V40</f>
        <v>190742.54577898976</v>
      </c>
      <c r="BI78" s="306" t="s">
        <v>111</v>
      </c>
      <c r="BJ78" s="308">
        <v>100</v>
      </c>
      <c r="BK78" s="310">
        <f>IF(BH79=0,"-",(BH78/BH79)*BJ78)</f>
        <v>31.484544994560697</v>
      </c>
      <c r="BL78" s="304"/>
      <c r="BM78" s="24">
        <f>+BS!W33+BS!W34+BS!W38+BS!W39+BS!W40</f>
        <v>193710.44784897027</v>
      </c>
      <c r="BN78" s="306" t="s">
        <v>111</v>
      </c>
      <c r="BO78" s="308">
        <v>100</v>
      </c>
      <c r="BP78" s="310">
        <f>IF(BM79=0,"-",(BM78/BM79)*BO78)</f>
        <v>32.473354729781725</v>
      </c>
      <c r="BQ78" s="304"/>
      <c r="BR78" s="24">
        <f>+BS!X33+BS!X34+BS!X38+BS!X39+BS!X40</f>
        <v>181863.4101061766</v>
      </c>
      <c r="BS78" s="306" t="s">
        <v>111</v>
      </c>
      <c r="BT78" s="308">
        <v>100</v>
      </c>
      <c r="BU78" s="310">
        <f>IF(BR79=0,"-",(BR78/BR79)*BT78)</f>
        <v>30.746748626562258</v>
      </c>
      <c r="BV78" s="304"/>
      <c r="BW78" s="24">
        <f>+BS!Y33+BS!Y34+BS!Y38+BS!Y39+BS!Y40</f>
        <v>199879.73152132216</v>
      </c>
      <c r="BX78" s="306" t="s">
        <v>111</v>
      </c>
      <c r="BY78" s="308">
        <v>100</v>
      </c>
      <c r="BZ78" s="310">
        <f>IF(BW79=0,"-",(BW78/BW79)*BY78)</f>
        <v>29.237594891731039</v>
      </c>
      <c r="CA78" s="304"/>
      <c r="CB78" s="24">
        <f>+BS!Z33+BS!Z34+BS!Z38+BS!Z39+BS!Z40</f>
        <v>223632.82679340313</v>
      </c>
      <c r="CC78" s="306" t="s">
        <v>111</v>
      </c>
      <c r="CD78" s="308">
        <v>100</v>
      </c>
      <c r="CE78" s="310">
        <f>IF(CB79=0,"-",(CB78/CB79)*CD78)</f>
        <v>30.593940324830697</v>
      </c>
      <c r="CF78" s="304"/>
      <c r="CG78" s="24">
        <f>+BS!AA33+BS!AA34+BS!AA38+BS!AA39+BS!AA40</f>
        <v>279761.6334134615</v>
      </c>
      <c r="CH78" s="306" t="s">
        <v>168</v>
      </c>
      <c r="CI78" s="308">
        <v>100</v>
      </c>
      <c r="CJ78" s="310">
        <f>IF(CG79=0,"-",(CG78/CG79)*CI78)</f>
        <v>28.455020026099731</v>
      </c>
      <c r="CK78" s="304"/>
      <c r="CL78" s="24">
        <f>+BS!AB33+BS!AB34+BS!AB38+BS!AB39+BS!AB40</f>
        <v>285613.33688644378</v>
      </c>
      <c r="CM78" s="306" t="s">
        <v>111</v>
      </c>
      <c r="CN78" s="308">
        <v>100</v>
      </c>
      <c r="CO78" s="310">
        <f>IF(CL79=0,"-",(CL78/CL79)*CN78)</f>
        <v>32.85709467861863</v>
      </c>
      <c r="CP78" s="304"/>
      <c r="CQ78" s="24">
        <f>+BS!AC33+BS!AC34+BS!AC38+BS!AC39+BS!AC40</f>
        <v>260414.83312004092</v>
      </c>
      <c r="CR78" s="306" t="s">
        <v>111</v>
      </c>
      <c r="CS78" s="308">
        <v>100</v>
      </c>
      <c r="CT78" s="310">
        <f>IF(CQ79=0,"-",(CQ78/CQ79)*CS78)</f>
        <v>33.036101539244171</v>
      </c>
    </row>
    <row r="79" spans="1:98" ht="18" customHeight="1" x14ac:dyDescent="0.2">
      <c r="A79" s="22"/>
      <c r="B79" s="321"/>
      <c r="C79" s="323"/>
      <c r="D79" s="305"/>
      <c r="E79" s="25">
        <f>+E7</f>
        <v>735138.67095188599</v>
      </c>
      <c r="F79" s="307"/>
      <c r="G79" s="309"/>
      <c r="H79" s="311"/>
      <c r="I79" s="305"/>
      <c r="J79" s="25">
        <f>+J7</f>
        <v>598005.66452485626</v>
      </c>
      <c r="K79" s="307"/>
      <c r="L79" s="309"/>
      <c r="M79" s="311"/>
      <c r="N79" s="305"/>
      <c r="O79" s="25">
        <f>+O7</f>
        <v>693647.21308290353</v>
      </c>
      <c r="P79" s="307"/>
      <c r="Q79" s="309"/>
      <c r="R79" s="311"/>
      <c r="S79" s="305"/>
      <c r="T79" s="25">
        <f>+T7</f>
        <v>571583.04541486991</v>
      </c>
      <c r="U79" s="307"/>
      <c r="V79" s="309"/>
      <c r="W79" s="311"/>
      <c r="X79" s="305"/>
      <c r="Y79" s="25">
        <f>+Y7</f>
        <v>636775.19027050328</v>
      </c>
      <c r="Z79" s="307"/>
      <c r="AA79" s="309"/>
      <c r="AB79" s="311"/>
      <c r="AC79" s="305"/>
      <c r="AD79" s="25">
        <f>+AD7</f>
        <v>642523.595246237</v>
      </c>
      <c r="AE79" s="307"/>
      <c r="AF79" s="309"/>
      <c r="AG79" s="311"/>
      <c r="AH79" s="305"/>
      <c r="AI79" s="25">
        <f>+AI7</f>
        <v>611090.16477666062</v>
      </c>
      <c r="AJ79" s="307"/>
      <c r="AK79" s="309"/>
      <c r="AL79" s="311"/>
      <c r="AM79" s="305"/>
      <c r="AN79" s="25">
        <f>+AN7</f>
        <v>450879.5310294705</v>
      </c>
      <c r="AO79" s="307"/>
      <c r="AP79" s="309"/>
      <c r="AQ79" s="311"/>
      <c r="AR79" s="305"/>
      <c r="AS79" s="25">
        <f>+AS7</f>
        <v>466227.77438072674</v>
      </c>
      <c r="AT79" s="307"/>
      <c r="AU79" s="309"/>
      <c r="AV79" s="311"/>
      <c r="AW79" s="305"/>
      <c r="AX79" s="25">
        <f>+AX7</f>
        <v>362426.15854626091</v>
      </c>
      <c r="AY79" s="307"/>
      <c r="AZ79" s="309"/>
      <c r="BA79" s="311"/>
      <c r="BB79" s="305"/>
      <c r="BC79" s="25">
        <f>+BC7</f>
        <v>577445.05526048853</v>
      </c>
      <c r="BD79" s="307"/>
      <c r="BE79" s="309"/>
      <c r="BF79" s="311"/>
      <c r="BG79" s="305"/>
      <c r="BH79" s="25">
        <f>+BH7</f>
        <v>605829.1323947754</v>
      </c>
      <c r="BI79" s="307"/>
      <c r="BJ79" s="309"/>
      <c r="BK79" s="311"/>
      <c r="BL79" s="305"/>
      <c r="BM79" s="25">
        <f>+BM7</f>
        <v>596521.20780522865</v>
      </c>
      <c r="BN79" s="307"/>
      <c r="BO79" s="309"/>
      <c r="BP79" s="311"/>
      <c r="BQ79" s="305"/>
      <c r="BR79" s="25">
        <f>+BR7</f>
        <v>591488.26536105329</v>
      </c>
      <c r="BS79" s="307"/>
      <c r="BT79" s="309"/>
      <c r="BU79" s="311"/>
      <c r="BV79" s="305"/>
      <c r="BW79" s="25">
        <f>+BW7</f>
        <v>683639.44524674991</v>
      </c>
      <c r="BX79" s="307"/>
      <c r="BY79" s="309"/>
      <c r="BZ79" s="311"/>
      <c r="CA79" s="305"/>
      <c r="CB79" s="25">
        <f>+CB7</f>
        <v>730970.98451191629</v>
      </c>
      <c r="CC79" s="307"/>
      <c r="CD79" s="309"/>
      <c r="CE79" s="311"/>
      <c r="CF79" s="305"/>
      <c r="CG79" s="25">
        <f>+CG7</f>
        <v>983171.45149381866</v>
      </c>
      <c r="CH79" s="307"/>
      <c r="CI79" s="309"/>
      <c r="CJ79" s="311"/>
      <c r="CK79" s="305"/>
      <c r="CL79" s="25">
        <f>+CL7</f>
        <v>869259.25642568548</v>
      </c>
      <c r="CM79" s="307"/>
      <c r="CN79" s="309"/>
      <c r="CO79" s="311"/>
      <c r="CP79" s="305"/>
      <c r="CQ79" s="25">
        <f>+CQ7</f>
        <v>788273.49773910071</v>
      </c>
      <c r="CR79" s="307"/>
      <c r="CS79" s="309"/>
      <c r="CT79" s="311"/>
    </row>
    <row r="80" spans="1:98" ht="18" customHeight="1" x14ac:dyDescent="0.2">
      <c r="A80" s="20"/>
      <c r="B80" s="320" t="s">
        <v>573</v>
      </c>
      <c r="C80" s="322" t="s">
        <v>441</v>
      </c>
      <c r="D80" s="304"/>
      <c r="E80" s="24">
        <f>E78-BS!K10</f>
        <v>150645.05151715624</v>
      </c>
      <c r="F80" s="306"/>
      <c r="G80" s="308">
        <v>1</v>
      </c>
      <c r="H80" s="310">
        <f>IF(E81=0,"-",(E80/E81)*G80)</f>
        <v>4.4835968210366248</v>
      </c>
      <c r="I80" s="304"/>
      <c r="J80" s="24">
        <f>J78-BS!L10</f>
        <v>134550.72708826518</v>
      </c>
      <c r="K80" s="306" t="s">
        <v>111</v>
      </c>
      <c r="L80" s="308">
        <v>1</v>
      </c>
      <c r="M80" s="310">
        <f>IF(J81=0,"-",(J80/J81)*L80)</f>
        <v>3.9883766972578245</v>
      </c>
      <c r="N80" s="304"/>
      <c r="O80" s="24">
        <f>O78-BS!M10</f>
        <v>154849.77780850578</v>
      </c>
      <c r="P80" s="306" t="s">
        <v>111</v>
      </c>
      <c r="Q80" s="308">
        <v>1</v>
      </c>
      <c r="R80" s="310">
        <f>IF(O81=0,"-",(O80/O81)*Q80)</f>
        <v>4.744186280599668</v>
      </c>
      <c r="S80" s="304"/>
      <c r="T80" s="24">
        <f>T78-BS!N9</f>
        <v>-166649.74358799285</v>
      </c>
      <c r="U80" s="306" t="s">
        <v>111</v>
      </c>
      <c r="V80" s="308">
        <v>1</v>
      </c>
      <c r="W80" s="310">
        <f>IF(T81=0,"-",(T80/T81)*V80)</f>
        <v>-9.3680556686117189</v>
      </c>
      <c r="X80" s="304"/>
      <c r="Y80" s="24">
        <f>Y78-BS!O10</f>
        <v>119143.40476648924</v>
      </c>
      <c r="Z80" s="306" t="s">
        <v>111</v>
      </c>
      <c r="AA80" s="308">
        <v>1</v>
      </c>
      <c r="AB80" s="310">
        <f>IF(Y81=0,"-",(Y80/Y81)*AA80)</f>
        <v>4.914831531309531</v>
      </c>
      <c r="AC80" s="304"/>
      <c r="AD80" s="24">
        <f>AD78-BS!P10</f>
        <v>160963.27425003352</v>
      </c>
      <c r="AE80" s="306" t="s">
        <v>111</v>
      </c>
      <c r="AF80" s="308">
        <v>1</v>
      </c>
      <c r="AG80" s="310">
        <f>IF(AD81=0,"-",(AD80/AD81)*AF80)</f>
        <v>4.203164826055624</v>
      </c>
      <c r="AH80" s="304"/>
      <c r="AI80" s="24">
        <f>AI78-BS!Q10</f>
        <v>108665.14133823458</v>
      </c>
      <c r="AJ80" s="306" t="s">
        <v>111</v>
      </c>
      <c r="AK80" s="308">
        <v>1</v>
      </c>
      <c r="AL80" s="310">
        <f>IF(AI81=0,"-",(AI80/AI81)*AK80)</f>
        <v>4.1151546696254107</v>
      </c>
      <c r="AM80" s="304"/>
      <c r="AN80" s="24">
        <f>AN78-BS!R10</f>
        <v>69069.526289723508</v>
      </c>
      <c r="AO80" s="306" t="s">
        <v>111</v>
      </c>
      <c r="AP80" s="308">
        <v>1</v>
      </c>
      <c r="AQ80" s="310">
        <f>IF(AN81=0,"-",(AN80/AN81)*AP80)</f>
        <v>1.93335498453444</v>
      </c>
      <c r="AR80" s="304"/>
      <c r="AS80" s="24">
        <f>AS78-BS!S10</f>
        <v>85390.461423207773</v>
      </c>
      <c r="AT80" s="306" t="s">
        <v>111</v>
      </c>
      <c r="AU80" s="308">
        <v>1</v>
      </c>
      <c r="AV80" s="310">
        <f>IF(AS81=0,"-",(AS80/AS81)*AU80)</f>
        <v>2.6504090095953101</v>
      </c>
      <c r="AW80" s="304"/>
      <c r="AX80" s="24">
        <f>AX78-BS!T10</f>
        <v>80811.983739095143</v>
      </c>
      <c r="AY80" s="306" t="s">
        <v>111</v>
      </c>
      <c r="AZ80" s="308">
        <v>1</v>
      </c>
      <c r="BA80" s="310">
        <f>IF(AX81=0,"-",(AX80/AX81)*AZ80)</f>
        <v>3.21596146684004</v>
      </c>
      <c r="BB80" s="304"/>
      <c r="BC80" s="24">
        <f>BC78-BS!U10</f>
        <v>100674.49873258555</v>
      </c>
      <c r="BD80" s="306" t="s">
        <v>111</v>
      </c>
      <c r="BE80" s="308">
        <v>1</v>
      </c>
      <c r="BF80" s="310">
        <f>IF(BC81=0,"-",(BC80/BC81)*BE80)</f>
        <v>1.9965192492354826</v>
      </c>
      <c r="BG80" s="304"/>
      <c r="BH80" s="24">
        <f>BH78-BS!V10</f>
        <v>67950.567704355461</v>
      </c>
      <c r="BI80" s="306" t="s">
        <v>111</v>
      </c>
      <c r="BJ80" s="308">
        <v>1</v>
      </c>
      <c r="BK80" s="310">
        <f>IF(BH81=0,"-",(BH80/BH81)*BJ80)</f>
        <v>1.3076896311359203</v>
      </c>
      <c r="BL80" s="304"/>
      <c r="BM80" s="24">
        <f>BM78-BS!W10</f>
        <v>106288.29475183983</v>
      </c>
      <c r="BN80" s="306" t="s">
        <v>111</v>
      </c>
      <c r="BO80" s="308">
        <v>1</v>
      </c>
      <c r="BP80" s="310">
        <f>IF(BM81=0,"-",(BM80/BM81)*BO80)</f>
        <v>2.2196270805269016</v>
      </c>
      <c r="BQ80" s="304"/>
      <c r="BR80" s="24">
        <f>BR78-BS!X10</f>
        <v>28363.499950033991</v>
      </c>
      <c r="BS80" s="306" t="s">
        <v>111</v>
      </c>
      <c r="BT80" s="308">
        <v>1</v>
      </c>
      <c r="BU80" s="310">
        <f>IF(BR81=0,"-",(BR80/BR81)*BT80)</f>
        <v>0.54225972254415988</v>
      </c>
      <c r="BV80" s="304"/>
      <c r="BW80" s="24">
        <f>BW78-BS!Y10</f>
        <v>38298.482439761225</v>
      </c>
      <c r="BX80" s="306" t="s">
        <v>111</v>
      </c>
      <c r="BY80" s="308">
        <v>1</v>
      </c>
      <c r="BZ80" s="310">
        <f>IF(BW81=0,"-",(BW80/BW81)*BY80)</f>
        <v>0.66933909393532443</v>
      </c>
      <c r="CA80" s="304"/>
      <c r="CB80" s="24">
        <f>CB78-BS!Z10</f>
        <v>80358.70115354142</v>
      </c>
      <c r="CC80" s="306" t="s">
        <v>111</v>
      </c>
      <c r="CD80" s="308">
        <v>1</v>
      </c>
      <c r="CE80" s="310">
        <f>IF(CB81=0,"-",(CB80/CB81)*CD80)</f>
        <v>1.4388789778108446</v>
      </c>
      <c r="CF80" s="304"/>
      <c r="CG80" s="24">
        <f>CG78-BS!AA10</f>
        <v>109653.6305803571</v>
      </c>
      <c r="CH80" s="306" t="s">
        <v>111</v>
      </c>
      <c r="CI80" s="308">
        <v>1</v>
      </c>
      <c r="CJ80" s="310">
        <f>IF(CG81=0,"-",(CG80/CG81)*CI80)</f>
        <v>2.4421024768402244</v>
      </c>
      <c r="CK80" s="304"/>
      <c r="CL80" s="24">
        <f>CL78-BS!AB10</f>
        <v>101034.73463423026</v>
      </c>
      <c r="CM80" s="306" t="s">
        <v>111</v>
      </c>
      <c r="CN80" s="308">
        <v>1</v>
      </c>
      <c r="CO80" s="310">
        <f>IF(CL81=0,"-",(CL80/CL81)*CN80)</f>
        <v>2.5193331403241639</v>
      </c>
      <c r="CP80" s="304"/>
      <c r="CQ80" s="24">
        <f>CQ78-BS!AC10</f>
        <v>79374.936097602564</v>
      </c>
      <c r="CR80" s="306" t="s">
        <v>111</v>
      </c>
      <c r="CS80" s="308">
        <v>1</v>
      </c>
      <c r="CT80" s="310">
        <f>IF(CQ81=0,"-",(CQ80/CQ81)*CS80)</f>
        <v>1.6384925090064644</v>
      </c>
    </row>
    <row r="81" spans="1:98" ht="18" customHeight="1" x14ac:dyDescent="0.2">
      <c r="A81" s="22"/>
      <c r="B81" s="321"/>
      <c r="C81" s="323"/>
      <c r="D81" s="305"/>
      <c r="E81" s="25">
        <f>PL!K28+PL!K13+PL!K24</f>
        <v>33599.152093770674</v>
      </c>
      <c r="F81" s="307"/>
      <c r="G81" s="309"/>
      <c r="H81" s="311"/>
      <c r="I81" s="305"/>
      <c r="J81" s="25">
        <f>PL!L28+PL!L13+PL!L24</f>
        <v>33735.71187013865</v>
      </c>
      <c r="K81" s="307"/>
      <c r="L81" s="309"/>
      <c r="M81" s="311"/>
      <c r="N81" s="305"/>
      <c r="O81" s="25">
        <f>PL!M28+PL!M13+PL!M24</f>
        <v>32639.902535389629</v>
      </c>
      <c r="P81" s="307"/>
      <c r="Q81" s="309"/>
      <c r="R81" s="311"/>
      <c r="S81" s="305"/>
      <c r="T81" s="25">
        <f>PL!N28+PL!N13+PL!N24</f>
        <v>17789.149582699822</v>
      </c>
      <c r="U81" s="307"/>
      <c r="V81" s="309"/>
      <c r="W81" s="311"/>
      <c r="X81" s="305"/>
      <c r="Y81" s="25">
        <f>PL!O28+PL!O13+PL!O24</f>
        <v>24241.605029083086</v>
      </c>
      <c r="Z81" s="307"/>
      <c r="AA81" s="309"/>
      <c r="AB81" s="311"/>
      <c r="AC81" s="305"/>
      <c r="AD81" s="25">
        <f>PL!P28+PL!P13+PL!P24</f>
        <v>38295.732123616544</v>
      </c>
      <c r="AE81" s="307"/>
      <c r="AF81" s="309"/>
      <c r="AG81" s="311"/>
      <c r="AH81" s="305"/>
      <c r="AI81" s="25">
        <f>PL!Q28+PL!Q13+PL!Q24</f>
        <v>26406.089214655454</v>
      </c>
      <c r="AJ81" s="307"/>
      <c r="AK81" s="309"/>
      <c r="AL81" s="311"/>
      <c r="AM81" s="305"/>
      <c r="AN81" s="25">
        <f>PL!R28+PL!R13+PL!R24</f>
        <v>35725.2169633792</v>
      </c>
      <c r="AO81" s="307"/>
      <c r="AP81" s="309"/>
      <c r="AQ81" s="311"/>
      <c r="AR81" s="305"/>
      <c r="AS81" s="25">
        <f>PL!S28+PL!S13+PL!S24</f>
        <v>32217.843025007682</v>
      </c>
      <c r="AT81" s="307"/>
      <c r="AU81" s="309"/>
      <c r="AV81" s="311"/>
      <c r="AW81" s="305"/>
      <c r="AX81" s="25">
        <f>PL!T28+PL!T13+PL!T24</f>
        <v>25128.40547760042</v>
      </c>
      <c r="AY81" s="307"/>
      <c r="AZ81" s="309"/>
      <c r="BA81" s="311"/>
      <c r="BB81" s="305"/>
      <c r="BC81" s="25">
        <f>PL!U28+PL!U13+PL!U24</f>
        <v>50425.007808532944</v>
      </c>
      <c r="BD81" s="307"/>
      <c r="BE81" s="309"/>
      <c r="BF81" s="311"/>
      <c r="BG81" s="305"/>
      <c r="BH81" s="25">
        <f>PL!V28+PL!W13+PL!W24</f>
        <v>51962.305188067003</v>
      </c>
      <c r="BI81" s="307"/>
      <c r="BJ81" s="309"/>
      <c r="BK81" s="311"/>
      <c r="BL81" s="305"/>
      <c r="BM81" s="25">
        <f>PL!W28+PL!W13+PL!W24</f>
        <v>47885.654164306194</v>
      </c>
      <c r="BN81" s="307"/>
      <c r="BO81" s="309"/>
      <c r="BP81" s="311"/>
      <c r="BQ81" s="305"/>
      <c r="BR81" s="25">
        <f>PL!X28+PL!X13+PL!X24</f>
        <v>52306.116000942995</v>
      </c>
      <c r="BS81" s="307"/>
      <c r="BT81" s="309"/>
      <c r="BU81" s="311"/>
      <c r="BV81" s="305"/>
      <c r="BW81" s="25">
        <f>PL!Y28+PL!Y13+PL!Y24</f>
        <v>57218.355818107724</v>
      </c>
      <c r="BX81" s="307"/>
      <c r="BY81" s="309"/>
      <c r="BZ81" s="311"/>
      <c r="CA81" s="305"/>
      <c r="CB81" s="25">
        <f>PL!Z28+PL!Z13+PL!Z24</f>
        <v>55848.130657799768</v>
      </c>
      <c r="CC81" s="307"/>
      <c r="CD81" s="309"/>
      <c r="CE81" s="311"/>
      <c r="CF81" s="305"/>
      <c r="CG81" s="25">
        <f>PL!AA28+PL!AA13+PL!AA24</f>
        <v>44901.322372939569</v>
      </c>
      <c r="CH81" s="307"/>
      <c r="CI81" s="309"/>
      <c r="CJ81" s="311"/>
      <c r="CK81" s="305"/>
      <c r="CL81" s="25">
        <f>PL!AB28+PL!AB13+PL!AB24</f>
        <v>40103.761196595886</v>
      </c>
      <c r="CM81" s="307"/>
      <c r="CN81" s="309"/>
      <c r="CO81" s="311"/>
      <c r="CP81" s="305"/>
      <c r="CQ81" s="25">
        <f>PL!AC28+PL!AC13+PL!AC24</f>
        <v>48443.880982851297</v>
      </c>
      <c r="CR81" s="307"/>
      <c r="CS81" s="309"/>
      <c r="CT81" s="311"/>
    </row>
    <row r="82" spans="1:98" x14ac:dyDescent="0.2">
      <c r="B82" s="76" t="s">
        <v>582</v>
      </c>
    </row>
  </sheetData>
  <sheetProtection algorithmName="SHA-512" hashValue="3lTcxiQUBOdSRpIi2tgHONPP3FgQQgg50X8owu810Tn+9uOQ/CjaDJu21SiTXC1dYxoVE1Zfg3dTaKN3k7OwHA==" saltValue="a1uwMoVcOJVAyffpgI9UbQ==" spinCount="100000" sheet="1" objects="1" scenarios="1"/>
  <mergeCells count="2611">
    <mergeCell ref="CF3:CJ3"/>
    <mergeCell ref="CP3:CT3"/>
    <mergeCell ref="CP73:CP74"/>
    <mergeCell ref="CR73:CR74"/>
    <mergeCell ref="CS73:CS74"/>
    <mergeCell ref="CT73:CT74"/>
    <mergeCell ref="CP75:CP76"/>
    <mergeCell ref="CR75:CR76"/>
    <mergeCell ref="CS75:CS76"/>
    <mergeCell ref="CT75:CT76"/>
    <mergeCell ref="CP78:CP79"/>
    <mergeCell ref="CR78:CR79"/>
    <mergeCell ref="CS78:CS79"/>
    <mergeCell ref="CT78:CT79"/>
    <mergeCell ref="CP80:CP81"/>
    <mergeCell ref="CR80:CR81"/>
    <mergeCell ref="CS80:CS81"/>
    <mergeCell ref="CT80:CT81"/>
    <mergeCell ref="CR62:CR63"/>
    <mergeCell ref="CS62:CS63"/>
    <mergeCell ref="CT62:CT63"/>
    <mergeCell ref="CP64:CP65"/>
    <mergeCell ref="CR64:CR65"/>
    <mergeCell ref="CS64:CS65"/>
    <mergeCell ref="CT64:CT65"/>
    <mergeCell ref="CP66:CP67"/>
    <mergeCell ref="CR66:CR67"/>
    <mergeCell ref="CS66:CS67"/>
    <mergeCell ref="CT66:CT67"/>
    <mergeCell ref="CP69:CP70"/>
    <mergeCell ref="CR69:CR70"/>
    <mergeCell ref="CS69:CS70"/>
    <mergeCell ref="D3:H3"/>
    <mergeCell ref="I3:M3"/>
    <mergeCell ref="N3:R3"/>
    <mergeCell ref="S3:W3"/>
    <mergeCell ref="X3:AB3"/>
    <mergeCell ref="AC3:AG3"/>
    <mergeCell ref="AH3:AL3"/>
    <mergeCell ref="AM3:AQ3"/>
    <mergeCell ref="AR3:AV3"/>
    <mergeCell ref="AW3:BA3"/>
    <mergeCell ref="BB3:BF3"/>
    <mergeCell ref="BG3:BK3"/>
    <mergeCell ref="BL3:BP3"/>
    <mergeCell ref="BQ3:BU3"/>
    <mergeCell ref="BV3:BZ3"/>
    <mergeCell ref="CA3:CE3"/>
    <mergeCell ref="CP62:CP63"/>
    <mergeCell ref="CP38:CP39"/>
    <mergeCell ref="CP27:CP28"/>
    <mergeCell ref="CP15:CP16"/>
    <mergeCell ref="CP4:CT4"/>
    <mergeCell ref="CP6:CP7"/>
    <mergeCell ref="CR6:CR7"/>
    <mergeCell ref="CS6:CS7"/>
    <mergeCell ref="CT6:CT7"/>
    <mergeCell ref="CP8:CP9"/>
    <mergeCell ref="CR8:CR9"/>
    <mergeCell ref="CS8:CS9"/>
    <mergeCell ref="CT8:CT9"/>
    <mergeCell ref="CP11:CP12"/>
    <mergeCell ref="CR11:CR12"/>
    <mergeCell ref="CS11:CS12"/>
    <mergeCell ref="CT69:CT70"/>
    <mergeCell ref="CP71:CP72"/>
    <mergeCell ref="CR71:CR72"/>
    <mergeCell ref="CS71:CS72"/>
    <mergeCell ref="CT71:CT72"/>
    <mergeCell ref="CP50:CP51"/>
    <mergeCell ref="CR50:CR51"/>
    <mergeCell ref="CS50:CS51"/>
    <mergeCell ref="CT50:CT51"/>
    <mergeCell ref="CP53:CP54"/>
    <mergeCell ref="CR53:CR54"/>
    <mergeCell ref="CS53:CS54"/>
    <mergeCell ref="CT53:CT54"/>
    <mergeCell ref="CP55:CP56"/>
    <mergeCell ref="CR55:CR56"/>
    <mergeCell ref="CS55:CS56"/>
    <mergeCell ref="CT55:CT56"/>
    <mergeCell ref="CP58:CP59"/>
    <mergeCell ref="CR58:CR59"/>
    <mergeCell ref="CS58:CS59"/>
    <mergeCell ref="CT58:CT59"/>
    <mergeCell ref="CP60:CP61"/>
    <mergeCell ref="CR60:CR61"/>
    <mergeCell ref="CS60:CS61"/>
    <mergeCell ref="CT60:CT61"/>
    <mergeCell ref="CR38:CR39"/>
    <mergeCell ref="CS38:CS39"/>
    <mergeCell ref="CT38:CT39"/>
    <mergeCell ref="CP40:CP41"/>
    <mergeCell ref="CR40:CR41"/>
    <mergeCell ref="CS40:CS41"/>
    <mergeCell ref="CT40:CT41"/>
    <mergeCell ref="CP43:CP44"/>
    <mergeCell ref="CR43:CR44"/>
    <mergeCell ref="CS43:CS44"/>
    <mergeCell ref="CT43:CT44"/>
    <mergeCell ref="CP45:CP46"/>
    <mergeCell ref="CR45:CR46"/>
    <mergeCell ref="CS45:CS46"/>
    <mergeCell ref="CT45:CT46"/>
    <mergeCell ref="CP48:CP49"/>
    <mergeCell ref="CR48:CR49"/>
    <mergeCell ref="CS48:CS49"/>
    <mergeCell ref="CT48:CT49"/>
    <mergeCell ref="CR27:CR28"/>
    <mergeCell ref="CS27:CS28"/>
    <mergeCell ref="CT27:CT28"/>
    <mergeCell ref="CP29:CP30"/>
    <mergeCell ref="CR29:CR30"/>
    <mergeCell ref="CS29:CS30"/>
    <mergeCell ref="CT29:CT30"/>
    <mergeCell ref="CP31:CP32"/>
    <mergeCell ref="CR31:CR32"/>
    <mergeCell ref="CS31:CS32"/>
    <mergeCell ref="CT31:CT32"/>
    <mergeCell ref="CP33:CP34"/>
    <mergeCell ref="CR33:CR34"/>
    <mergeCell ref="CS33:CS34"/>
    <mergeCell ref="CT33:CT34"/>
    <mergeCell ref="CP35:CP36"/>
    <mergeCell ref="CR35:CR36"/>
    <mergeCell ref="CS35:CS36"/>
    <mergeCell ref="CT35:CT36"/>
    <mergeCell ref="CR15:CR16"/>
    <mergeCell ref="CS15:CS16"/>
    <mergeCell ref="CT15:CT16"/>
    <mergeCell ref="CP17:CP18"/>
    <mergeCell ref="CR17:CR18"/>
    <mergeCell ref="CS17:CS18"/>
    <mergeCell ref="CT17:CT18"/>
    <mergeCell ref="CP19:CP20"/>
    <mergeCell ref="CR19:CR20"/>
    <mergeCell ref="CS19:CS20"/>
    <mergeCell ref="CT19:CT20"/>
    <mergeCell ref="CP22:CP23"/>
    <mergeCell ref="CR22:CR23"/>
    <mergeCell ref="CS22:CS23"/>
    <mergeCell ref="CT22:CT23"/>
    <mergeCell ref="CP24:CP25"/>
    <mergeCell ref="CR24:CR25"/>
    <mergeCell ref="CS24:CS25"/>
    <mergeCell ref="CT24:CT25"/>
    <mergeCell ref="CT11:CT12"/>
    <mergeCell ref="CP13:CP14"/>
    <mergeCell ref="CR13:CR14"/>
    <mergeCell ref="CS13:CS14"/>
    <mergeCell ref="CT13:CT14"/>
    <mergeCell ref="X80:X81"/>
    <mergeCell ref="Z80:Z81"/>
    <mergeCell ref="AA80:AA81"/>
    <mergeCell ref="AB80:AB81"/>
    <mergeCell ref="AC80:AC81"/>
    <mergeCell ref="AE80:AE81"/>
    <mergeCell ref="BT80:BT81"/>
    <mergeCell ref="BU80:BU81"/>
    <mergeCell ref="AF80:AF81"/>
    <mergeCell ref="AG80:AG81"/>
    <mergeCell ref="AH80:AH81"/>
    <mergeCell ref="AJ80:AJ81"/>
    <mergeCell ref="CA80:CA81"/>
    <mergeCell ref="CC80:CC81"/>
    <mergeCell ref="CD80:CD81"/>
    <mergeCell ref="CE80:CE81"/>
    <mergeCell ref="CF80:CF81"/>
    <mergeCell ref="AT80:AT81"/>
    <mergeCell ref="AU80:AU81"/>
    <mergeCell ref="AV80:AV81"/>
    <mergeCell ref="AW80:AW81"/>
    <mergeCell ref="AY80:AY81"/>
    <mergeCell ref="AZ80:AZ81"/>
    <mergeCell ref="BA80:BA81"/>
    <mergeCell ref="BB80:BB81"/>
    <mergeCell ref="BD80:BD81"/>
    <mergeCell ref="BE80:BE81"/>
    <mergeCell ref="BF80:BF81"/>
    <mergeCell ref="BG80:BG81"/>
    <mergeCell ref="BI80:BI81"/>
    <mergeCell ref="BJ80:BJ81"/>
    <mergeCell ref="BK80:BK81"/>
    <mergeCell ref="CH80:CH81"/>
    <mergeCell ref="CI80:CI81"/>
    <mergeCell ref="CJ80:CJ81"/>
    <mergeCell ref="B80:B81"/>
    <mergeCell ref="C80:C81"/>
    <mergeCell ref="D80:D81"/>
    <mergeCell ref="F80:F81"/>
    <mergeCell ref="G80:G81"/>
    <mergeCell ref="H80:H81"/>
    <mergeCell ref="I80:I81"/>
    <mergeCell ref="K80:K81"/>
    <mergeCell ref="L80:L81"/>
    <mergeCell ref="M80:M81"/>
    <mergeCell ref="N80:N81"/>
    <mergeCell ref="P80:P81"/>
    <mergeCell ref="Q80:Q81"/>
    <mergeCell ref="R80:R81"/>
    <mergeCell ref="S80:S81"/>
    <mergeCell ref="U80:U81"/>
    <mergeCell ref="V80:V81"/>
    <mergeCell ref="W80:W81"/>
    <mergeCell ref="BV80:BV81"/>
    <mergeCell ref="BX80:BX81"/>
    <mergeCell ref="BY80:BY81"/>
    <mergeCell ref="BZ80:BZ81"/>
    <mergeCell ref="AK80:AK81"/>
    <mergeCell ref="AL80:AL81"/>
    <mergeCell ref="AM80:AM81"/>
    <mergeCell ref="AO80:AO81"/>
    <mergeCell ref="AP80:AP81"/>
    <mergeCell ref="AQ80:AQ81"/>
    <mergeCell ref="AR80:AR81"/>
    <mergeCell ref="BL80:BL81"/>
    <mergeCell ref="BN80:BN81"/>
    <mergeCell ref="BO80:BO81"/>
    <mergeCell ref="BP80:BP81"/>
    <mergeCell ref="BQ80:BQ81"/>
    <mergeCell ref="BS80:BS81"/>
    <mergeCell ref="CA78:CA79"/>
    <mergeCell ref="CC78:CC79"/>
    <mergeCell ref="CD78:CD79"/>
    <mergeCell ref="CE78:CE79"/>
    <mergeCell ref="CA62:CA63"/>
    <mergeCell ref="CC62:CC63"/>
    <mergeCell ref="CD62:CD63"/>
    <mergeCell ref="CE62:CE63"/>
    <mergeCell ref="CA64:CA65"/>
    <mergeCell ref="CC64:CC65"/>
    <mergeCell ref="CD64:CD65"/>
    <mergeCell ref="CE64:CE65"/>
    <mergeCell ref="CA66:CA67"/>
    <mergeCell ref="CC66:CC67"/>
    <mergeCell ref="CD66:CD67"/>
    <mergeCell ref="CE66:CE67"/>
    <mergeCell ref="CA69:CA70"/>
    <mergeCell ref="CC69:CC70"/>
    <mergeCell ref="CD69:CD70"/>
    <mergeCell ref="CE69:CE70"/>
    <mergeCell ref="CA71:CA72"/>
    <mergeCell ref="CC71:CC72"/>
    <mergeCell ref="CD71:CD72"/>
    <mergeCell ref="CE71:CE72"/>
    <mergeCell ref="BV78:BV79"/>
    <mergeCell ref="BX78:BX79"/>
    <mergeCell ref="CA50:CA51"/>
    <mergeCell ref="CC50:CC51"/>
    <mergeCell ref="CD50:CD51"/>
    <mergeCell ref="CE50:CE51"/>
    <mergeCell ref="CA53:CA54"/>
    <mergeCell ref="CC53:CC54"/>
    <mergeCell ref="CD53:CD54"/>
    <mergeCell ref="CE53:CE54"/>
    <mergeCell ref="CA55:CA56"/>
    <mergeCell ref="CC55:CC56"/>
    <mergeCell ref="CD55:CD56"/>
    <mergeCell ref="CE55:CE56"/>
    <mergeCell ref="CA58:CA59"/>
    <mergeCell ref="CC58:CC59"/>
    <mergeCell ref="CD58:CD59"/>
    <mergeCell ref="CE58:CE59"/>
    <mergeCell ref="CA60:CA61"/>
    <mergeCell ref="CC60:CC61"/>
    <mergeCell ref="CD60:CD61"/>
    <mergeCell ref="CE60:CE61"/>
    <mergeCell ref="BY78:BY79"/>
    <mergeCell ref="BZ78:BZ79"/>
    <mergeCell ref="BV62:BV63"/>
    <mergeCell ref="BX62:BX63"/>
    <mergeCell ref="BY62:BY63"/>
    <mergeCell ref="BZ62:BZ63"/>
    <mergeCell ref="BV64:BV65"/>
    <mergeCell ref="CA38:CA39"/>
    <mergeCell ref="CC38:CC39"/>
    <mergeCell ref="CD38:CD39"/>
    <mergeCell ref="CE38:CE39"/>
    <mergeCell ref="CA40:CA41"/>
    <mergeCell ref="CC40:CC41"/>
    <mergeCell ref="CD40:CD41"/>
    <mergeCell ref="CE40:CE41"/>
    <mergeCell ref="CA43:CA44"/>
    <mergeCell ref="CC43:CC44"/>
    <mergeCell ref="CD43:CD44"/>
    <mergeCell ref="CE43:CE44"/>
    <mergeCell ref="CA45:CA46"/>
    <mergeCell ref="CC45:CC46"/>
    <mergeCell ref="CD45:CD46"/>
    <mergeCell ref="CE45:CE46"/>
    <mergeCell ref="CA48:CA49"/>
    <mergeCell ref="CC48:CC49"/>
    <mergeCell ref="CD48:CD49"/>
    <mergeCell ref="CE48:CE49"/>
    <mergeCell ref="CA27:CA28"/>
    <mergeCell ref="CC27:CC28"/>
    <mergeCell ref="CD27:CD28"/>
    <mergeCell ref="CE27:CE28"/>
    <mergeCell ref="CA29:CA30"/>
    <mergeCell ref="CC29:CC30"/>
    <mergeCell ref="CD29:CD30"/>
    <mergeCell ref="CE29:CE30"/>
    <mergeCell ref="CA31:CA32"/>
    <mergeCell ref="CC31:CC32"/>
    <mergeCell ref="CD31:CD32"/>
    <mergeCell ref="CE31:CE32"/>
    <mergeCell ref="CA33:CA34"/>
    <mergeCell ref="CC33:CC34"/>
    <mergeCell ref="CD33:CD34"/>
    <mergeCell ref="CE33:CE34"/>
    <mergeCell ref="CA35:CA36"/>
    <mergeCell ref="CC35:CC36"/>
    <mergeCell ref="CD35:CD36"/>
    <mergeCell ref="CE35:CE36"/>
    <mergeCell ref="CA15:CA16"/>
    <mergeCell ref="CC15:CC16"/>
    <mergeCell ref="CD15:CD16"/>
    <mergeCell ref="CE15:CE16"/>
    <mergeCell ref="CA17:CA18"/>
    <mergeCell ref="CC17:CC18"/>
    <mergeCell ref="CD17:CD18"/>
    <mergeCell ref="CE17:CE18"/>
    <mergeCell ref="CA19:CA20"/>
    <mergeCell ref="CC19:CC20"/>
    <mergeCell ref="CD19:CD20"/>
    <mergeCell ref="CE19:CE20"/>
    <mergeCell ref="CA22:CA23"/>
    <mergeCell ref="CC22:CC23"/>
    <mergeCell ref="CD22:CD23"/>
    <mergeCell ref="CE22:CE23"/>
    <mergeCell ref="CA24:CA25"/>
    <mergeCell ref="CC24:CC25"/>
    <mergeCell ref="CD24:CD25"/>
    <mergeCell ref="CE24:CE25"/>
    <mergeCell ref="CA4:CE4"/>
    <mergeCell ref="CA6:CA7"/>
    <mergeCell ref="CC6:CC7"/>
    <mergeCell ref="CD6:CD7"/>
    <mergeCell ref="CE6:CE7"/>
    <mergeCell ref="CA8:CA9"/>
    <mergeCell ref="CC8:CC9"/>
    <mergeCell ref="CD8:CD9"/>
    <mergeCell ref="CE8:CE9"/>
    <mergeCell ref="CA11:CA12"/>
    <mergeCell ref="CC11:CC12"/>
    <mergeCell ref="CD11:CD12"/>
    <mergeCell ref="CE11:CE12"/>
    <mergeCell ref="CA13:CA14"/>
    <mergeCell ref="CC13:CC14"/>
    <mergeCell ref="CD13:CD14"/>
    <mergeCell ref="CE13:CE14"/>
    <mergeCell ref="BX64:BX65"/>
    <mergeCell ref="BY64:BY65"/>
    <mergeCell ref="BZ64:BZ65"/>
    <mergeCell ref="BV66:BV67"/>
    <mergeCell ref="BX66:BX67"/>
    <mergeCell ref="BY66:BY67"/>
    <mergeCell ref="BZ66:BZ67"/>
    <mergeCell ref="BV69:BV70"/>
    <mergeCell ref="BX69:BX70"/>
    <mergeCell ref="BY69:BY70"/>
    <mergeCell ref="BZ69:BZ70"/>
    <mergeCell ref="BV71:BV72"/>
    <mergeCell ref="BX71:BX72"/>
    <mergeCell ref="BY71:BY72"/>
    <mergeCell ref="BZ71:BZ72"/>
    <mergeCell ref="BV50:BV51"/>
    <mergeCell ref="BX50:BX51"/>
    <mergeCell ref="BY50:BY51"/>
    <mergeCell ref="BZ50:BZ51"/>
    <mergeCell ref="BV53:BV54"/>
    <mergeCell ref="BX53:BX54"/>
    <mergeCell ref="BY53:BY54"/>
    <mergeCell ref="BZ53:BZ54"/>
    <mergeCell ref="BV55:BV56"/>
    <mergeCell ref="BX55:BX56"/>
    <mergeCell ref="BY55:BY56"/>
    <mergeCell ref="BZ55:BZ56"/>
    <mergeCell ref="BV58:BV59"/>
    <mergeCell ref="BX58:BX59"/>
    <mergeCell ref="BY58:BY59"/>
    <mergeCell ref="BZ58:BZ59"/>
    <mergeCell ref="BV60:BV61"/>
    <mergeCell ref="BV38:BV39"/>
    <mergeCell ref="BX38:BX39"/>
    <mergeCell ref="BY38:BY39"/>
    <mergeCell ref="BZ38:BZ39"/>
    <mergeCell ref="BV40:BV41"/>
    <mergeCell ref="BX40:BX41"/>
    <mergeCell ref="BY40:BY41"/>
    <mergeCell ref="BZ40:BZ41"/>
    <mergeCell ref="BV43:BV44"/>
    <mergeCell ref="BX43:BX44"/>
    <mergeCell ref="BY43:BY44"/>
    <mergeCell ref="BZ43:BZ44"/>
    <mergeCell ref="BV45:BV46"/>
    <mergeCell ref="BX45:BX46"/>
    <mergeCell ref="BY45:BY46"/>
    <mergeCell ref="BZ45:BZ46"/>
    <mergeCell ref="BV48:BV49"/>
    <mergeCell ref="BX48:BX49"/>
    <mergeCell ref="BY48:BY49"/>
    <mergeCell ref="BZ48:BZ49"/>
    <mergeCell ref="BV27:BV28"/>
    <mergeCell ref="BX27:BX28"/>
    <mergeCell ref="BY27:BY28"/>
    <mergeCell ref="BZ27:BZ28"/>
    <mergeCell ref="BV29:BV30"/>
    <mergeCell ref="BX29:BX30"/>
    <mergeCell ref="BY29:BY30"/>
    <mergeCell ref="BZ29:BZ30"/>
    <mergeCell ref="BV31:BV32"/>
    <mergeCell ref="BX31:BX32"/>
    <mergeCell ref="BY31:BY32"/>
    <mergeCell ref="BZ31:BZ32"/>
    <mergeCell ref="BV33:BV34"/>
    <mergeCell ref="BX33:BX34"/>
    <mergeCell ref="BY33:BY34"/>
    <mergeCell ref="BZ33:BZ34"/>
    <mergeCell ref="BV35:BV36"/>
    <mergeCell ref="BX35:BX36"/>
    <mergeCell ref="BY35:BY36"/>
    <mergeCell ref="BZ35:BZ36"/>
    <mergeCell ref="BV15:BV16"/>
    <mergeCell ref="BX15:BX16"/>
    <mergeCell ref="BY15:BY16"/>
    <mergeCell ref="BZ15:BZ16"/>
    <mergeCell ref="BV17:BV18"/>
    <mergeCell ref="BX17:BX18"/>
    <mergeCell ref="BY17:BY18"/>
    <mergeCell ref="BZ17:BZ18"/>
    <mergeCell ref="BV19:BV20"/>
    <mergeCell ref="BX19:BX20"/>
    <mergeCell ref="BY19:BY20"/>
    <mergeCell ref="BZ19:BZ20"/>
    <mergeCell ref="BV22:BV23"/>
    <mergeCell ref="BX22:BX23"/>
    <mergeCell ref="BY22:BY23"/>
    <mergeCell ref="BZ22:BZ23"/>
    <mergeCell ref="BV24:BV25"/>
    <mergeCell ref="BX24:BX25"/>
    <mergeCell ref="BY24:BY25"/>
    <mergeCell ref="BZ24:BZ25"/>
    <mergeCell ref="BV4:BZ4"/>
    <mergeCell ref="BV6:BV7"/>
    <mergeCell ref="BX6:BX7"/>
    <mergeCell ref="BY6:BY7"/>
    <mergeCell ref="BZ6:BZ7"/>
    <mergeCell ref="BV8:BV9"/>
    <mergeCell ref="BX8:BX9"/>
    <mergeCell ref="BY8:BY9"/>
    <mergeCell ref="BZ8:BZ9"/>
    <mergeCell ref="BV11:BV12"/>
    <mergeCell ref="BX11:BX12"/>
    <mergeCell ref="BY11:BY12"/>
    <mergeCell ref="BZ11:BZ12"/>
    <mergeCell ref="BV13:BV14"/>
    <mergeCell ref="BX13:BX14"/>
    <mergeCell ref="BY13:BY14"/>
    <mergeCell ref="BZ13:BZ14"/>
    <mergeCell ref="BQ78:BQ79"/>
    <mergeCell ref="BS78:BS79"/>
    <mergeCell ref="BT78:BT79"/>
    <mergeCell ref="BU78:BU79"/>
    <mergeCell ref="BQ64:BQ65"/>
    <mergeCell ref="BS64:BS65"/>
    <mergeCell ref="BT64:BT65"/>
    <mergeCell ref="BU64:BU65"/>
    <mergeCell ref="BQ66:BQ67"/>
    <mergeCell ref="BS66:BS67"/>
    <mergeCell ref="BT66:BT67"/>
    <mergeCell ref="BU66:BU67"/>
    <mergeCell ref="BQ69:BQ70"/>
    <mergeCell ref="BS69:BS70"/>
    <mergeCell ref="BT69:BT70"/>
    <mergeCell ref="BU69:BU70"/>
    <mergeCell ref="BQ71:BQ72"/>
    <mergeCell ref="BS71:BS72"/>
    <mergeCell ref="BT71:BT72"/>
    <mergeCell ref="BU71:BU72"/>
    <mergeCell ref="BQ73:BQ74"/>
    <mergeCell ref="BS73:BS74"/>
    <mergeCell ref="BT73:BT74"/>
    <mergeCell ref="BU73:BU74"/>
    <mergeCell ref="BQ53:BQ54"/>
    <mergeCell ref="BS53:BS54"/>
    <mergeCell ref="BT53:BT54"/>
    <mergeCell ref="BU53:BU54"/>
    <mergeCell ref="BQ55:BQ56"/>
    <mergeCell ref="BS55:BS56"/>
    <mergeCell ref="BT55:BT56"/>
    <mergeCell ref="BU55:BU56"/>
    <mergeCell ref="BQ58:BQ59"/>
    <mergeCell ref="BS58:BS59"/>
    <mergeCell ref="BT58:BT59"/>
    <mergeCell ref="BU58:BU59"/>
    <mergeCell ref="BQ60:BQ61"/>
    <mergeCell ref="BS60:BS61"/>
    <mergeCell ref="BT60:BT61"/>
    <mergeCell ref="BU60:BU61"/>
    <mergeCell ref="BQ62:BQ63"/>
    <mergeCell ref="BS62:BS63"/>
    <mergeCell ref="BT62:BT63"/>
    <mergeCell ref="BU62:BU63"/>
    <mergeCell ref="BQ40:BQ41"/>
    <mergeCell ref="BS40:BS41"/>
    <mergeCell ref="BT40:BT41"/>
    <mergeCell ref="BU40:BU41"/>
    <mergeCell ref="BQ43:BQ44"/>
    <mergeCell ref="BS43:BS44"/>
    <mergeCell ref="BT43:BT44"/>
    <mergeCell ref="BU43:BU44"/>
    <mergeCell ref="BQ45:BQ46"/>
    <mergeCell ref="BS45:BS46"/>
    <mergeCell ref="BT45:BT46"/>
    <mergeCell ref="BU45:BU46"/>
    <mergeCell ref="BQ48:BQ49"/>
    <mergeCell ref="BS48:BS49"/>
    <mergeCell ref="BT48:BT49"/>
    <mergeCell ref="BU48:BU49"/>
    <mergeCell ref="BQ50:BQ51"/>
    <mergeCell ref="BS50:BS51"/>
    <mergeCell ref="BT50:BT51"/>
    <mergeCell ref="BU50:BU51"/>
    <mergeCell ref="BQ27:BQ28"/>
    <mergeCell ref="BS27:BS28"/>
    <mergeCell ref="BT27:BT28"/>
    <mergeCell ref="BU27:BU28"/>
    <mergeCell ref="BQ29:BQ30"/>
    <mergeCell ref="BS29:BS30"/>
    <mergeCell ref="BT29:BT30"/>
    <mergeCell ref="BU29:BU30"/>
    <mergeCell ref="BQ31:BQ32"/>
    <mergeCell ref="BS31:BS32"/>
    <mergeCell ref="BT31:BT32"/>
    <mergeCell ref="BU31:BU32"/>
    <mergeCell ref="BQ33:BQ34"/>
    <mergeCell ref="BS33:BS34"/>
    <mergeCell ref="BT33:BT34"/>
    <mergeCell ref="BU33:BU34"/>
    <mergeCell ref="BQ35:BQ36"/>
    <mergeCell ref="BS35:BS36"/>
    <mergeCell ref="BT35:BT36"/>
    <mergeCell ref="BU35:BU36"/>
    <mergeCell ref="BQ15:BQ16"/>
    <mergeCell ref="BS15:BS16"/>
    <mergeCell ref="BT15:BT16"/>
    <mergeCell ref="BU15:BU16"/>
    <mergeCell ref="BQ17:BQ18"/>
    <mergeCell ref="BS17:BS18"/>
    <mergeCell ref="BT17:BT18"/>
    <mergeCell ref="BU17:BU18"/>
    <mergeCell ref="BQ19:BQ20"/>
    <mergeCell ref="BS19:BS20"/>
    <mergeCell ref="BT19:BT20"/>
    <mergeCell ref="BU19:BU20"/>
    <mergeCell ref="BQ22:BQ23"/>
    <mergeCell ref="BS22:BS23"/>
    <mergeCell ref="BT22:BT23"/>
    <mergeCell ref="BU22:BU23"/>
    <mergeCell ref="BQ24:BQ25"/>
    <mergeCell ref="BS24:BS25"/>
    <mergeCell ref="BT24:BT25"/>
    <mergeCell ref="BU24:BU25"/>
    <mergeCell ref="BQ4:BU4"/>
    <mergeCell ref="BQ6:BQ7"/>
    <mergeCell ref="BS6:BS7"/>
    <mergeCell ref="BT6:BT7"/>
    <mergeCell ref="BU6:BU7"/>
    <mergeCell ref="BQ8:BQ9"/>
    <mergeCell ref="BS8:BS9"/>
    <mergeCell ref="BT8:BT9"/>
    <mergeCell ref="BU8:BU9"/>
    <mergeCell ref="BQ11:BQ12"/>
    <mergeCell ref="BS11:BS12"/>
    <mergeCell ref="BT11:BT12"/>
    <mergeCell ref="BU11:BU12"/>
    <mergeCell ref="BQ13:BQ14"/>
    <mergeCell ref="BS13:BS14"/>
    <mergeCell ref="BT13:BT14"/>
    <mergeCell ref="BU13:BU14"/>
    <mergeCell ref="BL78:BL79"/>
    <mergeCell ref="BN78:BN79"/>
    <mergeCell ref="BO78:BO79"/>
    <mergeCell ref="BP78:BP79"/>
    <mergeCell ref="BL64:BL65"/>
    <mergeCell ref="BN64:BN65"/>
    <mergeCell ref="BO64:BO65"/>
    <mergeCell ref="BP64:BP65"/>
    <mergeCell ref="BL66:BL67"/>
    <mergeCell ref="BN66:BN67"/>
    <mergeCell ref="BO66:BO67"/>
    <mergeCell ref="BP66:BP67"/>
    <mergeCell ref="BL69:BL70"/>
    <mergeCell ref="BN69:BN70"/>
    <mergeCell ref="BO69:BO70"/>
    <mergeCell ref="BP69:BP70"/>
    <mergeCell ref="BL71:BL72"/>
    <mergeCell ref="BN71:BN72"/>
    <mergeCell ref="BO71:BO72"/>
    <mergeCell ref="BP71:BP72"/>
    <mergeCell ref="BL73:BL74"/>
    <mergeCell ref="BN73:BN74"/>
    <mergeCell ref="BO73:BO74"/>
    <mergeCell ref="BP73:BP74"/>
    <mergeCell ref="BL53:BL54"/>
    <mergeCell ref="BN53:BN54"/>
    <mergeCell ref="BO53:BO54"/>
    <mergeCell ref="BP53:BP54"/>
    <mergeCell ref="BL55:BL56"/>
    <mergeCell ref="BN55:BN56"/>
    <mergeCell ref="BO55:BO56"/>
    <mergeCell ref="BP55:BP56"/>
    <mergeCell ref="BL58:BL59"/>
    <mergeCell ref="BN58:BN59"/>
    <mergeCell ref="BO58:BO59"/>
    <mergeCell ref="BP58:BP59"/>
    <mergeCell ref="BL60:BL61"/>
    <mergeCell ref="BN60:BN61"/>
    <mergeCell ref="BO60:BO61"/>
    <mergeCell ref="BP60:BP61"/>
    <mergeCell ref="BL62:BL63"/>
    <mergeCell ref="BN62:BN63"/>
    <mergeCell ref="BO62:BO63"/>
    <mergeCell ref="BP62:BP63"/>
    <mergeCell ref="BL40:BL41"/>
    <mergeCell ref="BN40:BN41"/>
    <mergeCell ref="BO40:BO41"/>
    <mergeCell ref="BP40:BP41"/>
    <mergeCell ref="BL43:BL44"/>
    <mergeCell ref="BN43:BN44"/>
    <mergeCell ref="BO43:BO44"/>
    <mergeCell ref="BP43:BP44"/>
    <mergeCell ref="BL45:BL46"/>
    <mergeCell ref="BN45:BN46"/>
    <mergeCell ref="BO45:BO46"/>
    <mergeCell ref="BP45:BP46"/>
    <mergeCell ref="BL48:BL49"/>
    <mergeCell ref="BN48:BN49"/>
    <mergeCell ref="BO48:BO49"/>
    <mergeCell ref="BP48:BP49"/>
    <mergeCell ref="BL50:BL51"/>
    <mergeCell ref="BN50:BN51"/>
    <mergeCell ref="BO50:BO51"/>
    <mergeCell ref="BP50:BP51"/>
    <mergeCell ref="BL27:BL28"/>
    <mergeCell ref="BN27:BN28"/>
    <mergeCell ref="BO27:BO28"/>
    <mergeCell ref="BP27:BP28"/>
    <mergeCell ref="BL29:BL30"/>
    <mergeCell ref="BN29:BN30"/>
    <mergeCell ref="BO29:BO30"/>
    <mergeCell ref="BP29:BP30"/>
    <mergeCell ref="BL31:BL32"/>
    <mergeCell ref="BN31:BN32"/>
    <mergeCell ref="BO31:BO32"/>
    <mergeCell ref="BP31:BP32"/>
    <mergeCell ref="BL33:BL34"/>
    <mergeCell ref="BN33:BN34"/>
    <mergeCell ref="BO33:BO34"/>
    <mergeCell ref="BP33:BP34"/>
    <mergeCell ref="BL35:BL36"/>
    <mergeCell ref="BN35:BN36"/>
    <mergeCell ref="BO35:BO36"/>
    <mergeCell ref="BP35:BP36"/>
    <mergeCell ref="BL15:BL16"/>
    <mergeCell ref="BN15:BN16"/>
    <mergeCell ref="BO15:BO16"/>
    <mergeCell ref="BP15:BP16"/>
    <mergeCell ref="BL17:BL18"/>
    <mergeCell ref="BN17:BN18"/>
    <mergeCell ref="BO17:BO18"/>
    <mergeCell ref="BP17:BP18"/>
    <mergeCell ref="BL19:BL20"/>
    <mergeCell ref="BN19:BN20"/>
    <mergeCell ref="BO19:BO20"/>
    <mergeCell ref="BP19:BP20"/>
    <mergeCell ref="BL22:BL23"/>
    <mergeCell ref="BN22:BN23"/>
    <mergeCell ref="BO22:BO23"/>
    <mergeCell ref="BP22:BP23"/>
    <mergeCell ref="BL24:BL25"/>
    <mergeCell ref="BN24:BN25"/>
    <mergeCell ref="BO24:BO25"/>
    <mergeCell ref="BP24:BP25"/>
    <mergeCell ref="BL4:BP4"/>
    <mergeCell ref="BL6:BL7"/>
    <mergeCell ref="BN6:BN7"/>
    <mergeCell ref="BO6:BO7"/>
    <mergeCell ref="BP6:BP7"/>
    <mergeCell ref="BL8:BL9"/>
    <mergeCell ref="BN8:BN9"/>
    <mergeCell ref="BO8:BO9"/>
    <mergeCell ref="BP8:BP9"/>
    <mergeCell ref="BL11:BL12"/>
    <mergeCell ref="BN11:BN12"/>
    <mergeCell ref="BO11:BO12"/>
    <mergeCell ref="BP11:BP12"/>
    <mergeCell ref="BL13:BL14"/>
    <mergeCell ref="BN13:BN14"/>
    <mergeCell ref="BO13:BO14"/>
    <mergeCell ref="BP13:BP14"/>
    <mergeCell ref="BB78:BB79"/>
    <mergeCell ref="BD78:BD79"/>
    <mergeCell ref="BE78:BE79"/>
    <mergeCell ref="BF78:BF79"/>
    <mergeCell ref="BB73:BB74"/>
    <mergeCell ref="BD73:BD74"/>
    <mergeCell ref="BE73:BE74"/>
    <mergeCell ref="BF73:BF74"/>
    <mergeCell ref="BB75:BB76"/>
    <mergeCell ref="BD75:BD76"/>
    <mergeCell ref="BE75:BE76"/>
    <mergeCell ref="BF75:BF76"/>
    <mergeCell ref="BB69:BB70"/>
    <mergeCell ref="BD69:BD70"/>
    <mergeCell ref="BE69:BE70"/>
    <mergeCell ref="BF69:BF70"/>
    <mergeCell ref="BB71:BB72"/>
    <mergeCell ref="BD71:BD72"/>
    <mergeCell ref="BE71:BE72"/>
    <mergeCell ref="BF71:BF72"/>
    <mergeCell ref="BB64:BB65"/>
    <mergeCell ref="BD64:BD65"/>
    <mergeCell ref="BE64:BE65"/>
    <mergeCell ref="BF64:BF65"/>
    <mergeCell ref="BB66:BB67"/>
    <mergeCell ref="BD66:BD67"/>
    <mergeCell ref="BE66:BE67"/>
    <mergeCell ref="BF66:BF67"/>
    <mergeCell ref="BB60:BB61"/>
    <mergeCell ref="BD60:BD61"/>
    <mergeCell ref="BE60:BE61"/>
    <mergeCell ref="BF60:BF61"/>
    <mergeCell ref="BB62:BB63"/>
    <mergeCell ref="BD62:BD63"/>
    <mergeCell ref="BE62:BE63"/>
    <mergeCell ref="BF62:BF63"/>
    <mergeCell ref="BB55:BB56"/>
    <mergeCell ref="BD55:BD56"/>
    <mergeCell ref="BE55:BE56"/>
    <mergeCell ref="BF55:BF56"/>
    <mergeCell ref="BB58:BB59"/>
    <mergeCell ref="BD58:BD59"/>
    <mergeCell ref="BE58:BE59"/>
    <mergeCell ref="BF58:BF59"/>
    <mergeCell ref="BB50:BB51"/>
    <mergeCell ref="BD50:BD51"/>
    <mergeCell ref="BE50:BE51"/>
    <mergeCell ref="BF50:BF51"/>
    <mergeCell ref="BB53:BB54"/>
    <mergeCell ref="BD53:BD54"/>
    <mergeCell ref="BE53:BE54"/>
    <mergeCell ref="BF53:BF54"/>
    <mergeCell ref="BB45:BB46"/>
    <mergeCell ref="BD45:BD46"/>
    <mergeCell ref="BE45:BE46"/>
    <mergeCell ref="BF45:BF46"/>
    <mergeCell ref="BB48:BB49"/>
    <mergeCell ref="BD48:BD49"/>
    <mergeCell ref="BE48:BE49"/>
    <mergeCell ref="BF48:BF49"/>
    <mergeCell ref="BB40:BB41"/>
    <mergeCell ref="BD40:BD41"/>
    <mergeCell ref="BE40:BE41"/>
    <mergeCell ref="BF40:BF41"/>
    <mergeCell ref="BB43:BB44"/>
    <mergeCell ref="BD43:BD44"/>
    <mergeCell ref="BE43:BE44"/>
    <mergeCell ref="BF43:BF44"/>
    <mergeCell ref="BB35:BB36"/>
    <mergeCell ref="BD35:BD36"/>
    <mergeCell ref="BE35:BE36"/>
    <mergeCell ref="BF35:BF36"/>
    <mergeCell ref="BB38:BB39"/>
    <mergeCell ref="BD38:BD39"/>
    <mergeCell ref="BE38:BE39"/>
    <mergeCell ref="BF38:BF39"/>
    <mergeCell ref="BB31:BB32"/>
    <mergeCell ref="BD31:BD32"/>
    <mergeCell ref="BE31:BE32"/>
    <mergeCell ref="BF31:BF32"/>
    <mergeCell ref="BB33:BB34"/>
    <mergeCell ref="BD33:BD34"/>
    <mergeCell ref="BE33:BE34"/>
    <mergeCell ref="BF33:BF34"/>
    <mergeCell ref="BB27:BB28"/>
    <mergeCell ref="BD27:BD28"/>
    <mergeCell ref="BE27:BE28"/>
    <mergeCell ref="BF27:BF28"/>
    <mergeCell ref="BB29:BB30"/>
    <mergeCell ref="BD29:BD30"/>
    <mergeCell ref="BE29:BE30"/>
    <mergeCell ref="BF29:BF30"/>
    <mergeCell ref="BB24:BB25"/>
    <mergeCell ref="BD24:BD25"/>
    <mergeCell ref="BE24:BE25"/>
    <mergeCell ref="BF24:BF25"/>
    <mergeCell ref="BD17:BD18"/>
    <mergeCell ref="BE17:BE18"/>
    <mergeCell ref="BF17:BF18"/>
    <mergeCell ref="BB19:BB20"/>
    <mergeCell ref="BD19:BD20"/>
    <mergeCell ref="BE19:BE20"/>
    <mergeCell ref="BF19:BF20"/>
    <mergeCell ref="BB13:BB14"/>
    <mergeCell ref="BD13:BD14"/>
    <mergeCell ref="BE13:BE14"/>
    <mergeCell ref="BF13:BF14"/>
    <mergeCell ref="BB15:BB16"/>
    <mergeCell ref="BD15:BD16"/>
    <mergeCell ref="BE15:BE16"/>
    <mergeCell ref="BF15:BF16"/>
    <mergeCell ref="BB11:BB12"/>
    <mergeCell ref="BD11:BD12"/>
    <mergeCell ref="BE11:BE12"/>
    <mergeCell ref="BF11:BF12"/>
    <mergeCell ref="AW78:AW79"/>
    <mergeCell ref="AY78:AY79"/>
    <mergeCell ref="AZ78:AZ79"/>
    <mergeCell ref="BA78:BA79"/>
    <mergeCell ref="BB4:BF4"/>
    <mergeCell ref="BB6:BB7"/>
    <mergeCell ref="BD6:BD7"/>
    <mergeCell ref="BE6:BE7"/>
    <mergeCell ref="BF6:BF7"/>
    <mergeCell ref="BB8:BB9"/>
    <mergeCell ref="AZ73:AZ74"/>
    <mergeCell ref="BA73:BA74"/>
    <mergeCell ref="AW75:AW76"/>
    <mergeCell ref="AY75:AY76"/>
    <mergeCell ref="AZ75:AZ76"/>
    <mergeCell ref="BA75:BA76"/>
    <mergeCell ref="AY69:AY70"/>
    <mergeCell ref="AZ69:AZ70"/>
    <mergeCell ref="BA69:BA70"/>
    <mergeCell ref="AW71:AW72"/>
    <mergeCell ref="AY71:AY72"/>
    <mergeCell ref="AZ71:AZ72"/>
    <mergeCell ref="BA71:BA72"/>
    <mergeCell ref="AW64:AW65"/>
    <mergeCell ref="AY64:AY65"/>
    <mergeCell ref="BB22:BB23"/>
    <mergeCell ref="BD22:BD23"/>
    <mergeCell ref="BE22:BE23"/>
    <mergeCell ref="AY66:AY67"/>
    <mergeCell ref="AZ66:AZ67"/>
    <mergeCell ref="BA66:BA67"/>
    <mergeCell ref="AW60:AW61"/>
    <mergeCell ref="AY60:AY61"/>
    <mergeCell ref="AZ60:AZ61"/>
    <mergeCell ref="BA60:BA61"/>
    <mergeCell ref="AW62:AW63"/>
    <mergeCell ref="AY62:AY63"/>
    <mergeCell ref="AZ62:AZ63"/>
    <mergeCell ref="BA62:BA63"/>
    <mergeCell ref="AY53:AY54"/>
    <mergeCell ref="AZ53:AZ54"/>
    <mergeCell ref="BA53:BA54"/>
    <mergeCell ref="AW55:AW56"/>
    <mergeCell ref="AY55:AY56"/>
    <mergeCell ref="AZ55:AZ56"/>
    <mergeCell ref="BA55:BA56"/>
    <mergeCell ref="AZ48:AZ49"/>
    <mergeCell ref="BA48:BA49"/>
    <mergeCell ref="AW50:AW51"/>
    <mergeCell ref="AY50:AY51"/>
    <mergeCell ref="AZ50:AZ51"/>
    <mergeCell ref="BA50:BA51"/>
    <mergeCell ref="AW43:AW44"/>
    <mergeCell ref="AY43:AY44"/>
    <mergeCell ref="AZ43:AZ44"/>
    <mergeCell ref="BA43:BA44"/>
    <mergeCell ref="AW45:AW46"/>
    <mergeCell ref="AY45:AY46"/>
    <mergeCell ref="AZ45:AZ46"/>
    <mergeCell ref="BA45:BA46"/>
    <mergeCell ref="AW38:AW39"/>
    <mergeCell ref="AY38:AY39"/>
    <mergeCell ref="AZ38:AZ39"/>
    <mergeCell ref="BA38:BA39"/>
    <mergeCell ref="AW40:AW41"/>
    <mergeCell ref="AY40:AY41"/>
    <mergeCell ref="AZ40:AZ41"/>
    <mergeCell ref="BA40:BA41"/>
    <mergeCell ref="AW33:AW34"/>
    <mergeCell ref="AY33:AY34"/>
    <mergeCell ref="AZ33:AZ34"/>
    <mergeCell ref="BA33:BA34"/>
    <mergeCell ref="AW35:AW36"/>
    <mergeCell ref="AY35:AY36"/>
    <mergeCell ref="AZ35:AZ36"/>
    <mergeCell ref="BA35:BA36"/>
    <mergeCell ref="AW29:AW30"/>
    <mergeCell ref="AY29:AY30"/>
    <mergeCell ref="AZ29:AZ30"/>
    <mergeCell ref="BA29:BA30"/>
    <mergeCell ref="AW31:AW32"/>
    <mergeCell ref="AY31:AY32"/>
    <mergeCell ref="AZ31:AZ32"/>
    <mergeCell ref="BA31:BA32"/>
    <mergeCell ref="AW24:AW25"/>
    <mergeCell ref="AY24:AY25"/>
    <mergeCell ref="AZ24:AZ25"/>
    <mergeCell ref="BA24:BA25"/>
    <mergeCell ref="AW27:AW28"/>
    <mergeCell ref="AY27:AY28"/>
    <mergeCell ref="AZ27:AZ28"/>
    <mergeCell ref="BA27:BA28"/>
    <mergeCell ref="AW19:AW20"/>
    <mergeCell ref="AY19:AY20"/>
    <mergeCell ref="AZ19:AZ20"/>
    <mergeCell ref="BA19:BA20"/>
    <mergeCell ref="AW22:AW23"/>
    <mergeCell ref="AY22:AY23"/>
    <mergeCell ref="AZ22:AZ23"/>
    <mergeCell ref="BA22:BA23"/>
    <mergeCell ref="AW15:AW16"/>
    <mergeCell ref="AY15:AY16"/>
    <mergeCell ref="AZ15:AZ16"/>
    <mergeCell ref="BA15:BA16"/>
    <mergeCell ref="AW17:AW18"/>
    <mergeCell ref="AY17:AY18"/>
    <mergeCell ref="AZ17:AZ18"/>
    <mergeCell ref="BA17:BA18"/>
    <mergeCell ref="AW11:AW12"/>
    <mergeCell ref="AY11:AY12"/>
    <mergeCell ref="AZ11:AZ12"/>
    <mergeCell ref="BA11:BA12"/>
    <mergeCell ref="AW13:AW14"/>
    <mergeCell ref="AY13:AY14"/>
    <mergeCell ref="AZ13:AZ14"/>
    <mergeCell ref="BA13:BA14"/>
    <mergeCell ref="AW4:BA4"/>
    <mergeCell ref="AW6:AW7"/>
    <mergeCell ref="AY6:AY7"/>
    <mergeCell ref="AZ6:AZ7"/>
    <mergeCell ref="BA6:BA7"/>
    <mergeCell ref="AW8:AW9"/>
    <mergeCell ref="AY8:AY9"/>
    <mergeCell ref="AZ8:AZ9"/>
    <mergeCell ref="BA8:BA9"/>
    <mergeCell ref="I75:I76"/>
    <mergeCell ref="K75:K76"/>
    <mergeCell ref="L75:L76"/>
    <mergeCell ref="M75:M76"/>
    <mergeCell ref="I78:I79"/>
    <mergeCell ref="K78:K79"/>
    <mergeCell ref="L78:L79"/>
    <mergeCell ref="M78:M79"/>
    <mergeCell ref="I71:I72"/>
    <mergeCell ref="K71:K72"/>
    <mergeCell ref="L71:L72"/>
    <mergeCell ref="M71:M72"/>
    <mergeCell ref="I73:I74"/>
    <mergeCell ref="K73:K74"/>
    <mergeCell ref="L73:L74"/>
    <mergeCell ref="M73:M74"/>
    <mergeCell ref="L66:L67"/>
    <mergeCell ref="M66:M67"/>
    <mergeCell ref="I69:I70"/>
    <mergeCell ref="K69:K70"/>
    <mergeCell ref="L69:L70"/>
    <mergeCell ref="M69:M70"/>
    <mergeCell ref="I62:I63"/>
    <mergeCell ref="K62:K63"/>
    <mergeCell ref="L62:L63"/>
    <mergeCell ref="M62:M63"/>
    <mergeCell ref="I64:I65"/>
    <mergeCell ref="K64:K65"/>
    <mergeCell ref="L64:L65"/>
    <mergeCell ref="M64:M65"/>
    <mergeCell ref="I58:I59"/>
    <mergeCell ref="K58:K59"/>
    <mergeCell ref="L58:L59"/>
    <mergeCell ref="M58:M59"/>
    <mergeCell ref="I60:I61"/>
    <mergeCell ref="K60:K61"/>
    <mergeCell ref="L60:L61"/>
    <mergeCell ref="M60:M61"/>
    <mergeCell ref="I53:I54"/>
    <mergeCell ref="K53:K54"/>
    <mergeCell ref="L53:L54"/>
    <mergeCell ref="M53:M54"/>
    <mergeCell ref="I55:I56"/>
    <mergeCell ref="K55:K56"/>
    <mergeCell ref="L55:L56"/>
    <mergeCell ref="M55:M56"/>
    <mergeCell ref="I50:I51"/>
    <mergeCell ref="K50:K51"/>
    <mergeCell ref="L50:L51"/>
    <mergeCell ref="M50:M51"/>
    <mergeCell ref="I43:I44"/>
    <mergeCell ref="K43:K44"/>
    <mergeCell ref="L43:L44"/>
    <mergeCell ref="M43:M44"/>
    <mergeCell ref="I45:I46"/>
    <mergeCell ref="K45:K46"/>
    <mergeCell ref="L45:L46"/>
    <mergeCell ref="M45:M46"/>
    <mergeCell ref="I38:I39"/>
    <mergeCell ref="K38:K39"/>
    <mergeCell ref="L38:L39"/>
    <mergeCell ref="M38:M39"/>
    <mergeCell ref="I40:I41"/>
    <mergeCell ref="K40:K41"/>
    <mergeCell ref="L40:L41"/>
    <mergeCell ref="M40:M41"/>
    <mergeCell ref="I33:I34"/>
    <mergeCell ref="K33:K34"/>
    <mergeCell ref="L33:L34"/>
    <mergeCell ref="M33:M34"/>
    <mergeCell ref="I35:I36"/>
    <mergeCell ref="K35:K36"/>
    <mergeCell ref="L35:L36"/>
    <mergeCell ref="M35:M36"/>
    <mergeCell ref="I29:I30"/>
    <mergeCell ref="K29:K30"/>
    <mergeCell ref="L29:L30"/>
    <mergeCell ref="M29:M30"/>
    <mergeCell ref="I31:I32"/>
    <mergeCell ref="K31:K32"/>
    <mergeCell ref="L31:L32"/>
    <mergeCell ref="M31:M32"/>
    <mergeCell ref="I24:I25"/>
    <mergeCell ref="K24:K25"/>
    <mergeCell ref="L24:L25"/>
    <mergeCell ref="M24:M25"/>
    <mergeCell ref="I27:I28"/>
    <mergeCell ref="K27:K28"/>
    <mergeCell ref="L27:L28"/>
    <mergeCell ref="M27:M28"/>
    <mergeCell ref="I19:I20"/>
    <mergeCell ref="K19:K20"/>
    <mergeCell ref="L19:L20"/>
    <mergeCell ref="M19:M20"/>
    <mergeCell ref="I22:I23"/>
    <mergeCell ref="K22:K23"/>
    <mergeCell ref="L22:L23"/>
    <mergeCell ref="M22:M23"/>
    <mergeCell ref="I15:I16"/>
    <mergeCell ref="K15:K16"/>
    <mergeCell ref="L15:L16"/>
    <mergeCell ref="M15:M16"/>
    <mergeCell ref="I17:I18"/>
    <mergeCell ref="K17:K18"/>
    <mergeCell ref="L17:L18"/>
    <mergeCell ref="M17:M18"/>
    <mergeCell ref="I11:I12"/>
    <mergeCell ref="K11:K12"/>
    <mergeCell ref="L11:L12"/>
    <mergeCell ref="M11:M12"/>
    <mergeCell ref="I13:I14"/>
    <mergeCell ref="K13:K14"/>
    <mergeCell ref="L13:L14"/>
    <mergeCell ref="M13:M14"/>
    <mergeCell ref="I4:M4"/>
    <mergeCell ref="I6:I7"/>
    <mergeCell ref="K6:K7"/>
    <mergeCell ref="L6:L7"/>
    <mergeCell ref="M6:M7"/>
    <mergeCell ref="I8:I9"/>
    <mergeCell ref="K8:K9"/>
    <mergeCell ref="L8:L9"/>
    <mergeCell ref="M8:M9"/>
    <mergeCell ref="AM4:AQ4"/>
    <mergeCell ref="CF4:CJ4"/>
    <mergeCell ref="D4:H4"/>
    <mergeCell ref="A3:A4"/>
    <mergeCell ref="B3:B4"/>
    <mergeCell ref="C3:C4"/>
    <mergeCell ref="AH4:AL4"/>
    <mergeCell ref="AR4:AV4"/>
    <mergeCell ref="N4:R4"/>
    <mergeCell ref="A5:C5"/>
    <mergeCell ref="B6:B7"/>
    <mergeCell ref="C6:C7"/>
    <mergeCell ref="AH6:AH7"/>
    <mergeCell ref="D6:D7"/>
    <mergeCell ref="F6:F7"/>
    <mergeCell ref="G6:G7"/>
    <mergeCell ref="H6:H7"/>
    <mergeCell ref="W6:W7"/>
    <mergeCell ref="X6:X7"/>
    <mergeCell ref="CI6:CI7"/>
    <mergeCell ref="AJ6:AJ7"/>
    <mergeCell ref="AK6:AK7"/>
    <mergeCell ref="AL6:AL7"/>
    <mergeCell ref="AM6:AM7"/>
    <mergeCell ref="AO6:AO7"/>
    <mergeCell ref="AP6:AP7"/>
    <mergeCell ref="AQ6:AQ7"/>
    <mergeCell ref="CF6:CF7"/>
    <mergeCell ref="AR6:AR7"/>
    <mergeCell ref="AK8:AK9"/>
    <mergeCell ref="CJ6:CJ7"/>
    <mergeCell ref="CJ8:CJ9"/>
    <mergeCell ref="AQ8:AQ9"/>
    <mergeCell ref="CF8:CF9"/>
    <mergeCell ref="CH8:CH9"/>
    <mergeCell ref="CI8:CI9"/>
    <mergeCell ref="AO8:AO9"/>
    <mergeCell ref="AP8:AP9"/>
    <mergeCell ref="CH6:CH7"/>
    <mergeCell ref="AL8:AL9"/>
    <mergeCell ref="AM8:AM9"/>
    <mergeCell ref="BD8:BD9"/>
    <mergeCell ref="BE8:BE9"/>
    <mergeCell ref="BF8:BF9"/>
    <mergeCell ref="G11:G12"/>
    <mergeCell ref="H11:H12"/>
    <mergeCell ref="AK11:AK12"/>
    <mergeCell ref="AL11:AL12"/>
    <mergeCell ref="AM11:AM12"/>
    <mergeCell ref="AH8:AH9"/>
    <mergeCell ref="AJ8:AJ9"/>
    <mergeCell ref="H8:H9"/>
    <mergeCell ref="A10:C10"/>
    <mergeCell ref="D8:D9"/>
    <mergeCell ref="F8:F9"/>
    <mergeCell ref="G8:G9"/>
    <mergeCell ref="B8:B9"/>
    <mergeCell ref="C8:C9"/>
    <mergeCell ref="AO11:AO12"/>
    <mergeCell ref="B11:B12"/>
    <mergeCell ref="C11:C12"/>
    <mergeCell ref="AH11:AH12"/>
    <mergeCell ref="AJ11:AJ12"/>
    <mergeCell ref="D11:D12"/>
    <mergeCell ref="F11:F12"/>
    <mergeCell ref="Z11:Z12"/>
    <mergeCell ref="AA11:AA12"/>
    <mergeCell ref="AB11:AB12"/>
    <mergeCell ref="N8:N9"/>
    <mergeCell ref="P8:P9"/>
    <mergeCell ref="Q8:Q9"/>
    <mergeCell ref="R8:R9"/>
    <mergeCell ref="S8:S9"/>
    <mergeCell ref="U8:U9"/>
    <mergeCell ref="V8:V9"/>
    <mergeCell ref="W8:W9"/>
    <mergeCell ref="CI11:CI12"/>
    <mergeCell ref="CJ11:CJ12"/>
    <mergeCell ref="AP11:AP12"/>
    <mergeCell ref="AQ11:AQ12"/>
    <mergeCell ref="CF11:CF12"/>
    <mergeCell ref="CH11:CH12"/>
    <mergeCell ref="AR11:AR12"/>
    <mergeCell ref="AT11:AT12"/>
    <mergeCell ref="AU11:AU12"/>
    <mergeCell ref="AV11:AV12"/>
    <mergeCell ref="B13:B14"/>
    <mergeCell ref="C13:C14"/>
    <mergeCell ref="AH13:AH14"/>
    <mergeCell ref="AJ13:AJ14"/>
    <mergeCell ref="D13:D14"/>
    <mergeCell ref="F13:F14"/>
    <mergeCell ref="G13:G14"/>
    <mergeCell ref="H13:H14"/>
    <mergeCell ref="V13:V14"/>
    <mergeCell ref="W13:W14"/>
    <mergeCell ref="AK13:AK14"/>
    <mergeCell ref="AL13:AL14"/>
    <mergeCell ref="AM13:AM14"/>
    <mergeCell ref="AO13:AO14"/>
    <mergeCell ref="N13:N14"/>
    <mergeCell ref="P13:P14"/>
    <mergeCell ref="Q13:Q14"/>
    <mergeCell ref="R13:R14"/>
    <mergeCell ref="S13:S14"/>
    <mergeCell ref="U13:U14"/>
    <mergeCell ref="X13:X14"/>
    <mergeCell ref="Z13:Z14"/>
    <mergeCell ref="AK15:AK16"/>
    <mergeCell ref="AL15:AL16"/>
    <mergeCell ref="AM15:AM16"/>
    <mergeCell ref="AO15:AO16"/>
    <mergeCell ref="CI13:CI14"/>
    <mergeCell ref="CJ13:CJ14"/>
    <mergeCell ref="AP13:AP14"/>
    <mergeCell ref="AQ13:AQ14"/>
    <mergeCell ref="CF13:CF14"/>
    <mergeCell ref="CH13:CH14"/>
    <mergeCell ref="AR13:AR14"/>
    <mergeCell ref="AT13:AT14"/>
    <mergeCell ref="AU13:AU14"/>
    <mergeCell ref="AV13:AV14"/>
    <mergeCell ref="B15:B16"/>
    <mergeCell ref="C15:C16"/>
    <mergeCell ref="AH15:AH16"/>
    <mergeCell ref="AJ15:AJ16"/>
    <mergeCell ref="D15:D16"/>
    <mergeCell ref="F15:F16"/>
    <mergeCell ref="G15:G16"/>
    <mergeCell ref="H15:H16"/>
    <mergeCell ref="X15:X16"/>
    <mergeCell ref="Z15:Z16"/>
    <mergeCell ref="CI15:CI16"/>
    <mergeCell ref="CJ15:CJ16"/>
    <mergeCell ref="AP15:AP16"/>
    <mergeCell ref="AQ15:AQ16"/>
    <mergeCell ref="CF15:CF16"/>
    <mergeCell ref="CH15:CH16"/>
    <mergeCell ref="AR15:AR16"/>
    <mergeCell ref="AT15:AT16"/>
    <mergeCell ref="AU15:AU16"/>
    <mergeCell ref="AV15:AV16"/>
    <mergeCell ref="B17:B18"/>
    <mergeCell ref="C17:C18"/>
    <mergeCell ref="AH17:AH18"/>
    <mergeCell ref="AJ17:AJ18"/>
    <mergeCell ref="D17:D18"/>
    <mergeCell ref="F17:F18"/>
    <mergeCell ref="G17:G18"/>
    <mergeCell ref="H17:H18"/>
    <mergeCell ref="N17:N18"/>
    <mergeCell ref="P17:P18"/>
    <mergeCell ref="AK17:AK18"/>
    <mergeCell ref="AL17:AL18"/>
    <mergeCell ref="AM17:AM18"/>
    <mergeCell ref="AO17:AO18"/>
    <mergeCell ref="AK19:AK20"/>
    <mergeCell ref="AL19:AL20"/>
    <mergeCell ref="AM19:AM20"/>
    <mergeCell ref="AO19:AO20"/>
    <mergeCell ref="S17:S18"/>
    <mergeCell ref="U17:U18"/>
    <mergeCell ref="V17:V18"/>
    <mergeCell ref="W17:W18"/>
    <mergeCell ref="X17:X18"/>
    <mergeCell ref="Z17:Z18"/>
    <mergeCell ref="AA17:AA18"/>
    <mergeCell ref="AB17:AB18"/>
    <mergeCell ref="AC17:AC18"/>
    <mergeCell ref="AE17:AE18"/>
    <mergeCell ref="AF17:AF18"/>
    <mergeCell ref="AG17:AG18"/>
    <mergeCell ref="CI17:CI18"/>
    <mergeCell ref="CJ17:CJ18"/>
    <mergeCell ref="AP17:AP18"/>
    <mergeCell ref="AQ17:AQ18"/>
    <mergeCell ref="CF17:CF18"/>
    <mergeCell ref="CH17:CH18"/>
    <mergeCell ref="AT17:AT18"/>
    <mergeCell ref="AU17:AU18"/>
    <mergeCell ref="AV17:AV18"/>
    <mergeCell ref="BB17:BB18"/>
    <mergeCell ref="B19:B20"/>
    <mergeCell ref="C19:C20"/>
    <mergeCell ref="AH19:AH20"/>
    <mergeCell ref="AJ19:AJ20"/>
    <mergeCell ref="D19:D20"/>
    <mergeCell ref="F19:F20"/>
    <mergeCell ref="G19:G20"/>
    <mergeCell ref="H19:H20"/>
    <mergeCell ref="X19:X20"/>
    <mergeCell ref="Z19:Z20"/>
    <mergeCell ref="CI19:CI20"/>
    <mergeCell ref="CJ19:CJ20"/>
    <mergeCell ref="AP19:AP20"/>
    <mergeCell ref="AQ19:AQ20"/>
    <mergeCell ref="CF19:CF20"/>
    <mergeCell ref="CH19:CH20"/>
    <mergeCell ref="AR19:AR20"/>
    <mergeCell ref="AT19:AT20"/>
    <mergeCell ref="AU19:AU20"/>
    <mergeCell ref="AV19:AV20"/>
    <mergeCell ref="Q17:Q18"/>
    <mergeCell ref="R17:R18"/>
    <mergeCell ref="A21:C21"/>
    <mergeCell ref="B22:B23"/>
    <mergeCell ref="C22:C23"/>
    <mergeCell ref="AH22:AH23"/>
    <mergeCell ref="D22:D23"/>
    <mergeCell ref="F22:F23"/>
    <mergeCell ref="G22:G23"/>
    <mergeCell ref="H22:H23"/>
    <mergeCell ref="N22:N23"/>
    <mergeCell ref="P22:P23"/>
    <mergeCell ref="CI22:CI23"/>
    <mergeCell ref="AJ22:AJ23"/>
    <mergeCell ref="AK22:AK23"/>
    <mergeCell ref="AL22:AL23"/>
    <mergeCell ref="AM22:AM23"/>
    <mergeCell ref="AO22:AO23"/>
    <mergeCell ref="AP22:AP23"/>
    <mergeCell ref="AQ22:AQ23"/>
    <mergeCell ref="CF22:CF23"/>
    <mergeCell ref="AR22:AR23"/>
    <mergeCell ref="BF22:BF23"/>
    <mergeCell ref="AK24:AK25"/>
    <mergeCell ref="CJ22:CJ23"/>
    <mergeCell ref="CJ24:CJ25"/>
    <mergeCell ref="AQ24:AQ25"/>
    <mergeCell ref="CF24:CF25"/>
    <mergeCell ref="CH24:CH25"/>
    <mergeCell ref="CI24:CI25"/>
    <mergeCell ref="AO24:AO25"/>
    <mergeCell ref="AP24:AP25"/>
    <mergeCell ref="CH22:CH23"/>
    <mergeCell ref="AL24:AL25"/>
    <mergeCell ref="AM24:AM25"/>
    <mergeCell ref="G27:G28"/>
    <mergeCell ref="H27:H28"/>
    <mergeCell ref="AK27:AK28"/>
    <mergeCell ref="AL27:AL28"/>
    <mergeCell ref="AM27:AM28"/>
    <mergeCell ref="AH24:AH25"/>
    <mergeCell ref="AJ24:AJ25"/>
    <mergeCell ref="H24:H25"/>
    <mergeCell ref="CJ27:CJ28"/>
    <mergeCell ref="W24:W25"/>
    <mergeCell ref="X24:X25"/>
    <mergeCell ref="Z24:Z25"/>
    <mergeCell ref="AA24:AA25"/>
    <mergeCell ref="AB24:AB25"/>
    <mergeCell ref="AC24:AC25"/>
    <mergeCell ref="AE24:AE25"/>
    <mergeCell ref="AF24:AF25"/>
    <mergeCell ref="AG24:AG25"/>
    <mergeCell ref="N27:N28"/>
    <mergeCell ref="P27:P28"/>
    <mergeCell ref="A26:C26"/>
    <mergeCell ref="D24:D25"/>
    <mergeCell ref="F24:F25"/>
    <mergeCell ref="G24:G25"/>
    <mergeCell ref="B24:B25"/>
    <mergeCell ref="C24:C25"/>
    <mergeCell ref="AO27:AO28"/>
    <mergeCell ref="B27:B28"/>
    <mergeCell ref="C27:C28"/>
    <mergeCell ref="AH27:AH28"/>
    <mergeCell ref="AJ27:AJ28"/>
    <mergeCell ref="D27:D28"/>
    <mergeCell ref="F27:F28"/>
    <mergeCell ref="X27:X28"/>
    <mergeCell ref="Z27:Z28"/>
    <mergeCell ref="AA27:AA28"/>
    <mergeCell ref="CI27:CI28"/>
    <mergeCell ref="AP27:AP28"/>
    <mergeCell ref="AQ27:AQ28"/>
    <mergeCell ref="CF27:CF28"/>
    <mergeCell ref="CH27:CH28"/>
    <mergeCell ref="AR27:AR28"/>
    <mergeCell ref="AT27:AT28"/>
    <mergeCell ref="AU27:AU28"/>
    <mergeCell ref="AV27:AV28"/>
    <mergeCell ref="N24:N25"/>
    <mergeCell ref="P24:P25"/>
    <mergeCell ref="Q24:Q25"/>
    <mergeCell ref="R24:R25"/>
    <mergeCell ref="S24:S25"/>
    <mergeCell ref="U24:U25"/>
    <mergeCell ref="V24:V25"/>
    <mergeCell ref="B29:B30"/>
    <mergeCell ref="C29:C30"/>
    <mergeCell ref="AH29:AH30"/>
    <mergeCell ref="AJ29:AJ30"/>
    <mergeCell ref="D29:D30"/>
    <mergeCell ref="F29:F30"/>
    <mergeCell ref="G29:G30"/>
    <mergeCell ref="H29:H30"/>
    <mergeCell ref="U29:U30"/>
    <mergeCell ref="V29:V30"/>
    <mergeCell ref="AK29:AK30"/>
    <mergeCell ref="AL29:AL30"/>
    <mergeCell ref="AM29:AM30"/>
    <mergeCell ref="AO29:AO30"/>
    <mergeCell ref="AK31:AK32"/>
    <mergeCell ref="AL31:AL32"/>
    <mergeCell ref="AM31:AM32"/>
    <mergeCell ref="AO31:AO32"/>
    <mergeCell ref="Q31:Q32"/>
    <mergeCell ref="R31:R32"/>
    <mergeCell ref="S31:S32"/>
    <mergeCell ref="U31:U32"/>
    <mergeCell ref="V31:V32"/>
    <mergeCell ref="Z31:Z32"/>
    <mergeCell ref="AA31:AA32"/>
    <mergeCell ref="AB31:AB32"/>
    <mergeCell ref="AC31:AC32"/>
    <mergeCell ref="AE31:AE32"/>
    <mergeCell ref="AF31:AF32"/>
    <mergeCell ref="AG31:AG32"/>
    <mergeCell ref="CI29:CI30"/>
    <mergeCell ref="CJ29:CJ30"/>
    <mergeCell ref="AP29:AP30"/>
    <mergeCell ref="AQ29:AQ30"/>
    <mergeCell ref="CF29:CF30"/>
    <mergeCell ref="CH29:CH30"/>
    <mergeCell ref="AR29:AR30"/>
    <mergeCell ref="AT29:AT30"/>
    <mergeCell ref="AU29:AU30"/>
    <mergeCell ref="AV29:AV30"/>
    <mergeCell ref="B31:B32"/>
    <mergeCell ref="C31:C32"/>
    <mergeCell ref="AH31:AH32"/>
    <mergeCell ref="AJ31:AJ32"/>
    <mergeCell ref="D31:D32"/>
    <mergeCell ref="F31:F32"/>
    <mergeCell ref="G31:G32"/>
    <mergeCell ref="H31:H32"/>
    <mergeCell ref="W31:W32"/>
    <mergeCell ref="X31:X32"/>
    <mergeCell ref="CI31:CI32"/>
    <mergeCell ref="CJ31:CJ32"/>
    <mergeCell ref="AP31:AP32"/>
    <mergeCell ref="AQ31:AQ32"/>
    <mergeCell ref="CF31:CF32"/>
    <mergeCell ref="CH31:CH32"/>
    <mergeCell ref="AR31:AR32"/>
    <mergeCell ref="AT31:AT32"/>
    <mergeCell ref="AU31:AU32"/>
    <mergeCell ref="AV31:AV32"/>
    <mergeCell ref="N31:N32"/>
    <mergeCell ref="P31:P32"/>
    <mergeCell ref="B33:B34"/>
    <mergeCell ref="C33:C34"/>
    <mergeCell ref="AH33:AH34"/>
    <mergeCell ref="AJ33:AJ34"/>
    <mergeCell ref="D33:D34"/>
    <mergeCell ref="F33:F34"/>
    <mergeCell ref="G33:G34"/>
    <mergeCell ref="H33:H34"/>
    <mergeCell ref="Z33:Z34"/>
    <mergeCell ref="AA33:AA34"/>
    <mergeCell ref="AK33:AK34"/>
    <mergeCell ref="AL33:AL34"/>
    <mergeCell ref="AM33:AM34"/>
    <mergeCell ref="AO33:AO34"/>
    <mergeCell ref="AK35:AK36"/>
    <mergeCell ref="AL35:AL36"/>
    <mergeCell ref="AM35:AM36"/>
    <mergeCell ref="AO35:AO36"/>
    <mergeCell ref="Q33:Q34"/>
    <mergeCell ref="R33:R34"/>
    <mergeCell ref="S33:S34"/>
    <mergeCell ref="U33:U34"/>
    <mergeCell ref="V33:V34"/>
    <mergeCell ref="W33:W34"/>
    <mergeCell ref="X33:X34"/>
    <mergeCell ref="AB33:AB34"/>
    <mergeCell ref="AC33:AC34"/>
    <mergeCell ref="AE33:AE34"/>
    <mergeCell ref="AF33:AF34"/>
    <mergeCell ref="AG33:AG34"/>
    <mergeCell ref="N35:N36"/>
    <mergeCell ref="P35:P36"/>
    <mergeCell ref="CI33:CI34"/>
    <mergeCell ref="CJ33:CJ34"/>
    <mergeCell ref="AP33:AP34"/>
    <mergeCell ref="AQ33:AQ34"/>
    <mergeCell ref="CF33:CF34"/>
    <mergeCell ref="CH33:CH34"/>
    <mergeCell ref="AR33:AR34"/>
    <mergeCell ref="AT33:AT34"/>
    <mergeCell ref="AU33:AU34"/>
    <mergeCell ref="AV33:AV34"/>
    <mergeCell ref="B35:B36"/>
    <mergeCell ref="C35:C36"/>
    <mergeCell ref="AH35:AH36"/>
    <mergeCell ref="AJ35:AJ36"/>
    <mergeCell ref="D35:D36"/>
    <mergeCell ref="F35:F36"/>
    <mergeCell ref="G35:G36"/>
    <mergeCell ref="H35:H36"/>
    <mergeCell ref="U35:U36"/>
    <mergeCell ref="V35:V36"/>
    <mergeCell ref="CI35:CI36"/>
    <mergeCell ref="CJ35:CJ36"/>
    <mergeCell ref="AP35:AP36"/>
    <mergeCell ref="AQ35:AQ36"/>
    <mergeCell ref="CF35:CF36"/>
    <mergeCell ref="CH35:CH36"/>
    <mergeCell ref="AR35:AR36"/>
    <mergeCell ref="AT35:AT36"/>
    <mergeCell ref="AU35:AU36"/>
    <mergeCell ref="AV35:AV36"/>
    <mergeCell ref="N33:N34"/>
    <mergeCell ref="P33:P34"/>
    <mergeCell ref="A37:C37"/>
    <mergeCell ref="B38:B39"/>
    <mergeCell ref="C38:C39"/>
    <mergeCell ref="AH38:AH39"/>
    <mergeCell ref="D38:D39"/>
    <mergeCell ref="F38:F39"/>
    <mergeCell ref="G38:G39"/>
    <mergeCell ref="H38:H39"/>
    <mergeCell ref="W38:W39"/>
    <mergeCell ref="X38:X39"/>
    <mergeCell ref="CH38:CH39"/>
    <mergeCell ref="CI38:CI39"/>
    <mergeCell ref="AJ38:AJ39"/>
    <mergeCell ref="AK38:AK39"/>
    <mergeCell ref="AL38:AL39"/>
    <mergeCell ref="AM38:AM39"/>
    <mergeCell ref="AO38:AO39"/>
    <mergeCell ref="AP38:AP39"/>
    <mergeCell ref="AQ38:AQ39"/>
    <mergeCell ref="CF38:CF39"/>
    <mergeCell ref="BG38:BG39"/>
    <mergeCell ref="BI38:BI39"/>
    <mergeCell ref="BJ38:BJ39"/>
    <mergeCell ref="BK38:BK39"/>
    <mergeCell ref="BL38:BL39"/>
    <mergeCell ref="BN38:BN39"/>
    <mergeCell ref="BO38:BO39"/>
    <mergeCell ref="BP38:BP39"/>
    <mergeCell ref="BQ38:BQ39"/>
    <mergeCell ref="BS38:BS39"/>
    <mergeCell ref="BT38:BT39"/>
    <mergeCell ref="BU38:BU39"/>
    <mergeCell ref="H40:H41"/>
    <mergeCell ref="AK40:AK41"/>
    <mergeCell ref="CJ38:CJ39"/>
    <mergeCell ref="CJ40:CJ41"/>
    <mergeCell ref="AQ40:AQ41"/>
    <mergeCell ref="CF40:CF41"/>
    <mergeCell ref="CH40:CH41"/>
    <mergeCell ref="CI40:CI41"/>
    <mergeCell ref="AO40:AO41"/>
    <mergeCell ref="AP40:AP41"/>
    <mergeCell ref="AL40:AL41"/>
    <mergeCell ref="AM40:AM41"/>
    <mergeCell ref="A42:C42"/>
    <mergeCell ref="D40:D41"/>
    <mergeCell ref="F40:F41"/>
    <mergeCell ref="G40:G41"/>
    <mergeCell ref="B40:B41"/>
    <mergeCell ref="C40:C41"/>
    <mergeCell ref="AH40:AH41"/>
    <mergeCell ref="AJ40:AJ41"/>
    <mergeCell ref="AT40:AT41"/>
    <mergeCell ref="AU40:AU41"/>
    <mergeCell ref="AV40:AV41"/>
    <mergeCell ref="N40:N41"/>
    <mergeCell ref="P40:P41"/>
    <mergeCell ref="Q40:Q41"/>
    <mergeCell ref="R40:R41"/>
    <mergeCell ref="S40:S41"/>
    <mergeCell ref="U40:U41"/>
    <mergeCell ref="V40:V41"/>
    <mergeCell ref="W40:W41"/>
    <mergeCell ref="X40:X41"/>
    <mergeCell ref="B43:B44"/>
    <mergeCell ref="C43:C44"/>
    <mergeCell ref="AH43:AH44"/>
    <mergeCell ref="AJ43:AJ44"/>
    <mergeCell ref="D43:D44"/>
    <mergeCell ref="F43:F44"/>
    <mergeCell ref="G43:G44"/>
    <mergeCell ref="H43:H44"/>
    <mergeCell ref="Z43:Z44"/>
    <mergeCell ref="AA43:AA44"/>
    <mergeCell ref="AK43:AK44"/>
    <mergeCell ref="AL43:AL44"/>
    <mergeCell ref="AM43:AM44"/>
    <mergeCell ref="AO43:AO44"/>
    <mergeCell ref="AK45:AK46"/>
    <mergeCell ref="AL45:AL46"/>
    <mergeCell ref="AM45:AM46"/>
    <mergeCell ref="AO45:AO46"/>
    <mergeCell ref="Q45:Q46"/>
    <mergeCell ref="R45:R46"/>
    <mergeCell ref="S45:S46"/>
    <mergeCell ref="W45:W46"/>
    <mergeCell ref="X45:X46"/>
    <mergeCell ref="Z45:Z46"/>
    <mergeCell ref="AA45:AA46"/>
    <mergeCell ref="AB45:AB46"/>
    <mergeCell ref="AC45:AC46"/>
    <mergeCell ref="AE45:AE46"/>
    <mergeCell ref="AF45:AF46"/>
    <mergeCell ref="AG45:AG46"/>
    <mergeCell ref="CI43:CI44"/>
    <mergeCell ref="CJ43:CJ44"/>
    <mergeCell ref="AP43:AP44"/>
    <mergeCell ref="AQ43:AQ44"/>
    <mergeCell ref="CF43:CF44"/>
    <mergeCell ref="CH43:CH44"/>
    <mergeCell ref="AR43:AR44"/>
    <mergeCell ref="AT43:AT44"/>
    <mergeCell ref="AU43:AU44"/>
    <mergeCell ref="AV43:AV44"/>
    <mergeCell ref="B45:B46"/>
    <mergeCell ref="C45:C46"/>
    <mergeCell ref="AH45:AH46"/>
    <mergeCell ref="AJ45:AJ46"/>
    <mergeCell ref="D45:D46"/>
    <mergeCell ref="F45:F46"/>
    <mergeCell ref="G45:G46"/>
    <mergeCell ref="H45:H46"/>
    <mergeCell ref="U45:U46"/>
    <mergeCell ref="V45:V46"/>
    <mergeCell ref="CI45:CI46"/>
    <mergeCell ref="CJ45:CJ46"/>
    <mergeCell ref="AP45:AP46"/>
    <mergeCell ref="AQ45:AQ46"/>
    <mergeCell ref="CF45:CF46"/>
    <mergeCell ref="CH45:CH46"/>
    <mergeCell ref="AR45:AR46"/>
    <mergeCell ref="AT45:AT46"/>
    <mergeCell ref="AU45:AU46"/>
    <mergeCell ref="AV45:AV46"/>
    <mergeCell ref="N45:N46"/>
    <mergeCell ref="P45:P46"/>
    <mergeCell ref="A47:C47"/>
    <mergeCell ref="B48:B49"/>
    <mergeCell ref="C48:C49"/>
    <mergeCell ref="AH48:AH49"/>
    <mergeCell ref="D48:D49"/>
    <mergeCell ref="F48:F49"/>
    <mergeCell ref="G48:G49"/>
    <mergeCell ref="H48:H49"/>
    <mergeCell ref="W48:W49"/>
    <mergeCell ref="X48:X49"/>
    <mergeCell ref="CH48:CH49"/>
    <mergeCell ref="CI48:CI49"/>
    <mergeCell ref="AJ48:AJ49"/>
    <mergeCell ref="AK48:AK49"/>
    <mergeCell ref="AL48:AL49"/>
    <mergeCell ref="AM48:AM49"/>
    <mergeCell ref="AO48:AO49"/>
    <mergeCell ref="AP48:AP49"/>
    <mergeCell ref="AQ48:AQ49"/>
    <mergeCell ref="CF48:CF49"/>
    <mergeCell ref="AA48:AA49"/>
    <mergeCell ref="AB48:AB49"/>
    <mergeCell ref="AC48:AC49"/>
    <mergeCell ref="AE48:AE49"/>
    <mergeCell ref="AF48:AF49"/>
    <mergeCell ref="AG48:AG49"/>
    <mergeCell ref="I48:I49"/>
    <mergeCell ref="K48:K49"/>
    <mergeCell ref="L48:L49"/>
    <mergeCell ref="M48:M49"/>
    <mergeCell ref="AW48:AW49"/>
    <mergeCell ref="AY48:AY49"/>
    <mergeCell ref="H50:H51"/>
    <mergeCell ref="AK50:AK51"/>
    <mergeCell ref="CJ48:CJ49"/>
    <mergeCell ref="CJ50:CJ51"/>
    <mergeCell ref="AQ50:AQ51"/>
    <mergeCell ref="CF50:CF51"/>
    <mergeCell ref="CH50:CH51"/>
    <mergeCell ref="CI50:CI51"/>
    <mergeCell ref="AO50:AO51"/>
    <mergeCell ref="AP50:AP51"/>
    <mergeCell ref="AL50:AL51"/>
    <mergeCell ref="AM50:AM51"/>
    <mergeCell ref="A52:C52"/>
    <mergeCell ref="D50:D51"/>
    <mergeCell ref="F50:F51"/>
    <mergeCell ref="G50:G51"/>
    <mergeCell ref="B50:B51"/>
    <mergeCell ref="C50:C51"/>
    <mergeCell ref="AH50:AH51"/>
    <mergeCell ref="AJ50:AJ51"/>
    <mergeCell ref="AR50:AR51"/>
    <mergeCell ref="AT50:AT51"/>
    <mergeCell ref="AU50:AU51"/>
    <mergeCell ref="AV50:AV51"/>
    <mergeCell ref="N48:N49"/>
    <mergeCell ref="P48:P49"/>
    <mergeCell ref="Q48:Q49"/>
    <mergeCell ref="R48:R49"/>
    <mergeCell ref="S48:S49"/>
    <mergeCell ref="U48:U49"/>
    <mergeCell ref="V48:V49"/>
    <mergeCell ref="Z48:Z49"/>
    <mergeCell ref="B53:B54"/>
    <mergeCell ref="C53:C54"/>
    <mergeCell ref="AH53:AH54"/>
    <mergeCell ref="AJ53:AJ54"/>
    <mergeCell ref="D53:D54"/>
    <mergeCell ref="F53:F54"/>
    <mergeCell ref="G53:G54"/>
    <mergeCell ref="H53:H54"/>
    <mergeCell ref="Z53:Z54"/>
    <mergeCell ref="AA53:AA54"/>
    <mergeCell ref="AK53:AK54"/>
    <mergeCell ref="AL53:AL54"/>
    <mergeCell ref="AM53:AM54"/>
    <mergeCell ref="AO53:AO54"/>
    <mergeCell ref="AK55:AK56"/>
    <mergeCell ref="AL55:AL56"/>
    <mergeCell ref="AM55:AM56"/>
    <mergeCell ref="AO55:AO56"/>
    <mergeCell ref="AE55:AE56"/>
    <mergeCell ref="AF55:AF56"/>
    <mergeCell ref="AG55:AG56"/>
    <mergeCell ref="CI53:CI54"/>
    <mergeCell ref="CJ53:CJ54"/>
    <mergeCell ref="AP53:AP54"/>
    <mergeCell ref="AQ53:AQ54"/>
    <mergeCell ref="CF53:CF54"/>
    <mergeCell ref="CH53:CH54"/>
    <mergeCell ref="AT53:AT54"/>
    <mergeCell ref="AU53:AU54"/>
    <mergeCell ref="AV53:AV54"/>
    <mergeCell ref="AW53:AW54"/>
    <mergeCell ref="B55:B56"/>
    <mergeCell ref="C55:C56"/>
    <mergeCell ref="AH55:AH56"/>
    <mergeCell ref="AJ55:AJ56"/>
    <mergeCell ref="D55:D56"/>
    <mergeCell ref="F55:F56"/>
    <mergeCell ref="G55:G56"/>
    <mergeCell ref="H55:H56"/>
    <mergeCell ref="U55:U56"/>
    <mergeCell ref="V55:V56"/>
    <mergeCell ref="AR53:AR54"/>
    <mergeCell ref="N55:N56"/>
    <mergeCell ref="P55:P56"/>
    <mergeCell ref="Q55:Q56"/>
    <mergeCell ref="R55:R56"/>
    <mergeCell ref="S55:S56"/>
    <mergeCell ref="W55:W56"/>
    <mergeCell ref="X55:X56"/>
    <mergeCell ref="Z55:Z56"/>
    <mergeCell ref="AA55:AA56"/>
    <mergeCell ref="AB55:AB56"/>
    <mergeCell ref="AC55:AC56"/>
    <mergeCell ref="AK58:AK59"/>
    <mergeCell ref="CI55:CI56"/>
    <mergeCell ref="CJ55:CJ56"/>
    <mergeCell ref="AP55:AP56"/>
    <mergeCell ref="AQ55:AQ56"/>
    <mergeCell ref="CF55:CF56"/>
    <mergeCell ref="CH55:CH56"/>
    <mergeCell ref="AR55:AR56"/>
    <mergeCell ref="AT55:AT56"/>
    <mergeCell ref="AU55:AU56"/>
    <mergeCell ref="CF60:CF61"/>
    <mergeCell ref="AO58:AO59"/>
    <mergeCell ref="AP58:AP59"/>
    <mergeCell ref="AQ58:AQ59"/>
    <mergeCell ref="AU58:AU59"/>
    <mergeCell ref="AV58:AV59"/>
    <mergeCell ref="AW58:AW59"/>
    <mergeCell ref="AY58:AY59"/>
    <mergeCell ref="AZ58:AZ59"/>
    <mergeCell ref="BA58:BA59"/>
    <mergeCell ref="CI60:CI61"/>
    <mergeCell ref="CJ60:CJ61"/>
    <mergeCell ref="AV55:AV56"/>
    <mergeCell ref="BX60:BX61"/>
    <mergeCell ref="BY60:BY61"/>
    <mergeCell ref="BZ60:BZ61"/>
    <mergeCell ref="A57:C57"/>
    <mergeCell ref="B58:B59"/>
    <mergeCell ref="C58:C59"/>
    <mergeCell ref="D58:H59"/>
    <mergeCell ref="AH58:AH59"/>
    <mergeCell ref="AJ58:AJ59"/>
    <mergeCell ref="W58:W59"/>
    <mergeCell ref="X58:X59"/>
    <mergeCell ref="Z58:Z59"/>
    <mergeCell ref="AA58:AA59"/>
    <mergeCell ref="CH62:CH63"/>
    <mergeCell ref="CH60:CH61"/>
    <mergeCell ref="AL58:AL59"/>
    <mergeCell ref="CF58:CF59"/>
    <mergeCell ref="CH58:CH59"/>
    <mergeCell ref="AM58:AM59"/>
    <mergeCell ref="AL60:AL61"/>
    <mergeCell ref="AR62:AR63"/>
    <mergeCell ref="AT62:AT63"/>
    <mergeCell ref="AU62:AU63"/>
    <mergeCell ref="AJ60:AJ61"/>
    <mergeCell ref="AK60:AK61"/>
    <mergeCell ref="B60:B61"/>
    <mergeCell ref="C60:C61"/>
    <mergeCell ref="AM60:AM61"/>
    <mergeCell ref="AO60:AO61"/>
    <mergeCell ref="AP60:AP61"/>
    <mergeCell ref="AQ60:AQ61"/>
    <mergeCell ref="D60:H61"/>
    <mergeCell ref="AH60:AH61"/>
    <mergeCell ref="N58:N59"/>
    <mergeCell ref="P58:P59"/>
    <mergeCell ref="CJ64:CJ65"/>
    <mergeCell ref="AO64:AO65"/>
    <mergeCell ref="AP64:AP65"/>
    <mergeCell ref="B62:B63"/>
    <mergeCell ref="C62:C63"/>
    <mergeCell ref="AM62:AM63"/>
    <mergeCell ref="AO62:AO63"/>
    <mergeCell ref="D62:H63"/>
    <mergeCell ref="CI62:CI63"/>
    <mergeCell ref="CJ62:CJ63"/>
    <mergeCell ref="AP62:AP63"/>
    <mergeCell ref="AQ62:AQ63"/>
    <mergeCell ref="CF62:CF63"/>
    <mergeCell ref="B64:B65"/>
    <mergeCell ref="C64:C65"/>
    <mergeCell ref="AM64:AM65"/>
    <mergeCell ref="AH64:AH65"/>
    <mergeCell ref="AJ64:AJ65"/>
    <mergeCell ref="D64:H65"/>
    <mergeCell ref="AL64:AL65"/>
    <mergeCell ref="CI64:CI65"/>
    <mergeCell ref="N62:N63"/>
    <mergeCell ref="P62:P63"/>
    <mergeCell ref="Q62:Q63"/>
    <mergeCell ref="R62:R63"/>
    <mergeCell ref="S62:S63"/>
    <mergeCell ref="U62:U63"/>
    <mergeCell ref="V62:V63"/>
    <mergeCell ref="W62:W63"/>
    <mergeCell ref="X62:X63"/>
    <mergeCell ref="Z62:Z63"/>
    <mergeCell ref="AA62:AA63"/>
    <mergeCell ref="AJ69:AJ70"/>
    <mergeCell ref="AK69:AK70"/>
    <mergeCell ref="AL69:AL70"/>
    <mergeCell ref="U64:U65"/>
    <mergeCell ref="V64:V65"/>
    <mergeCell ref="W64:W65"/>
    <mergeCell ref="X64:X65"/>
    <mergeCell ref="I66:I67"/>
    <mergeCell ref="AM69:AM70"/>
    <mergeCell ref="AQ64:AQ65"/>
    <mergeCell ref="CF64:CF65"/>
    <mergeCell ref="CH64:CH65"/>
    <mergeCell ref="AV64:AV65"/>
    <mergeCell ref="AU64:AU65"/>
    <mergeCell ref="CH69:CH70"/>
    <mergeCell ref="AV69:AV70"/>
    <mergeCell ref="AT66:AT67"/>
    <mergeCell ref="AU66:AU67"/>
    <mergeCell ref="AR64:AR65"/>
    <mergeCell ref="AT64:AT65"/>
    <mergeCell ref="AG66:AG67"/>
    <mergeCell ref="BG66:BG67"/>
    <mergeCell ref="BI66:BI67"/>
    <mergeCell ref="BJ66:BJ67"/>
    <mergeCell ref="BK66:BK67"/>
    <mergeCell ref="BG69:BG70"/>
    <mergeCell ref="BI69:BI70"/>
    <mergeCell ref="BJ69:BJ70"/>
    <mergeCell ref="BK69:BK70"/>
    <mergeCell ref="AZ64:AZ65"/>
    <mergeCell ref="BA64:BA65"/>
    <mergeCell ref="AW66:AW67"/>
    <mergeCell ref="CI66:CI67"/>
    <mergeCell ref="CJ66:CJ67"/>
    <mergeCell ref="AP66:AP67"/>
    <mergeCell ref="AQ66:AQ67"/>
    <mergeCell ref="CF66:CF67"/>
    <mergeCell ref="CH66:CH67"/>
    <mergeCell ref="AR66:AR67"/>
    <mergeCell ref="B66:B67"/>
    <mergeCell ref="C66:C67"/>
    <mergeCell ref="AM66:AM67"/>
    <mergeCell ref="AO66:AO67"/>
    <mergeCell ref="AH66:AH67"/>
    <mergeCell ref="AJ66:AJ67"/>
    <mergeCell ref="AK66:AK67"/>
    <mergeCell ref="AL66:AL67"/>
    <mergeCell ref="D66:H67"/>
    <mergeCell ref="K66:K67"/>
    <mergeCell ref="N66:N67"/>
    <mergeCell ref="P66:P67"/>
    <mergeCell ref="Q66:Q67"/>
    <mergeCell ref="R66:R67"/>
    <mergeCell ref="S66:S67"/>
    <mergeCell ref="U66:U67"/>
    <mergeCell ref="V66:V67"/>
    <mergeCell ref="W66:W67"/>
    <mergeCell ref="X66:X67"/>
    <mergeCell ref="Z66:Z67"/>
    <mergeCell ref="AA66:AA67"/>
    <mergeCell ref="AB66:AB67"/>
    <mergeCell ref="AC66:AC67"/>
    <mergeCell ref="AE66:AE67"/>
    <mergeCell ref="AF66:AF67"/>
    <mergeCell ref="A68:C68"/>
    <mergeCell ref="B69:B70"/>
    <mergeCell ref="C69:C70"/>
    <mergeCell ref="AH69:AH70"/>
    <mergeCell ref="D69:D70"/>
    <mergeCell ref="F69:F70"/>
    <mergeCell ref="G69:G70"/>
    <mergeCell ref="H69:H70"/>
    <mergeCell ref="Z69:Z70"/>
    <mergeCell ref="AA69:AA70"/>
    <mergeCell ref="AO69:AO70"/>
    <mergeCell ref="AP69:AP70"/>
    <mergeCell ref="AQ69:AQ70"/>
    <mergeCell ref="CF69:CF70"/>
    <mergeCell ref="AQ71:AQ72"/>
    <mergeCell ref="AP71:AP72"/>
    <mergeCell ref="AR69:AR70"/>
    <mergeCell ref="AT69:AT70"/>
    <mergeCell ref="AU69:AU70"/>
    <mergeCell ref="AW69:AW70"/>
    <mergeCell ref="AF69:AF70"/>
    <mergeCell ref="AG69:AG70"/>
    <mergeCell ref="N71:N72"/>
    <mergeCell ref="P71:P72"/>
    <mergeCell ref="Q71:Q72"/>
    <mergeCell ref="R71:R72"/>
    <mergeCell ref="S71:S72"/>
    <mergeCell ref="W71:W72"/>
    <mergeCell ref="X71:X72"/>
    <mergeCell ref="Z71:Z72"/>
    <mergeCell ref="AA71:AA72"/>
    <mergeCell ref="AB71:AB72"/>
    <mergeCell ref="CI69:CI70"/>
    <mergeCell ref="CJ69:CJ70"/>
    <mergeCell ref="CH71:CH72"/>
    <mergeCell ref="CI71:CI72"/>
    <mergeCell ref="CJ71:CJ72"/>
    <mergeCell ref="AK71:AK72"/>
    <mergeCell ref="AL71:AL72"/>
    <mergeCell ref="AM71:AM72"/>
    <mergeCell ref="AO71:AO72"/>
    <mergeCell ref="CF71:CF72"/>
    <mergeCell ref="B71:B72"/>
    <mergeCell ref="C71:C72"/>
    <mergeCell ref="AH71:AH72"/>
    <mergeCell ref="AJ71:AJ72"/>
    <mergeCell ref="D71:D72"/>
    <mergeCell ref="F71:F72"/>
    <mergeCell ref="G71:G72"/>
    <mergeCell ref="H71:H72"/>
    <mergeCell ref="U71:U72"/>
    <mergeCell ref="V71:V72"/>
    <mergeCell ref="N69:N70"/>
    <mergeCell ref="P69:P70"/>
    <mergeCell ref="Q69:Q70"/>
    <mergeCell ref="R69:R70"/>
    <mergeCell ref="S69:S70"/>
    <mergeCell ref="U69:U70"/>
    <mergeCell ref="V69:V70"/>
    <mergeCell ref="W69:W70"/>
    <mergeCell ref="X69:X70"/>
    <mergeCell ref="AB69:AB70"/>
    <mergeCell ref="AC69:AC70"/>
    <mergeCell ref="AE69:AE70"/>
    <mergeCell ref="B73:B74"/>
    <mergeCell ref="C73:C74"/>
    <mergeCell ref="AH73:AH74"/>
    <mergeCell ref="AJ73:AJ74"/>
    <mergeCell ref="D73:D74"/>
    <mergeCell ref="F73:F74"/>
    <mergeCell ref="G73:G74"/>
    <mergeCell ref="H73:H74"/>
    <mergeCell ref="W73:W74"/>
    <mergeCell ref="X73:X74"/>
    <mergeCell ref="AO73:AO74"/>
    <mergeCell ref="CH75:CH76"/>
    <mergeCell ref="AU73:AU74"/>
    <mergeCell ref="AV73:AV74"/>
    <mergeCell ref="AR75:AR76"/>
    <mergeCell ref="AT75:AT76"/>
    <mergeCell ref="AU75:AU76"/>
    <mergeCell ref="AV75:AV76"/>
    <mergeCell ref="AW73:AW74"/>
    <mergeCell ref="AY73:AY74"/>
    <mergeCell ref="BL75:BL76"/>
    <mergeCell ref="BN75:BN76"/>
    <mergeCell ref="BO75:BO76"/>
    <mergeCell ref="BP75:BP76"/>
    <mergeCell ref="BQ75:BQ76"/>
    <mergeCell ref="BS75:BS76"/>
    <mergeCell ref="BT75:BT76"/>
    <mergeCell ref="BU75:BU76"/>
    <mergeCell ref="BV73:BV74"/>
    <mergeCell ref="BX73:BX74"/>
    <mergeCell ref="BY73:BY74"/>
    <mergeCell ref="BZ73:BZ74"/>
    <mergeCell ref="CI73:CI74"/>
    <mergeCell ref="CI75:CI76"/>
    <mergeCell ref="CF73:CF74"/>
    <mergeCell ref="AQ73:AQ74"/>
    <mergeCell ref="AT73:AT74"/>
    <mergeCell ref="AL73:AL74"/>
    <mergeCell ref="AM73:AM74"/>
    <mergeCell ref="CF75:CF76"/>
    <mergeCell ref="AP73:AP74"/>
    <mergeCell ref="AR73:AR74"/>
    <mergeCell ref="CJ73:CJ74"/>
    <mergeCell ref="AK75:AK76"/>
    <mergeCell ref="AL75:AL76"/>
    <mergeCell ref="AM75:AM76"/>
    <mergeCell ref="AO75:AO76"/>
    <mergeCell ref="CJ75:CJ76"/>
    <mergeCell ref="AQ75:AQ76"/>
    <mergeCell ref="AP75:AP76"/>
    <mergeCell ref="CH73:CH74"/>
    <mergeCell ref="AK73:AK74"/>
    <mergeCell ref="BV75:BV76"/>
    <mergeCell ref="BX75:BX76"/>
    <mergeCell ref="BY75:BY76"/>
    <mergeCell ref="BZ75:BZ76"/>
    <mergeCell ref="CA73:CA74"/>
    <mergeCell ref="CC73:CC74"/>
    <mergeCell ref="CD73:CD74"/>
    <mergeCell ref="CE73:CE74"/>
    <mergeCell ref="CA75:CA76"/>
    <mergeCell ref="CC75:CC76"/>
    <mergeCell ref="CD75:CD76"/>
    <mergeCell ref="CE75:CE76"/>
    <mergeCell ref="B78:B79"/>
    <mergeCell ref="C78:C79"/>
    <mergeCell ref="AJ78:AJ79"/>
    <mergeCell ref="D78:D79"/>
    <mergeCell ref="F78:F79"/>
    <mergeCell ref="G78:G79"/>
    <mergeCell ref="H78:H79"/>
    <mergeCell ref="Z78:Z79"/>
    <mergeCell ref="AA78:AA79"/>
    <mergeCell ref="V78:V79"/>
    <mergeCell ref="H75:H76"/>
    <mergeCell ref="A77:C77"/>
    <mergeCell ref="D75:D76"/>
    <mergeCell ref="C75:C76"/>
    <mergeCell ref="F75:F76"/>
    <mergeCell ref="G75:G76"/>
    <mergeCell ref="B75:B76"/>
    <mergeCell ref="N75:N76"/>
    <mergeCell ref="P75:P76"/>
    <mergeCell ref="Q75:Q76"/>
    <mergeCell ref="R75:R76"/>
    <mergeCell ref="S75:S76"/>
    <mergeCell ref="U75:U76"/>
    <mergeCell ref="V75:V76"/>
    <mergeCell ref="W75:W76"/>
    <mergeCell ref="X75:X76"/>
    <mergeCell ref="W78:W79"/>
    <mergeCell ref="X78:X79"/>
    <mergeCell ref="Z75:Z76"/>
    <mergeCell ref="AA75:AA76"/>
    <mergeCell ref="AB75:AB76"/>
    <mergeCell ref="N78:N79"/>
    <mergeCell ref="AR78:AR79"/>
    <mergeCell ref="AT78:AT79"/>
    <mergeCell ref="AU78:AU79"/>
    <mergeCell ref="AV78:AV79"/>
    <mergeCell ref="AO78:AO79"/>
    <mergeCell ref="AH78:AH79"/>
    <mergeCell ref="AK78:AK79"/>
    <mergeCell ref="AL78:AL79"/>
    <mergeCell ref="AM78:AM79"/>
    <mergeCell ref="AH62:AH63"/>
    <mergeCell ref="AJ62:AJ63"/>
    <mergeCell ref="AK62:AK63"/>
    <mergeCell ref="AL62:AL63"/>
    <mergeCell ref="AH75:AH76"/>
    <mergeCell ref="AJ75:AJ76"/>
    <mergeCell ref="AK64:AK65"/>
    <mergeCell ref="CI58:CI59"/>
    <mergeCell ref="CI78:CI79"/>
    <mergeCell ref="AV62:AV63"/>
    <mergeCell ref="AR60:AR61"/>
    <mergeCell ref="AT60:AT61"/>
    <mergeCell ref="AU60:AU61"/>
    <mergeCell ref="AV60:AV61"/>
    <mergeCell ref="AR71:AR72"/>
    <mergeCell ref="AT71:AT72"/>
    <mergeCell ref="AU71:AU72"/>
    <mergeCell ref="AV71:AV72"/>
    <mergeCell ref="AV66:AV67"/>
    <mergeCell ref="BG64:BG65"/>
    <mergeCell ref="BI64:BI65"/>
    <mergeCell ref="BJ64:BJ65"/>
    <mergeCell ref="BK64:BK65"/>
    <mergeCell ref="CJ78:CJ79"/>
    <mergeCell ref="AP78:AP79"/>
    <mergeCell ref="AQ78:AQ79"/>
    <mergeCell ref="CF78:CF79"/>
    <mergeCell ref="CH78:CH79"/>
    <mergeCell ref="CJ58:CJ59"/>
    <mergeCell ref="AR58:AR59"/>
    <mergeCell ref="AT58:AT59"/>
    <mergeCell ref="AV24:AV25"/>
    <mergeCell ref="AT6:AT7"/>
    <mergeCell ref="AU6:AU7"/>
    <mergeCell ref="AV6:AV7"/>
    <mergeCell ref="AR8:AR9"/>
    <mergeCell ref="AT8:AT9"/>
    <mergeCell ref="AU8:AU9"/>
    <mergeCell ref="AV8:AV9"/>
    <mergeCell ref="AR17:AR18"/>
    <mergeCell ref="AR38:AR39"/>
    <mergeCell ref="AT38:AT39"/>
    <mergeCell ref="AU38:AU39"/>
    <mergeCell ref="AV38:AV39"/>
    <mergeCell ref="AT22:AT23"/>
    <mergeCell ref="AU22:AU23"/>
    <mergeCell ref="AV22:AV23"/>
    <mergeCell ref="AR24:AR25"/>
    <mergeCell ref="AT24:AT25"/>
    <mergeCell ref="AU24:AU25"/>
    <mergeCell ref="AR48:AR49"/>
    <mergeCell ref="AT48:AT49"/>
    <mergeCell ref="AU48:AU49"/>
    <mergeCell ref="AV48:AV49"/>
    <mergeCell ref="AR40:AR41"/>
    <mergeCell ref="S4:W4"/>
    <mergeCell ref="X4:AB4"/>
    <mergeCell ref="AC4:AG4"/>
    <mergeCell ref="N6:N7"/>
    <mergeCell ref="P6:P7"/>
    <mergeCell ref="Q6:Q7"/>
    <mergeCell ref="R6:R7"/>
    <mergeCell ref="S6:S7"/>
    <mergeCell ref="U6:U7"/>
    <mergeCell ref="V6:V7"/>
    <mergeCell ref="Z6:Z7"/>
    <mergeCell ref="AA6:AA7"/>
    <mergeCell ref="AB6:AB7"/>
    <mergeCell ref="AC6:AC7"/>
    <mergeCell ref="AE6:AE7"/>
    <mergeCell ref="AF6:AF7"/>
    <mergeCell ref="AG6:AG7"/>
    <mergeCell ref="X8:X9"/>
    <mergeCell ref="Z8:Z9"/>
    <mergeCell ref="AA8:AA9"/>
    <mergeCell ref="AB8:AB9"/>
    <mergeCell ref="AC8:AC9"/>
    <mergeCell ref="AE8:AE9"/>
    <mergeCell ref="AF8:AF9"/>
    <mergeCell ref="AG8:AG9"/>
    <mergeCell ref="N11:N12"/>
    <mergeCell ref="P11:P12"/>
    <mergeCell ref="Q11:Q12"/>
    <mergeCell ref="R11:R12"/>
    <mergeCell ref="S11:S12"/>
    <mergeCell ref="U11:U12"/>
    <mergeCell ref="V11:V12"/>
    <mergeCell ref="W11:W12"/>
    <mergeCell ref="X11:X12"/>
    <mergeCell ref="AC11:AC12"/>
    <mergeCell ref="AE11:AE12"/>
    <mergeCell ref="AF11:AF12"/>
    <mergeCell ref="AG11:AG12"/>
    <mergeCell ref="AA13:AA14"/>
    <mergeCell ref="AB13:AB14"/>
    <mergeCell ref="AC13:AC14"/>
    <mergeCell ref="AE13:AE14"/>
    <mergeCell ref="AF13:AF14"/>
    <mergeCell ref="AG13:AG14"/>
    <mergeCell ref="N15:N16"/>
    <mergeCell ref="P15:P16"/>
    <mergeCell ref="Q15:Q16"/>
    <mergeCell ref="R15:R16"/>
    <mergeCell ref="S15:S16"/>
    <mergeCell ref="U15:U16"/>
    <mergeCell ref="V15:V16"/>
    <mergeCell ref="W15:W16"/>
    <mergeCell ref="AA15:AA16"/>
    <mergeCell ref="AB15:AB16"/>
    <mergeCell ref="AC15:AC16"/>
    <mergeCell ref="AE15:AE16"/>
    <mergeCell ref="AF15:AF16"/>
    <mergeCell ref="AG15:AG16"/>
    <mergeCell ref="N19:N20"/>
    <mergeCell ref="P19:P20"/>
    <mergeCell ref="Q19:Q20"/>
    <mergeCell ref="R19:R20"/>
    <mergeCell ref="S19:S20"/>
    <mergeCell ref="U19:U20"/>
    <mergeCell ref="V19:V20"/>
    <mergeCell ref="W19:W20"/>
    <mergeCell ref="AA19:AA20"/>
    <mergeCell ref="AB19:AB20"/>
    <mergeCell ref="AC19:AC20"/>
    <mergeCell ref="AE19:AE20"/>
    <mergeCell ref="AF19:AF20"/>
    <mergeCell ref="AG19:AG20"/>
    <mergeCell ref="Q22:Q23"/>
    <mergeCell ref="R22:R23"/>
    <mergeCell ref="S22:S23"/>
    <mergeCell ref="U22:U23"/>
    <mergeCell ref="V22:V23"/>
    <mergeCell ref="W22:W23"/>
    <mergeCell ref="X22:X23"/>
    <mergeCell ref="Z22:Z23"/>
    <mergeCell ref="AA22:AA23"/>
    <mergeCell ref="AB22:AB23"/>
    <mergeCell ref="AC22:AC23"/>
    <mergeCell ref="AE22:AE23"/>
    <mergeCell ref="AF22:AF23"/>
    <mergeCell ref="AG22:AG23"/>
    <mergeCell ref="Q27:Q28"/>
    <mergeCell ref="R27:R28"/>
    <mergeCell ref="S27:S28"/>
    <mergeCell ref="U27:U28"/>
    <mergeCell ref="V27:V28"/>
    <mergeCell ref="W27:W28"/>
    <mergeCell ref="AB27:AB28"/>
    <mergeCell ref="AC27:AC28"/>
    <mergeCell ref="AE27:AE28"/>
    <mergeCell ref="AF27:AF28"/>
    <mergeCell ref="AG27:AG28"/>
    <mergeCell ref="N29:N30"/>
    <mergeCell ref="P29:P30"/>
    <mergeCell ref="Q29:Q30"/>
    <mergeCell ref="R29:R30"/>
    <mergeCell ref="S29:S30"/>
    <mergeCell ref="W29:W30"/>
    <mergeCell ref="X29:X30"/>
    <mergeCell ref="Z29:Z30"/>
    <mergeCell ref="AA29:AA30"/>
    <mergeCell ref="AB29:AB30"/>
    <mergeCell ref="AC29:AC30"/>
    <mergeCell ref="AE29:AE30"/>
    <mergeCell ref="AF29:AF30"/>
    <mergeCell ref="AG29:AG30"/>
    <mergeCell ref="Q35:Q36"/>
    <mergeCell ref="R35:R36"/>
    <mergeCell ref="S35:S36"/>
    <mergeCell ref="W35:W36"/>
    <mergeCell ref="X35:X36"/>
    <mergeCell ref="Z35:Z36"/>
    <mergeCell ref="AA35:AA36"/>
    <mergeCell ref="AB35:AB36"/>
    <mergeCell ref="AC35:AC36"/>
    <mergeCell ref="AE35:AE36"/>
    <mergeCell ref="AF35:AF36"/>
    <mergeCell ref="AG35:AG36"/>
    <mergeCell ref="N38:N39"/>
    <mergeCell ref="P38:P39"/>
    <mergeCell ref="Q38:Q39"/>
    <mergeCell ref="R38:R39"/>
    <mergeCell ref="S38:S39"/>
    <mergeCell ref="U38:U39"/>
    <mergeCell ref="V38:V39"/>
    <mergeCell ref="Z38:Z39"/>
    <mergeCell ref="AA38:AA39"/>
    <mergeCell ref="AB38:AB39"/>
    <mergeCell ref="AC38:AC39"/>
    <mergeCell ref="AE38:AE39"/>
    <mergeCell ref="AF38:AF39"/>
    <mergeCell ref="AG38:AG39"/>
    <mergeCell ref="Z40:Z41"/>
    <mergeCell ref="AA40:AA41"/>
    <mergeCell ref="AB40:AB41"/>
    <mergeCell ref="AC40:AC41"/>
    <mergeCell ref="AE40:AE41"/>
    <mergeCell ref="AF40:AF41"/>
    <mergeCell ref="AG40:AG41"/>
    <mergeCell ref="N43:N44"/>
    <mergeCell ref="P43:P44"/>
    <mergeCell ref="Q43:Q44"/>
    <mergeCell ref="R43:R44"/>
    <mergeCell ref="S43:S44"/>
    <mergeCell ref="U43:U44"/>
    <mergeCell ref="V43:V44"/>
    <mergeCell ref="W43:W44"/>
    <mergeCell ref="X43:X44"/>
    <mergeCell ref="AB43:AB44"/>
    <mergeCell ref="AC43:AC44"/>
    <mergeCell ref="AE43:AE44"/>
    <mergeCell ref="AF43:AF44"/>
    <mergeCell ref="AG43:AG44"/>
    <mergeCell ref="N50:N51"/>
    <mergeCell ref="P50:P51"/>
    <mergeCell ref="Q50:Q51"/>
    <mergeCell ref="R50:R51"/>
    <mergeCell ref="S50:S51"/>
    <mergeCell ref="U50:U51"/>
    <mergeCell ref="V50:V51"/>
    <mergeCell ref="W50:W51"/>
    <mergeCell ref="X50:X51"/>
    <mergeCell ref="Z50:Z51"/>
    <mergeCell ref="AA50:AA51"/>
    <mergeCell ref="AB50:AB51"/>
    <mergeCell ref="AC50:AC51"/>
    <mergeCell ref="AE50:AE51"/>
    <mergeCell ref="AF50:AF51"/>
    <mergeCell ref="AG50:AG51"/>
    <mergeCell ref="N53:N54"/>
    <mergeCell ref="P53:P54"/>
    <mergeCell ref="Q53:Q54"/>
    <mergeCell ref="R53:R54"/>
    <mergeCell ref="S53:S54"/>
    <mergeCell ref="U53:U54"/>
    <mergeCell ref="V53:V54"/>
    <mergeCell ref="W53:W54"/>
    <mergeCell ref="X53:X54"/>
    <mergeCell ref="AB53:AB54"/>
    <mergeCell ref="AC53:AC54"/>
    <mergeCell ref="AE53:AE54"/>
    <mergeCell ref="AF53:AF54"/>
    <mergeCell ref="AG53:AG54"/>
    <mergeCell ref="Q58:Q59"/>
    <mergeCell ref="R58:R59"/>
    <mergeCell ref="S58:S59"/>
    <mergeCell ref="U58:U59"/>
    <mergeCell ref="V58:V59"/>
    <mergeCell ref="AB58:AB59"/>
    <mergeCell ref="AC58:AC59"/>
    <mergeCell ref="AE58:AE59"/>
    <mergeCell ref="AF58:AF59"/>
    <mergeCell ref="AG58:AG59"/>
    <mergeCell ref="N60:N61"/>
    <mergeCell ref="P60:P61"/>
    <mergeCell ref="Q60:Q61"/>
    <mergeCell ref="R60:R61"/>
    <mergeCell ref="S60:S61"/>
    <mergeCell ref="U60:U61"/>
    <mergeCell ref="V60:V61"/>
    <mergeCell ref="W60:W61"/>
    <mergeCell ref="X60:X61"/>
    <mergeCell ref="Z60:Z61"/>
    <mergeCell ref="AA60:AA61"/>
    <mergeCell ref="AB60:AB61"/>
    <mergeCell ref="AC60:AC61"/>
    <mergeCell ref="AE60:AE61"/>
    <mergeCell ref="AF60:AF61"/>
    <mergeCell ref="AG60:AG61"/>
    <mergeCell ref="AB62:AB63"/>
    <mergeCell ref="AC62:AC63"/>
    <mergeCell ref="AE62:AE63"/>
    <mergeCell ref="AF62:AF63"/>
    <mergeCell ref="AG62:AG63"/>
    <mergeCell ref="N64:N65"/>
    <mergeCell ref="P64:P65"/>
    <mergeCell ref="Q64:Q65"/>
    <mergeCell ref="R64:R65"/>
    <mergeCell ref="S64:S65"/>
    <mergeCell ref="Z64:Z65"/>
    <mergeCell ref="AA64:AA65"/>
    <mergeCell ref="AB64:AB65"/>
    <mergeCell ref="AC64:AC65"/>
    <mergeCell ref="AE64:AE65"/>
    <mergeCell ref="AF64:AF65"/>
    <mergeCell ref="AG64:AG65"/>
    <mergeCell ref="AC71:AC72"/>
    <mergeCell ref="AE71:AE72"/>
    <mergeCell ref="AF71:AF72"/>
    <mergeCell ref="AG71:AG72"/>
    <mergeCell ref="N73:N74"/>
    <mergeCell ref="P73:P74"/>
    <mergeCell ref="Q73:Q74"/>
    <mergeCell ref="R73:R74"/>
    <mergeCell ref="S73:S74"/>
    <mergeCell ref="U73:U74"/>
    <mergeCell ref="V73:V74"/>
    <mergeCell ref="Z73:Z74"/>
    <mergeCell ref="AA73:AA74"/>
    <mergeCell ref="AB73:AB74"/>
    <mergeCell ref="AC73:AC74"/>
    <mergeCell ref="AE73:AE74"/>
    <mergeCell ref="AF73:AF74"/>
    <mergeCell ref="AG73:AG74"/>
    <mergeCell ref="P78:P79"/>
    <mergeCell ref="Q78:Q79"/>
    <mergeCell ref="R78:R79"/>
    <mergeCell ref="S78:S79"/>
    <mergeCell ref="AG75:AG76"/>
    <mergeCell ref="AC75:AC76"/>
    <mergeCell ref="AE75:AE76"/>
    <mergeCell ref="AF75:AF76"/>
    <mergeCell ref="U78:U79"/>
    <mergeCell ref="AB78:AB79"/>
    <mergeCell ref="AC78:AC79"/>
    <mergeCell ref="AE78:AE79"/>
    <mergeCell ref="AF78:AF79"/>
    <mergeCell ref="AG78:AG79"/>
    <mergeCell ref="BG4:BK4"/>
    <mergeCell ref="BG6:BG7"/>
    <mergeCell ref="BI6:BI7"/>
    <mergeCell ref="BJ6:BJ7"/>
    <mergeCell ref="BK6:BK7"/>
    <mergeCell ref="BG8:BG9"/>
    <mergeCell ref="BI8:BI9"/>
    <mergeCell ref="BJ8:BJ9"/>
    <mergeCell ref="BK8:BK9"/>
    <mergeCell ref="BG11:BG12"/>
    <mergeCell ref="BI11:BI12"/>
    <mergeCell ref="BJ11:BJ12"/>
    <mergeCell ref="BK11:BK12"/>
    <mergeCell ref="BG13:BG14"/>
    <mergeCell ref="BI13:BI14"/>
    <mergeCell ref="BJ13:BJ14"/>
    <mergeCell ref="BK13:BK14"/>
    <mergeCell ref="BG15:BG16"/>
    <mergeCell ref="BI15:BI16"/>
    <mergeCell ref="BJ15:BJ16"/>
    <mergeCell ref="BK15:BK16"/>
    <mergeCell ref="BG17:BG18"/>
    <mergeCell ref="BI17:BI18"/>
    <mergeCell ref="BJ17:BJ18"/>
    <mergeCell ref="BK17:BK18"/>
    <mergeCell ref="BG19:BG20"/>
    <mergeCell ref="BI19:BI20"/>
    <mergeCell ref="BJ19:BJ20"/>
    <mergeCell ref="BK19:BK20"/>
    <mergeCell ref="BG22:BG23"/>
    <mergeCell ref="BI22:BI23"/>
    <mergeCell ref="BJ22:BJ23"/>
    <mergeCell ref="BK22:BK23"/>
    <mergeCell ref="BG24:BG25"/>
    <mergeCell ref="BI24:BI25"/>
    <mergeCell ref="BJ24:BJ25"/>
    <mergeCell ref="BK24:BK25"/>
    <mergeCell ref="BG27:BG28"/>
    <mergeCell ref="BI27:BI28"/>
    <mergeCell ref="BJ27:BJ28"/>
    <mergeCell ref="BK27:BK28"/>
    <mergeCell ref="BG29:BG30"/>
    <mergeCell ref="BI29:BI30"/>
    <mergeCell ref="BJ29:BJ30"/>
    <mergeCell ref="BK29:BK30"/>
    <mergeCell ref="BG31:BG32"/>
    <mergeCell ref="BI31:BI32"/>
    <mergeCell ref="BJ31:BJ32"/>
    <mergeCell ref="BK31:BK32"/>
    <mergeCell ref="BG33:BG34"/>
    <mergeCell ref="BI33:BI34"/>
    <mergeCell ref="BJ33:BJ34"/>
    <mergeCell ref="BK33:BK34"/>
    <mergeCell ref="BG35:BG36"/>
    <mergeCell ref="BI35:BI36"/>
    <mergeCell ref="BJ35:BJ36"/>
    <mergeCell ref="BK35:BK36"/>
    <mergeCell ref="BG62:BG63"/>
    <mergeCell ref="BI62:BI63"/>
    <mergeCell ref="BJ62:BJ63"/>
    <mergeCell ref="BK62:BK63"/>
    <mergeCell ref="BG40:BG41"/>
    <mergeCell ref="BI40:BI41"/>
    <mergeCell ref="BJ40:BJ41"/>
    <mergeCell ref="BK40:BK41"/>
    <mergeCell ref="BG43:BG44"/>
    <mergeCell ref="BI43:BI44"/>
    <mergeCell ref="BJ43:BJ44"/>
    <mergeCell ref="BK43:BK44"/>
    <mergeCell ref="BG45:BG46"/>
    <mergeCell ref="BI45:BI46"/>
    <mergeCell ref="BJ45:BJ46"/>
    <mergeCell ref="BK45:BK46"/>
    <mergeCell ref="BG48:BG49"/>
    <mergeCell ref="BI48:BI49"/>
    <mergeCell ref="BJ48:BJ49"/>
    <mergeCell ref="BK48:BK49"/>
    <mergeCell ref="BG50:BG51"/>
    <mergeCell ref="BI50:BI51"/>
    <mergeCell ref="BJ50:BJ51"/>
    <mergeCell ref="BK50:BK51"/>
    <mergeCell ref="BG71:BG72"/>
    <mergeCell ref="BI71:BI72"/>
    <mergeCell ref="BJ71:BJ72"/>
    <mergeCell ref="BK71:BK72"/>
    <mergeCell ref="BG73:BG74"/>
    <mergeCell ref="BI73:BI74"/>
    <mergeCell ref="BJ73:BJ74"/>
    <mergeCell ref="BK73:BK74"/>
    <mergeCell ref="BG75:BG76"/>
    <mergeCell ref="BI75:BI76"/>
    <mergeCell ref="BJ75:BJ76"/>
    <mergeCell ref="BK75:BK76"/>
    <mergeCell ref="BG78:BG79"/>
    <mergeCell ref="BI78:BI79"/>
    <mergeCell ref="BJ78:BJ79"/>
    <mergeCell ref="BK78:BK79"/>
    <mergeCell ref="BG53:BG54"/>
    <mergeCell ref="BI53:BI54"/>
    <mergeCell ref="BJ53:BJ54"/>
    <mergeCell ref="BK53:BK54"/>
    <mergeCell ref="BG55:BG56"/>
    <mergeCell ref="BI55:BI56"/>
    <mergeCell ref="BJ55:BJ56"/>
    <mergeCell ref="BK55:BK56"/>
    <mergeCell ref="BG58:BG59"/>
    <mergeCell ref="BI58:BI59"/>
    <mergeCell ref="BJ58:BJ59"/>
    <mergeCell ref="BK58:BK59"/>
    <mergeCell ref="BG60:BG61"/>
    <mergeCell ref="BI60:BI61"/>
    <mergeCell ref="BJ60:BJ61"/>
    <mergeCell ref="BK60:BK61"/>
    <mergeCell ref="CK3:CO3"/>
    <mergeCell ref="CK4:CO4"/>
    <mergeCell ref="CK6:CK7"/>
    <mergeCell ref="CM6:CM7"/>
    <mergeCell ref="CN6:CN7"/>
    <mergeCell ref="CO6:CO7"/>
    <mergeCell ref="CK8:CK9"/>
    <mergeCell ref="CM8:CM9"/>
    <mergeCell ref="CN8:CN9"/>
    <mergeCell ref="CO8:CO9"/>
    <mergeCell ref="CK11:CK12"/>
    <mergeCell ref="CM11:CM12"/>
    <mergeCell ref="CN11:CN12"/>
    <mergeCell ref="CO11:CO12"/>
    <mergeCell ref="CK13:CK14"/>
    <mergeCell ref="CM13:CM14"/>
    <mergeCell ref="CN13:CN14"/>
    <mergeCell ref="CO13:CO14"/>
    <mergeCell ref="CK15:CK16"/>
    <mergeCell ref="CM15:CM16"/>
    <mergeCell ref="CN15:CN16"/>
    <mergeCell ref="CO15:CO16"/>
    <mergeCell ref="CK17:CK18"/>
    <mergeCell ref="CM17:CM18"/>
    <mergeCell ref="CN17:CN18"/>
    <mergeCell ref="CO17:CO18"/>
    <mergeCell ref="CK19:CK20"/>
    <mergeCell ref="CM19:CM20"/>
    <mergeCell ref="CN19:CN20"/>
    <mergeCell ref="CO19:CO20"/>
    <mergeCell ref="CK22:CK23"/>
    <mergeCell ref="CM22:CM23"/>
    <mergeCell ref="CN22:CN23"/>
    <mergeCell ref="CO22:CO23"/>
    <mergeCell ref="CK24:CK25"/>
    <mergeCell ref="CM24:CM25"/>
    <mergeCell ref="CN24:CN25"/>
    <mergeCell ref="CO24:CO25"/>
    <mergeCell ref="CK27:CK28"/>
    <mergeCell ref="CM27:CM28"/>
    <mergeCell ref="CN27:CN28"/>
    <mergeCell ref="CO27:CO28"/>
    <mergeCell ref="CK29:CK30"/>
    <mergeCell ref="CM29:CM30"/>
    <mergeCell ref="CN29:CN30"/>
    <mergeCell ref="CO29:CO30"/>
    <mergeCell ref="CK31:CK32"/>
    <mergeCell ref="CM31:CM32"/>
    <mergeCell ref="CN31:CN32"/>
    <mergeCell ref="CO31:CO32"/>
    <mergeCell ref="CK33:CK34"/>
    <mergeCell ref="CM33:CM34"/>
    <mergeCell ref="CN33:CN34"/>
    <mergeCell ref="CO33:CO34"/>
    <mergeCell ref="CK35:CK36"/>
    <mergeCell ref="CM35:CM36"/>
    <mergeCell ref="CN35:CN36"/>
    <mergeCell ref="CO35:CO36"/>
    <mergeCell ref="CK38:CK39"/>
    <mergeCell ref="CM38:CM39"/>
    <mergeCell ref="CN38:CN39"/>
    <mergeCell ref="CO38:CO39"/>
    <mergeCell ref="CK40:CK41"/>
    <mergeCell ref="CM40:CM41"/>
    <mergeCell ref="CN40:CN41"/>
    <mergeCell ref="CO40:CO41"/>
    <mergeCell ref="CK43:CK44"/>
    <mergeCell ref="CM43:CM44"/>
    <mergeCell ref="CN43:CN44"/>
    <mergeCell ref="CO43:CO44"/>
    <mergeCell ref="CK45:CK46"/>
    <mergeCell ref="CM45:CM46"/>
    <mergeCell ref="CN45:CN46"/>
    <mergeCell ref="CO45:CO46"/>
    <mergeCell ref="CK48:CK49"/>
    <mergeCell ref="CM48:CM49"/>
    <mergeCell ref="CN48:CN49"/>
    <mergeCell ref="CO48:CO49"/>
    <mergeCell ref="CK71:CK72"/>
    <mergeCell ref="CM71:CM72"/>
    <mergeCell ref="CN71:CN72"/>
    <mergeCell ref="CO71:CO72"/>
    <mergeCell ref="CK50:CK51"/>
    <mergeCell ref="CM50:CM51"/>
    <mergeCell ref="CN50:CN51"/>
    <mergeCell ref="CO50:CO51"/>
    <mergeCell ref="CK53:CK54"/>
    <mergeCell ref="CM53:CM54"/>
    <mergeCell ref="CN53:CN54"/>
    <mergeCell ref="CO53:CO54"/>
    <mergeCell ref="CK55:CK56"/>
    <mergeCell ref="CM55:CM56"/>
    <mergeCell ref="CN55:CN56"/>
    <mergeCell ref="CO55:CO56"/>
    <mergeCell ref="CK58:CK59"/>
    <mergeCell ref="CM58:CM59"/>
    <mergeCell ref="CN58:CN59"/>
    <mergeCell ref="CO58:CO59"/>
    <mergeCell ref="CK60:CK61"/>
    <mergeCell ref="CM60:CM61"/>
    <mergeCell ref="CN60:CN61"/>
    <mergeCell ref="CO60:CO61"/>
    <mergeCell ref="CK73:CK74"/>
    <mergeCell ref="CM73:CM74"/>
    <mergeCell ref="CN73:CN74"/>
    <mergeCell ref="CO73:CO74"/>
    <mergeCell ref="CK75:CK76"/>
    <mergeCell ref="CM75:CM76"/>
    <mergeCell ref="CN75:CN76"/>
    <mergeCell ref="CO75:CO76"/>
    <mergeCell ref="CK78:CK79"/>
    <mergeCell ref="CM78:CM79"/>
    <mergeCell ref="CN78:CN79"/>
    <mergeCell ref="CO78:CO79"/>
    <mergeCell ref="CK80:CK81"/>
    <mergeCell ref="CM80:CM81"/>
    <mergeCell ref="CN80:CN81"/>
    <mergeCell ref="CO80:CO81"/>
    <mergeCell ref="CK62:CK63"/>
    <mergeCell ref="CM62:CM63"/>
    <mergeCell ref="CN62:CN63"/>
    <mergeCell ref="CO62:CO63"/>
    <mergeCell ref="CK64:CK65"/>
    <mergeCell ref="CM64:CM65"/>
    <mergeCell ref="CN64:CN65"/>
    <mergeCell ref="CO64:CO65"/>
    <mergeCell ref="CK66:CK67"/>
    <mergeCell ref="CM66:CM67"/>
    <mergeCell ref="CN66:CN67"/>
    <mergeCell ref="CO66:CO67"/>
    <mergeCell ref="CK69:CK70"/>
    <mergeCell ref="CM69:CM70"/>
    <mergeCell ref="CN69:CN70"/>
    <mergeCell ref="CO69:CO70"/>
  </mergeCells>
  <phoneticPr fontId="3"/>
  <pageMargins left="0.56999999999999995" right="0.17" top="0.48" bottom="0.28000000000000003" header="0.26" footer="0.19"/>
  <pageSetup paperSize="9" scale="5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72"/>
  <sheetViews>
    <sheetView workbookViewId="0"/>
  </sheetViews>
  <sheetFormatPr defaultColWidth="9" defaultRowHeight="10.8" x14ac:dyDescent="0.2"/>
  <cols>
    <col min="1" max="2" width="2.77734375" style="76" customWidth="1"/>
    <col min="3" max="3" width="29.44140625" style="76" customWidth="1"/>
    <col min="4" max="4" width="5.77734375" style="201" customWidth="1"/>
    <col min="5" max="23" width="9.5546875" style="76" customWidth="1"/>
    <col min="24" max="16384" width="9" style="76"/>
  </cols>
  <sheetData>
    <row r="1" spans="1:23" ht="16.2" x14ac:dyDescent="0.2">
      <c r="A1" s="6" t="s">
        <v>385</v>
      </c>
    </row>
    <row r="2" spans="1:23" ht="14.4" x14ac:dyDescent="0.2">
      <c r="A2" s="75" t="str">
        <f>BS!A2</f>
        <v>３１　輸送用機械器具製造業</v>
      </c>
    </row>
    <row r="3" spans="1:23" x14ac:dyDescent="0.2">
      <c r="A3" s="78"/>
      <c r="B3" s="78"/>
      <c r="C3" s="78"/>
      <c r="D3" s="202"/>
      <c r="E3" s="111" t="s">
        <v>532</v>
      </c>
      <c r="F3" s="111" t="s">
        <v>519</v>
      </c>
      <c r="G3" s="111" t="s">
        <v>520</v>
      </c>
      <c r="H3" s="111" t="s">
        <v>521</v>
      </c>
      <c r="I3" s="111" t="s">
        <v>522</v>
      </c>
      <c r="J3" s="111" t="s">
        <v>359</v>
      </c>
      <c r="K3" s="111" t="s">
        <v>506</v>
      </c>
      <c r="L3" s="111" t="s">
        <v>511</v>
      </c>
      <c r="M3" s="111" t="s">
        <v>515</v>
      </c>
      <c r="N3" s="111" t="s">
        <v>517</v>
      </c>
      <c r="O3" s="111" t="s">
        <v>535</v>
      </c>
      <c r="P3" s="111" t="s">
        <v>536</v>
      </c>
      <c r="Q3" s="111" t="s">
        <v>539</v>
      </c>
      <c r="R3" s="111" t="s">
        <v>554</v>
      </c>
      <c r="S3" s="111" t="s">
        <v>557</v>
      </c>
      <c r="T3" s="111" t="s">
        <v>559</v>
      </c>
      <c r="U3" s="111" t="s">
        <v>563</v>
      </c>
      <c r="V3" s="111" t="s">
        <v>576</v>
      </c>
      <c r="W3" s="111" t="s">
        <v>580</v>
      </c>
    </row>
    <row r="4" spans="1:23" x14ac:dyDescent="0.2">
      <c r="A4" s="339" t="s">
        <v>395</v>
      </c>
      <c r="B4" s="339" t="s">
        <v>397</v>
      </c>
      <c r="C4" s="155" t="s">
        <v>386</v>
      </c>
      <c r="D4" s="203" t="s">
        <v>254</v>
      </c>
      <c r="E4" s="156">
        <f>BS!K9</f>
        <v>390947.06493997504</v>
      </c>
      <c r="F4" s="156">
        <f>BS!L9</f>
        <v>301965.4210348326</v>
      </c>
      <c r="G4" s="156">
        <f>BS!M9</f>
        <v>370021.89614982513</v>
      </c>
      <c r="H4" s="156">
        <f>BS!N9</f>
        <v>341836.69423232094</v>
      </c>
      <c r="I4" s="156">
        <f>BS!O9</f>
        <v>352637.97440373432</v>
      </c>
      <c r="J4" s="156">
        <f>BS!P9</f>
        <v>296573.21714922198</v>
      </c>
      <c r="K4" s="156">
        <f>BS!Q9</f>
        <v>309756.55278427625</v>
      </c>
      <c r="L4" s="156">
        <f>BS!R9</f>
        <v>258716.35833419982</v>
      </c>
      <c r="M4" s="156">
        <f>BS!S9</f>
        <v>267997.19119345682</v>
      </c>
      <c r="N4" s="156">
        <f>BS!T9</f>
        <v>185642.07613785306</v>
      </c>
      <c r="O4" s="156">
        <f>BS!U9</f>
        <v>293638.26315598952</v>
      </c>
      <c r="P4" s="156">
        <f>BS!V9</f>
        <v>325955.03250365512</v>
      </c>
      <c r="Q4" s="156">
        <f>BS!W9</f>
        <v>303150.5169793407</v>
      </c>
      <c r="R4" s="156">
        <f>BS!X9</f>
        <v>329079.77436831244</v>
      </c>
      <c r="S4" s="156">
        <f>BS!Y9</f>
        <v>354005.64275153837</v>
      </c>
      <c r="T4" s="156">
        <f>BS!Z9</f>
        <v>384914.80772028764</v>
      </c>
      <c r="U4" s="156">
        <f>BS!AA9</f>
        <v>473910.76373626379</v>
      </c>
      <c r="V4" s="156">
        <f>BS!AB9</f>
        <v>443628.72620992007</v>
      </c>
      <c r="W4" s="156">
        <f>BS!AC9</f>
        <v>428019.4423683986</v>
      </c>
    </row>
    <row r="5" spans="1:23" x14ac:dyDescent="0.2">
      <c r="A5" s="339"/>
      <c r="B5" s="339"/>
      <c r="C5" s="157" t="s">
        <v>387</v>
      </c>
      <c r="D5" s="204" t="s">
        <v>254</v>
      </c>
      <c r="E5" s="158">
        <f>BS!K15</f>
        <v>340922.58247471403</v>
      </c>
      <c r="F5" s="158">
        <f>BS!L15</f>
        <v>290894.91038214409</v>
      </c>
      <c r="G5" s="158">
        <f>BS!M15</f>
        <v>314912.03655108716</v>
      </c>
      <c r="H5" s="158">
        <f>BS!N15</f>
        <v>227991.84271681667</v>
      </c>
      <c r="I5" s="158">
        <f>BS!O15</f>
        <v>283619.64463044232</v>
      </c>
      <c r="J5" s="158">
        <f>BS!P15</f>
        <v>344632.65972943947</v>
      </c>
      <c r="K5" s="158">
        <f>BS!Q15</f>
        <v>299696.02276924497</v>
      </c>
      <c r="L5" s="158">
        <f>BS!R15</f>
        <v>190051.90290246147</v>
      </c>
      <c r="M5" s="158">
        <f>BS!S15</f>
        <v>194638.81078006912</v>
      </c>
      <c r="N5" s="158">
        <f>BS!T15</f>
        <v>175738.48785882795</v>
      </c>
      <c r="O5" s="158">
        <f>BS!U15</f>
        <v>282533.72091865877</v>
      </c>
      <c r="P5" s="158">
        <f>BS!V15</f>
        <v>279050.50936653023</v>
      </c>
      <c r="Q5" s="158">
        <f>BS!W15</f>
        <v>289570.37651678827</v>
      </c>
      <c r="R5" s="158">
        <f>BS!X15</f>
        <v>261550.16193262357</v>
      </c>
      <c r="S5" s="158">
        <f>BS!Y15</f>
        <v>328032.95488321257</v>
      </c>
      <c r="T5" s="158">
        <f>BS!Z15</f>
        <v>344403.41255524522</v>
      </c>
      <c r="U5" s="158">
        <f>BS!AA15</f>
        <v>508259.97982486262</v>
      </c>
      <c r="V5" s="158">
        <f>BS!AB15</f>
        <v>423793.72242757672</v>
      </c>
      <c r="W5" s="158">
        <f>BS!AC15</f>
        <v>358953.73500554566</v>
      </c>
    </row>
    <row r="6" spans="1:23" x14ac:dyDescent="0.2">
      <c r="A6" s="339"/>
      <c r="B6" s="339"/>
      <c r="C6" s="157" t="s">
        <v>388</v>
      </c>
      <c r="D6" s="204" t="s">
        <v>254</v>
      </c>
      <c r="E6" s="158">
        <f>BS!K8</f>
        <v>735138.67095188599</v>
      </c>
      <c r="F6" s="158">
        <f>BS!L8</f>
        <v>598005.66452485626</v>
      </c>
      <c r="G6" s="158">
        <f>BS!M8</f>
        <v>693647.21308290353</v>
      </c>
      <c r="H6" s="158">
        <f>BS!N8</f>
        <v>571583.04541486991</v>
      </c>
      <c r="I6" s="158">
        <f>BS!O8</f>
        <v>636775.19027050328</v>
      </c>
      <c r="J6" s="158">
        <f>BS!P8</f>
        <v>642523.595246237</v>
      </c>
      <c r="K6" s="158">
        <f>BS!Q8</f>
        <v>611090.16477666062</v>
      </c>
      <c r="L6" s="158">
        <f>BS!R8</f>
        <v>450879.5310294705</v>
      </c>
      <c r="M6" s="158">
        <f>BS!S8</f>
        <v>466227.77438072674</v>
      </c>
      <c r="N6" s="158">
        <f>BS!T8</f>
        <v>362426.15854626091</v>
      </c>
      <c r="O6" s="158">
        <f>BS!U8</f>
        <v>577445.05526048853</v>
      </c>
      <c r="P6" s="158">
        <f>BS!V8</f>
        <v>605829.1323947754</v>
      </c>
      <c r="Q6" s="158">
        <f>BS!W8</f>
        <v>596521.20780522865</v>
      </c>
      <c r="R6" s="158">
        <f>BS!X8</f>
        <v>591488.26536105329</v>
      </c>
      <c r="S6" s="158">
        <f>BS!Y8</f>
        <v>683639.44524674991</v>
      </c>
      <c r="T6" s="158">
        <f>BS!Z8</f>
        <v>730970.98451191629</v>
      </c>
      <c r="U6" s="158">
        <f>BS!AA8</f>
        <v>983171.45149381866</v>
      </c>
      <c r="V6" s="158">
        <f>BS!AB8</f>
        <v>869259.25642568548</v>
      </c>
      <c r="W6" s="158">
        <f>BS!AC8</f>
        <v>788273.49773910071</v>
      </c>
    </row>
    <row r="7" spans="1:23" x14ac:dyDescent="0.2">
      <c r="A7" s="339"/>
      <c r="B7" s="339"/>
      <c r="C7" s="157" t="s">
        <v>389</v>
      </c>
      <c r="D7" s="204" t="s">
        <v>254</v>
      </c>
      <c r="E7" s="158">
        <f>BS!K31</f>
        <v>320324.88893090101</v>
      </c>
      <c r="F7" s="158">
        <f>BS!L31</f>
        <v>287692.17111937777</v>
      </c>
      <c r="G7" s="158">
        <f>BS!M31</f>
        <v>258929.98934015015</v>
      </c>
      <c r="H7" s="158">
        <f>BS!N31</f>
        <v>249767.16583149691</v>
      </c>
      <c r="I7" s="158">
        <f>BS!O31</f>
        <v>257693.31753643052</v>
      </c>
      <c r="J7" s="158">
        <f>BS!P31</f>
        <v>227923.45294129851</v>
      </c>
      <c r="K7" s="158">
        <f>BS!Q31</f>
        <v>213318.20681877786</v>
      </c>
      <c r="L7" s="158">
        <f>BS!R31</f>
        <v>169092.79996968474</v>
      </c>
      <c r="M7" s="158">
        <f>BS!S31</f>
        <v>166807.61007612402</v>
      </c>
      <c r="N7" s="158">
        <f>BS!T31</f>
        <v>123871.11863450048</v>
      </c>
      <c r="O7" s="158">
        <f>BS!U31</f>
        <v>164770.59089188348</v>
      </c>
      <c r="P7" s="158">
        <f>BS!V31</f>
        <v>218499.51559023443</v>
      </c>
      <c r="Q7" s="158">
        <f>BS!W31</f>
        <v>207669.3936706114</v>
      </c>
      <c r="R7" s="158">
        <f>BS!X31</f>
        <v>211090.74758921738</v>
      </c>
      <c r="S7" s="158">
        <f>BS!Y31</f>
        <v>224032.06368020579</v>
      </c>
      <c r="T7" s="158">
        <f>BS!Z31</f>
        <v>231491.40486906911</v>
      </c>
      <c r="U7" s="158">
        <f>BS!AA31</f>
        <v>298104.85319368134</v>
      </c>
      <c r="V7" s="158">
        <f>BS!AB31</f>
        <v>268957.48499957018</v>
      </c>
      <c r="W7" s="158">
        <f>BS!AC31</f>
        <v>243816.28367886698</v>
      </c>
    </row>
    <row r="8" spans="1:23" x14ac:dyDescent="0.2">
      <c r="A8" s="339"/>
      <c r="B8" s="339"/>
      <c r="C8" s="157" t="s">
        <v>390</v>
      </c>
      <c r="D8" s="204" t="s">
        <v>254</v>
      </c>
      <c r="E8" s="158">
        <f>BS!K37</f>
        <v>200403.629832687</v>
      </c>
      <c r="F8" s="158">
        <f>BS!L37</f>
        <v>158619.7159283057</v>
      </c>
      <c r="G8" s="158">
        <f>BS!M37</f>
        <v>199841.16720671309</v>
      </c>
      <c r="H8" s="158">
        <f>BS!N37</f>
        <v>124935.64138675571</v>
      </c>
      <c r="I8" s="158">
        <f>BS!O37</f>
        <v>184366.11838619801</v>
      </c>
      <c r="J8" s="158">
        <f>BS!P37</f>
        <v>201533.97893846044</v>
      </c>
      <c r="K8" s="158">
        <f>BS!Q37</f>
        <v>167260.45453364929</v>
      </c>
      <c r="L8" s="158">
        <f>BS!R37</f>
        <v>118127.84012528688</v>
      </c>
      <c r="M8" s="158">
        <f>BS!S37</f>
        <v>129917.40611521425</v>
      </c>
      <c r="N8" s="158">
        <f>BS!T37</f>
        <v>114085.90941741818</v>
      </c>
      <c r="O8" s="158">
        <f>BS!U37</f>
        <v>198683.53153304977</v>
      </c>
      <c r="P8" s="158">
        <f>BS!V37</f>
        <v>157826.46924331781</v>
      </c>
      <c r="Q8" s="158">
        <f>BS!W37</f>
        <v>168394.50781624924</v>
      </c>
      <c r="R8" s="158">
        <f>BS!X37</f>
        <v>133373.40051619726</v>
      </c>
      <c r="S8" s="158">
        <f>BS!Y37</f>
        <v>175024.07915449381</v>
      </c>
      <c r="T8" s="158">
        <f>BS!Z37</f>
        <v>179823.37276555962</v>
      </c>
      <c r="U8" s="158">
        <f>BS!AA37</f>
        <v>219245.55554601649</v>
      </c>
      <c r="V8" s="158">
        <f>BS!AB37</f>
        <v>229412.35588412278</v>
      </c>
      <c r="W8" s="158">
        <f>BS!AC37</f>
        <v>216216.58663936527</v>
      </c>
    </row>
    <row r="9" spans="1:23" x14ac:dyDescent="0.2">
      <c r="A9" s="339"/>
      <c r="B9" s="339"/>
      <c r="C9" s="159" t="s">
        <v>391</v>
      </c>
      <c r="D9" s="205" t="s">
        <v>254</v>
      </c>
      <c r="E9" s="160">
        <f>BS!K43</f>
        <v>214410.24671519001</v>
      </c>
      <c r="F9" s="160">
        <f>BS!L43</f>
        <v>151693.77747717281</v>
      </c>
      <c r="G9" s="160">
        <f>BS!M43</f>
        <v>234876.05653604114</v>
      </c>
      <c r="H9" s="160">
        <f>BS!N43</f>
        <v>196880.23819661731</v>
      </c>
      <c r="I9" s="160">
        <f>BS!O43</f>
        <v>194715.75434787461</v>
      </c>
      <c r="J9" s="160">
        <f>BS!P43</f>
        <v>213066.16336647802</v>
      </c>
      <c r="K9" s="160">
        <f>BS!Q43</f>
        <v>230511.5034242344</v>
      </c>
      <c r="L9" s="160">
        <f>BS!R43</f>
        <v>163658.89093449863</v>
      </c>
      <c r="M9" s="160">
        <f>BS!S43</f>
        <v>169502.7581893882</v>
      </c>
      <c r="N9" s="160">
        <f>BS!T43</f>
        <v>124469.13049434198</v>
      </c>
      <c r="O9" s="160">
        <f>BS!U43</f>
        <v>213990.93283555479</v>
      </c>
      <c r="P9" s="160">
        <f>BS!V43</f>
        <v>229503.14756122368</v>
      </c>
      <c r="Q9" s="160">
        <f>BS!W43</f>
        <v>220457.3063183683</v>
      </c>
      <c r="R9" s="160">
        <f>BS!X43</f>
        <v>247024.11725563827</v>
      </c>
      <c r="S9" s="160">
        <f>BS!Y43</f>
        <v>284583.30241205147</v>
      </c>
      <c r="T9" s="160">
        <f>BS!Z43</f>
        <v>319656.20687728823</v>
      </c>
      <c r="U9" s="160">
        <f>BS!AA43</f>
        <v>465821.04275412089</v>
      </c>
      <c r="V9" s="160">
        <f>BS!AB43</f>
        <v>370889.41554199264</v>
      </c>
      <c r="W9" s="160">
        <f>BS!AC43</f>
        <v>328240.62742086849</v>
      </c>
    </row>
    <row r="10" spans="1:23" x14ac:dyDescent="0.2">
      <c r="A10" s="339"/>
      <c r="B10" s="339" t="s">
        <v>398</v>
      </c>
      <c r="C10" s="155" t="s">
        <v>310</v>
      </c>
      <c r="D10" s="203" t="s">
        <v>254</v>
      </c>
      <c r="E10" s="156">
        <f>PL!K6</f>
        <v>1029049.49522639</v>
      </c>
      <c r="F10" s="156">
        <f>PL!L6</f>
        <v>792640.34494420025</v>
      </c>
      <c r="G10" s="156">
        <f>PL!M6</f>
        <v>833050.73016966193</v>
      </c>
      <c r="H10" s="156">
        <f>PL!N6</f>
        <v>828064.26946642785</v>
      </c>
      <c r="I10" s="156">
        <f>PL!O6</f>
        <v>801705.25557250518</v>
      </c>
      <c r="J10" s="156">
        <f>PL!P6</f>
        <v>921991.9329220308</v>
      </c>
      <c r="K10" s="156">
        <f>PL!Q6</f>
        <v>659762.64689240814</v>
      </c>
      <c r="L10" s="156">
        <f>PL!R6</f>
        <v>597586.81870825472</v>
      </c>
      <c r="M10" s="156">
        <f>PL!S6</f>
        <v>562143.89223713661</v>
      </c>
      <c r="N10" s="156">
        <f>PL!T6</f>
        <v>402169.91237123299</v>
      </c>
      <c r="O10" s="156">
        <f>PL!U6</f>
        <v>719477.8379323727</v>
      </c>
      <c r="P10" s="156">
        <f>PL!V6</f>
        <v>757170.67634382402</v>
      </c>
      <c r="Q10" s="156">
        <f>PL!W6</f>
        <v>795826.45982916676</v>
      </c>
      <c r="R10" s="156">
        <f>PL!X6</f>
        <v>760401.3575568971</v>
      </c>
      <c r="S10" s="156">
        <f>PL!Y6</f>
        <v>761109.14219733421</v>
      </c>
      <c r="T10" s="156">
        <f>PL!Z6</f>
        <v>866085.58623589599</v>
      </c>
      <c r="U10" s="156">
        <f>PL!AA6</f>
        <v>852533.48523351655</v>
      </c>
      <c r="V10" s="156">
        <f>PL!AB6</f>
        <v>882915.58282472275</v>
      </c>
      <c r="W10" s="156">
        <f>PL!AC6</f>
        <v>863588.18974490231</v>
      </c>
    </row>
    <row r="11" spans="1:23" x14ac:dyDescent="0.2">
      <c r="A11" s="339"/>
      <c r="B11" s="339"/>
      <c r="C11" s="157" t="s">
        <v>392</v>
      </c>
      <c r="D11" s="204" t="s">
        <v>254</v>
      </c>
      <c r="E11" s="158">
        <f>PL!K6-PL!K8</f>
        <v>155477.87787125295</v>
      </c>
      <c r="F11" s="158">
        <f>PL!L6-PL!L8</f>
        <v>116197.58200879279</v>
      </c>
      <c r="G11" s="158">
        <f>PL!M6-PL!M8</f>
        <v>138184.64476992516</v>
      </c>
      <c r="H11" s="158">
        <f>PL!N6-PL!N8</f>
        <v>121856.6151885296</v>
      </c>
      <c r="I11" s="158">
        <f>PL!O6-PL!O8</f>
        <v>118192.84219491843</v>
      </c>
      <c r="J11" s="158">
        <f>PL!P6-PL!P8</f>
        <v>101457.0164231502</v>
      </c>
      <c r="K11" s="158">
        <f>PL!Q6-PL!Q8</f>
        <v>77649.250732335262</v>
      </c>
      <c r="L11" s="158">
        <f>PL!R6-PL!R8</f>
        <v>77121.060662375414</v>
      </c>
      <c r="M11" s="158">
        <f>PL!S6-PL!S8</f>
        <v>87846.097781635239</v>
      </c>
      <c r="N11" s="158">
        <f>PL!T6-PL!T8</f>
        <v>78739.312488091993</v>
      </c>
      <c r="O11" s="158">
        <f>PL!U6-PL!U8</f>
        <v>101390.18439640105</v>
      </c>
      <c r="P11" s="158">
        <f>PL!V6-PL!V8</f>
        <v>105270.27207059646</v>
      </c>
      <c r="Q11" s="158">
        <f>PL!W6-PL!W8</f>
        <v>99283.942154162563</v>
      </c>
      <c r="R11" s="158">
        <f>PL!X6-PL!X8</f>
        <v>99864.273896276369</v>
      </c>
      <c r="S11" s="158">
        <f>PL!Y6-PL!Y8</f>
        <v>115762.20462165843</v>
      </c>
      <c r="T11" s="158">
        <f>PL!Z6-PL!Z8</f>
        <v>123690.270252469</v>
      </c>
      <c r="U11" s="158">
        <f>PL!AA6-PL!AA8</f>
        <v>109089.29773351655</v>
      </c>
      <c r="V11" s="158">
        <f>PL!AB6-PL!AB8</f>
        <v>105795.61016074952</v>
      </c>
      <c r="W11" s="158">
        <f>PL!AC6-PL!AC8</f>
        <v>119880.72630321654</v>
      </c>
    </row>
    <row r="12" spans="1:23" x14ac:dyDescent="0.2">
      <c r="A12" s="339"/>
      <c r="B12" s="339"/>
      <c r="C12" s="157" t="s">
        <v>69</v>
      </c>
      <c r="D12" s="204" t="s">
        <v>254</v>
      </c>
      <c r="E12" s="158">
        <f>PL!K42</f>
        <v>34273.196899514995</v>
      </c>
      <c r="F12" s="158">
        <f>PL!L42</f>
        <v>11643.895840378827</v>
      </c>
      <c r="G12" s="158">
        <f>PL!M42</f>
        <v>29655.115108928643</v>
      </c>
      <c r="H12" s="158">
        <f>PL!N42</f>
        <v>26495.318308094866</v>
      </c>
      <c r="I12" s="158">
        <f>PL!O42</f>
        <v>21820.961537866504</v>
      </c>
      <c r="J12" s="158">
        <f>PL!P42</f>
        <v>10615.057059120038</v>
      </c>
      <c r="K12" s="158">
        <f>PL!Q42</f>
        <v>-5720.5274381988838</v>
      </c>
      <c r="L12" s="158">
        <f>PL!R42</f>
        <v>15572.303212306466</v>
      </c>
      <c r="M12" s="158">
        <f>PL!S42</f>
        <v>14829.407960750677</v>
      </c>
      <c r="N12" s="158">
        <f>PL!T42</f>
        <v>10929.281830871134</v>
      </c>
      <c r="O12" s="158">
        <f>PL!U42</f>
        <v>24441.410992555953</v>
      </c>
      <c r="P12" s="158">
        <f>PL!V42</f>
        <v>22774.960269996802</v>
      </c>
      <c r="Q12" s="158">
        <f>PL!W42</f>
        <v>18698.309246235993</v>
      </c>
      <c r="R12" s="158">
        <f>PL!X42</f>
        <v>23380.273491645799</v>
      </c>
      <c r="S12" s="158">
        <f>PL!Y42</f>
        <v>29526.198929435017</v>
      </c>
      <c r="T12" s="158">
        <f>PL!Z42</f>
        <v>25452.029889026253</v>
      </c>
      <c r="U12" s="158">
        <f>PL!AA42</f>
        <v>14916.701579670329</v>
      </c>
      <c r="V12" s="158">
        <f>PL!AB42</f>
        <v>6444.6221954783796</v>
      </c>
      <c r="W12" s="158">
        <f>PL!AC42</f>
        <v>19039.015698319257</v>
      </c>
    </row>
    <row r="13" spans="1:23" x14ac:dyDescent="0.2">
      <c r="A13" s="339"/>
      <c r="B13" s="339"/>
      <c r="C13" s="157" t="s">
        <v>311</v>
      </c>
      <c r="D13" s="204" t="s">
        <v>254</v>
      </c>
      <c r="E13" s="158">
        <f>PL!K34</f>
        <v>36680.219302391604</v>
      </c>
      <c r="F13" s="158">
        <f>PL!L34</f>
        <v>23439.972945552923</v>
      </c>
      <c r="G13" s="158">
        <f>PL!M34</f>
        <v>35253.252258014058</v>
      </c>
      <c r="H13" s="158">
        <f>PL!N34</f>
        <v>29271.720821107461</v>
      </c>
      <c r="I13" s="158">
        <f>PL!O34</f>
        <v>29607.704240969095</v>
      </c>
      <c r="J13" s="158">
        <f>PL!P34</f>
        <v>13705.028982010861</v>
      </c>
      <c r="K13" s="158">
        <f>PL!Q34</f>
        <v>2357.4660602179861</v>
      </c>
      <c r="L13" s="158">
        <f>PL!R34</f>
        <v>18598.183865541032</v>
      </c>
      <c r="M13" s="158">
        <f>PL!S34</f>
        <v>20601.110010521905</v>
      </c>
      <c r="N13" s="158">
        <f>PL!T34</f>
        <v>15208.823254356255</v>
      </c>
      <c r="O13" s="158">
        <f>PL!U34</f>
        <v>26669.231257427666</v>
      </c>
      <c r="P13" s="158">
        <f>PL!V34</f>
        <v>28909.500117482617</v>
      </c>
      <c r="Q13" s="158">
        <f>PL!W34</f>
        <v>25667.52029935893</v>
      </c>
      <c r="R13" s="158">
        <f>PL!X34</f>
        <v>27611.826477772567</v>
      </c>
      <c r="S13" s="158">
        <f>PL!Y34</f>
        <v>34772.061526559577</v>
      </c>
      <c r="T13" s="158">
        <f>PL!Z34</f>
        <v>33208.697255198298</v>
      </c>
      <c r="U13" s="158">
        <f>PL!AA34</f>
        <v>25361.665436126372</v>
      </c>
      <c r="V13" s="158">
        <f>PL!AB34</f>
        <v>22049.530043840798</v>
      </c>
      <c r="W13" s="158">
        <f>PL!AC34</f>
        <v>31664.228478798741</v>
      </c>
    </row>
    <row r="14" spans="1:23" x14ac:dyDescent="0.2">
      <c r="A14" s="339"/>
      <c r="B14" s="339"/>
      <c r="C14" s="157" t="s">
        <v>393</v>
      </c>
      <c r="D14" s="204" t="s">
        <v>254</v>
      </c>
      <c r="E14" s="158">
        <f>PL!K37</f>
        <v>33275.554400226902</v>
      </c>
      <c r="F14" s="158">
        <f>PL!L37</f>
        <v>21388.146770375381</v>
      </c>
      <c r="G14" s="158">
        <f>PL!M37</f>
        <v>29801.338270766697</v>
      </c>
      <c r="H14" s="158">
        <f>PL!N37</f>
        <v>29488.102045625979</v>
      </c>
      <c r="I14" s="158">
        <f>PL!O37</f>
        <v>24347.933470932865</v>
      </c>
      <c r="J14" s="158">
        <f>PL!P37</f>
        <v>11149.382824359429</v>
      </c>
      <c r="K14" s="158">
        <f>PL!Q37</f>
        <v>-100.56487134631112</v>
      </c>
      <c r="L14" s="158">
        <f>PL!R37</f>
        <v>15466.467692809974</v>
      </c>
      <c r="M14" s="158">
        <f>PL!S37</f>
        <v>16368.820242310061</v>
      </c>
      <c r="N14" s="158">
        <f>PL!T37</f>
        <v>11216.544891533722</v>
      </c>
      <c r="O14" s="158">
        <f>PL!U37</f>
        <v>23311.069751032355</v>
      </c>
      <c r="P14" s="158">
        <f>PL!V37</f>
        <v>24537.915429004279</v>
      </c>
      <c r="Q14" s="158">
        <f>PL!W37</f>
        <v>22172.286748349779</v>
      </c>
      <c r="R14" s="158">
        <f>PL!X37</f>
        <v>24685.506549495254</v>
      </c>
      <c r="S14" s="158">
        <f>PL!Y37</f>
        <v>29636.668423161394</v>
      </c>
      <c r="T14" s="158">
        <f>PL!Z37</f>
        <v>29068.340088317207</v>
      </c>
      <c r="U14" s="158">
        <f>PL!AA37</f>
        <v>28546.725103021981</v>
      </c>
      <c r="V14" s="158">
        <f>PL!AB37</f>
        <v>17875.957190750451</v>
      </c>
      <c r="W14" s="158">
        <f>PL!AC37</f>
        <v>30681.685009811452</v>
      </c>
    </row>
    <row r="15" spans="1:23" x14ac:dyDescent="0.2">
      <c r="A15" s="339"/>
      <c r="B15" s="339"/>
      <c r="C15" s="159" t="s">
        <v>394</v>
      </c>
      <c r="D15" s="205" t="s">
        <v>254</v>
      </c>
      <c r="E15" s="160">
        <f>PL!K38</f>
        <v>18320.843179884701</v>
      </c>
      <c r="F15" s="160">
        <f>PL!L38</f>
        <v>13954.599256002704</v>
      </c>
      <c r="G15" s="160">
        <f>PL!M38</f>
        <v>16791.532730697661</v>
      </c>
      <c r="H15" s="160">
        <f>PL!N38</f>
        <v>17066.42728697725</v>
      </c>
      <c r="I15" s="160">
        <f>PL!O38</f>
        <v>14347.263632501921</v>
      </c>
      <c r="J15" s="160">
        <f>PL!P38</f>
        <v>3336.344587106295</v>
      </c>
      <c r="K15" s="160">
        <f>PL!Q38</f>
        <v>-3787.4927325674339</v>
      </c>
      <c r="L15" s="160">
        <f>PL!R38</f>
        <v>8943.8958575843117</v>
      </c>
      <c r="M15" s="160">
        <f>PL!S38</f>
        <v>9741.340224918873</v>
      </c>
      <c r="N15" s="160">
        <f>PL!T38</f>
        <v>6788.3790503388864</v>
      </c>
      <c r="O15" s="160">
        <f>PL!U38</f>
        <v>13634.560437288017</v>
      </c>
      <c r="P15" s="160">
        <f>PL!V38</f>
        <v>14688.782980817279</v>
      </c>
      <c r="Q15" s="160">
        <f>PL!W38</f>
        <v>15268.957590105378</v>
      </c>
      <c r="R15" s="160">
        <f>PL!X38</f>
        <v>17681.423167918401</v>
      </c>
      <c r="S15" s="160">
        <f>PL!Y38</f>
        <v>21167.97179714057</v>
      </c>
      <c r="T15" s="160">
        <f>PL!Z38</f>
        <v>20386.951280725621</v>
      </c>
      <c r="U15" s="160">
        <f>PL!AA38</f>
        <v>20336.771033653848</v>
      </c>
      <c r="V15" s="160">
        <f>PL!AB38</f>
        <v>8776.397833748817</v>
      </c>
      <c r="W15" s="160">
        <f>PL!AC38</f>
        <v>20806.53212183261</v>
      </c>
    </row>
    <row r="16" spans="1:23" x14ac:dyDescent="0.2">
      <c r="A16" s="339"/>
      <c r="B16" s="78"/>
      <c r="C16" s="78" t="s">
        <v>317</v>
      </c>
      <c r="D16" s="202" t="s">
        <v>318</v>
      </c>
      <c r="E16" s="100">
        <f>PL!K5</f>
        <v>48.160412137252997</v>
      </c>
      <c r="F16" s="100">
        <f>PL!L5</f>
        <v>38.315776124450458</v>
      </c>
      <c r="G16" s="100">
        <f>PL!M5</f>
        <v>44.019508482865284</v>
      </c>
      <c r="H16" s="100">
        <f>PL!N5</f>
        <v>43.014104643464172</v>
      </c>
      <c r="I16" s="100">
        <f>PL!O5</f>
        <v>37.965076794494827</v>
      </c>
      <c r="J16" s="100">
        <f>PL!P5</f>
        <v>32.937291479925882</v>
      </c>
      <c r="K16" s="100">
        <f>PL!Q5</f>
        <v>37.163617331832747</v>
      </c>
      <c r="L16" s="100">
        <f>PL!R5</f>
        <v>30.345849549710508</v>
      </c>
      <c r="M16" s="100">
        <f>PL!S5</f>
        <v>31.238261648634641</v>
      </c>
      <c r="N16" s="100">
        <f>PL!T5</f>
        <v>30.078817816632025</v>
      </c>
      <c r="O16" s="100">
        <f>PL!U5</f>
        <v>34.362096789145831</v>
      </c>
      <c r="P16" s="100">
        <f>PL!V5</f>
        <v>35.008334185759139</v>
      </c>
      <c r="Q16" s="100">
        <f>PL!W5</f>
        <v>35.220515816685051</v>
      </c>
      <c r="R16" s="100">
        <f>PL!X5</f>
        <v>34.977176696166516</v>
      </c>
      <c r="S16" s="100">
        <f>PL!Y5</f>
        <v>37.679255544149747</v>
      </c>
      <c r="T16" s="100">
        <f>PL!Z5</f>
        <v>39.554207210656429</v>
      </c>
      <c r="U16" s="100">
        <f>PL!AA5</f>
        <v>38.318938873626372</v>
      </c>
      <c r="V16" s="100">
        <f>PL!AB5</f>
        <v>40.571305768073586</v>
      </c>
      <c r="W16" s="100">
        <f>PL!AC5</f>
        <v>39.521201262690894</v>
      </c>
    </row>
    <row r="17" spans="1:23" ht="10.8" customHeight="1" x14ac:dyDescent="0.2">
      <c r="A17" s="340" t="s">
        <v>454</v>
      </c>
      <c r="B17" s="161" t="s">
        <v>396</v>
      </c>
      <c r="C17" s="162"/>
      <c r="D17" s="203"/>
      <c r="E17" s="155"/>
      <c r="F17" s="155"/>
      <c r="G17" s="155"/>
      <c r="H17" s="155"/>
      <c r="I17" s="155"/>
      <c r="J17" s="155"/>
      <c r="K17" s="155"/>
      <c r="L17" s="155"/>
      <c r="M17" s="155"/>
      <c r="N17" s="155"/>
      <c r="O17" s="155"/>
      <c r="P17" s="155"/>
      <c r="Q17" s="155"/>
      <c r="R17" s="155"/>
      <c r="S17" s="155"/>
      <c r="T17" s="155"/>
      <c r="U17" s="155"/>
      <c r="V17" s="155"/>
      <c r="W17" s="155"/>
    </row>
    <row r="18" spans="1:23" x14ac:dyDescent="0.2">
      <c r="A18" s="341"/>
      <c r="B18" s="163"/>
      <c r="C18" s="164" t="s">
        <v>399</v>
      </c>
      <c r="D18" s="204" t="s">
        <v>404</v>
      </c>
      <c r="E18" s="165">
        <f t="shared" ref="E18:M18" si="0">(E12/E6)*100</f>
        <v>4.6621403898038354</v>
      </c>
      <c r="F18" s="165">
        <f>(F12/F6)*100</f>
        <v>1.9471213286299642</v>
      </c>
      <c r="G18" s="165">
        <f t="shared" si="0"/>
        <v>4.2752446127660448</v>
      </c>
      <c r="H18" s="165">
        <f t="shared" si="0"/>
        <v>4.6354276111993258</v>
      </c>
      <c r="I18" s="165">
        <f t="shared" si="0"/>
        <v>3.4267920407823866</v>
      </c>
      <c r="J18" s="165">
        <f t="shared" si="0"/>
        <v>1.6520882871316165</v>
      </c>
      <c r="K18" s="165">
        <f t="shared" si="0"/>
        <v>-0.93611839429449895</v>
      </c>
      <c r="L18" s="165">
        <f t="shared" si="0"/>
        <v>3.4537614020204046</v>
      </c>
      <c r="M18" s="165">
        <f t="shared" si="0"/>
        <v>3.1807216934786942</v>
      </c>
      <c r="N18" s="165">
        <f t="shared" ref="N18:W18" si="1">(N12/N6)*100</f>
        <v>3.0155885752590055</v>
      </c>
      <c r="O18" s="165">
        <f t="shared" si="1"/>
        <v>4.2326816672679453</v>
      </c>
      <c r="P18" s="165">
        <f t="shared" si="1"/>
        <v>3.7593042414401414</v>
      </c>
      <c r="Q18" s="165">
        <f t="shared" si="1"/>
        <v>3.1345590067170277</v>
      </c>
      <c r="R18" s="165">
        <f t="shared" si="1"/>
        <v>3.952787377341143</v>
      </c>
      <c r="S18" s="165">
        <f t="shared" ref="S18:T18" si="2">(S12/S6)*100</f>
        <v>4.3189723961551048</v>
      </c>
      <c r="T18" s="165">
        <f t="shared" si="2"/>
        <v>3.4819480428516703</v>
      </c>
      <c r="U18" s="165">
        <f t="shared" ref="U18:V18" si="3">(U12/U6)*100</f>
        <v>1.5172024733840752</v>
      </c>
      <c r="V18" s="165">
        <f t="shared" si="3"/>
        <v>0.74139241519015586</v>
      </c>
      <c r="W18" s="165">
        <f t="shared" si="1"/>
        <v>2.4152804518896445</v>
      </c>
    </row>
    <row r="19" spans="1:23" x14ac:dyDescent="0.2">
      <c r="A19" s="341"/>
      <c r="B19" s="163"/>
      <c r="C19" s="164" t="s">
        <v>400</v>
      </c>
      <c r="D19" s="204" t="s">
        <v>404</v>
      </c>
      <c r="E19" s="166">
        <f t="shared" ref="E19:M19" si="4">(E13/E6)*100</f>
        <v>4.9895646565425045</v>
      </c>
      <c r="F19" s="166">
        <f>(F13/F6)*100</f>
        <v>3.9196907882431331</v>
      </c>
      <c r="G19" s="166">
        <f t="shared" si="4"/>
        <v>5.0823028757416271</v>
      </c>
      <c r="H19" s="166">
        <f t="shared" si="4"/>
        <v>5.1211667413719875</v>
      </c>
      <c r="I19" s="166">
        <f t="shared" si="4"/>
        <v>4.6496321925468997</v>
      </c>
      <c r="J19" s="166">
        <f t="shared" si="4"/>
        <v>2.1330001082308305</v>
      </c>
      <c r="K19" s="166">
        <f t="shared" si="4"/>
        <v>0.38578039642964729</v>
      </c>
      <c r="L19" s="166">
        <f t="shared" si="4"/>
        <v>4.1248676388295422</v>
      </c>
      <c r="M19" s="166">
        <f t="shared" si="4"/>
        <v>4.4186792684939471</v>
      </c>
      <c r="N19" s="166">
        <f t="shared" ref="N19:W19" si="5">(N13/N6)*100</f>
        <v>4.1963922569388616</v>
      </c>
      <c r="O19" s="166">
        <f t="shared" si="5"/>
        <v>4.6184881166567502</v>
      </c>
      <c r="P19" s="166">
        <f t="shared" si="5"/>
        <v>4.7718900547430874</v>
      </c>
      <c r="Q19" s="166">
        <f t="shared" si="5"/>
        <v>4.3028680227140699</v>
      </c>
      <c r="R19" s="166">
        <f t="shared" si="5"/>
        <v>4.6681951434688047</v>
      </c>
      <c r="S19" s="166">
        <f t="shared" ref="S19:T19" si="6">(S13/S6)*100</f>
        <v>5.0863158596720668</v>
      </c>
      <c r="T19" s="166">
        <f t="shared" si="6"/>
        <v>4.5430937696346998</v>
      </c>
      <c r="U19" s="166">
        <f t="shared" ref="U19:V19" si="7">(U13/U6)*100</f>
        <v>2.5795770816567312</v>
      </c>
      <c r="V19" s="166">
        <f t="shared" si="7"/>
        <v>2.5365884666568235</v>
      </c>
      <c r="W19" s="166">
        <f t="shared" si="5"/>
        <v>4.0169089243285496</v>
      </c>
    </row>
    <row r="20" spans="1:23" x14ac:dyDescent="0.2">
      <c r="A20" s="341"/>
      <c r="B20" s="163"/>
      <c r="C20" s="164" t="s">
        <v>401</v>
      </c>
      <c r="D20" s="204" t="s">
        <v>404</v>
      </c>
      <c r="E20" s="166">
        <f t="shared" ref="E20:M20" si="8">(E15/E6)*100</f>
        <v>2.4921615341173884</v>
      </c>
      <c r="F20" s="166">
        <f>(F15/F6)*100</f>
        <v>2.3335229219091582</v>
      </c>
      <c r="G20" s="166">
        <f t="shared" si="8"/>
        <v>2.4207597773035046</v>
      </c>
      <c r="H20" s="166">
        <f t="shared" si="8"/>
        <v>2.9858176207081142</v>
      </c>
      <c r="I20" s="166">
        <f t="shared" si="8"/>
        <v>2.2531128491999159</v>
      </c>
      <c r="J20" s="166">
        <f t="shared" si="8"/>
        <v>0.51925635288579464</v>
      </c>
      <c r="K20" s="166">
        <f t="shared" si="8"/>
        <v>-0.61979278196232723</v>
      </c>
      <c r="L20" s="166">
        <f t="shared" si="8"/>
        <v>1.9836553318717229</v>
      </c>
      <c r="M20" s="166">
        <f t="shared" si="8"/>
        <v>2.0893950897408331</v>
      </c>
      <c r="N20" s="166">
        <f t="shared" ref="N20:W20" si="9">(N15/N6)*100</f>
        <v>1.8730378286070655</v>
      </c>
      <c r="O20" s="166">
        <f t="shared" si="9"/>
        <v>2.3611874953431533</v>
      </c>
      <c r="P20" s="166">
        <f t="shared" si="9"/>
        <v>2.4245752136009284</v>
      </c>
      <c r="Q20" s="166">
        <f t="shared" si="9"/>
        <v>2.5596671820410579</v>
      </c>
      <c r="R20" s="166">
        <f t="shared" si="9"/>
        <v>2.9893108964935076</v>
      </c>
      <c r="S20" s="166">
        <f t="shared" ref="S20:T20" si="10">(S15/S6)*100</f>
        <v>3.0963648958992254</v>
      </c>
      <c r="T20" s="166">
        <f t="shared" si="10"/>
        <v>2.7890233282431027</v>
      </c>
      <c r="U20" s="166">
        <f t="shared" ref="U20:V20" si="11">(U15/U6)*100</f>
        <v>2.0684867326806944</v>
      </c>
      <c r="V20" s="166">
        <f t="shared" si="11"/>
        <v>1.0096409982260715</v>
      </c>
      <c r="W20" s="166">
        <f t="shared" si="9"/>
        <v>2.6395067424579413</v>
      </c>
    </row>
    <row r="21" spans="1:23" x14ac:dyDescent="0.2">
      <c r="A21" s="341"/>
      <c r="B21" s="163"/>
      <c r="C21" s="164" t="s">
        <v>402</v>
      </c>
      <c r="D21" s="204" t="s">
        <v>404</v>
      </c>
      <c r="E21" s="166">
        <f>(E12/(E6-BS!K22-BS!K27-BS!K28))*100</f>
        <v>5.0953558945308464</v>
      </c>
      <c r="F21" s="166">
        <f>(F12/(F6-BS!L22-BS!L27-BS!L28))*100</f>
        <v>2.2617155169016243</v>
      </c>
      <c r="G21" s="166">
        <f>(G12/(G6-BS!M22-BS!M27-BS!M28))*100</f>
        <v>4.7944157869920518</v>
      </c>
      <c r="H21" s="166">
        <f>(H12/(H6-BS!N22-BS!N27-BS!N28))*100</f>
        <v>5.0655969704893904</v>
      </c>
      <c r="I21" s="166">
        <f>(I12/(I6-BS!O22-BS!O27-BS!O28))*100</f>
        <v>3.8938723893582572</v>
      </c>
      <c r="J21" s="166">
        <f>(J12/(J6-BS!P22-BS!P27-BS!P28))*100</f>
        <v>1.8077093140342126</v>
      </c>
      <c r="K21" s="166">
        <f>(K12/(K6-BS!Q22-BS!Q27-BS!Q28))*100</f>
        <v>-1.0367313691151498</v>
      </c>
      <c r="L21" s="166">
        <f>(L12/(L6-BS!R22-BS!R27-BS!R28))*100</f>
        <v>3.7133476289338363</v>
      </c>
      <c r="M21" s="166">
        <f>(M12/(M6-BS!S22-BS!S27-BS!S28))*100</f>
        <v>3.5319987839146298</v>
      </c>
      <c r="N21" s="166">
        <f>(N12/(N6-BS!T22-BS!T27-BS!T28))*100</f>
        <v>3.3131785046721012</v>
      </c>
      <c r="O21" s="166">
        <f>(O12/(O6-BS!U22-BS!U27-BS!U28))*100</f>
        <v>5.1668623279383308</v>
      </c>
      <c r="P21" s="166">
        <f>(P12/(P6-BS!V22-BS!V27-BS!V28))*100</f>
        <v>4.2704551609758594</v>
      </c>
      <c r="Q21" s="166">
        <f>(Q12/(Q6-BS!W22-BS!W27-BS!W28))*100</f>
        <v>3.6692144659453141</v>
      </c>
      <c r="R21" s="166">
        <f>(R12/(R6-BS!X22-BS!X27-BS!X28))*100</f>
        <v>4.5862276694140363</v>
      </c>
      <c r="S21" s="166">
        <f>(S12/(S6-BS!Y22-BS!Y27-BS!Y28))*100</f>
        <v>5.0714718906771701</v>
      </c>
      <c r="T21" s="166">
        <f>(T12/(T6-BS!Z22-BS!Z27-BS!Z28))*100</f>
        <v>4.1284579864168478</v>
      </c>
      <c r="U21" s="166">
        <f>(U12/(U6-BS!AA22-BS!AA27-BS!AA28))*100</f>
        <v>2.0285319897075733</v>
      </c>
      <c r="V21" s="166">
        <f>(V12/(V6-BS!AB22-BS!AB27-BS!AB28))*100</f>
        <v>0.89509785429782385</v>
      </c>
      <c r="W21" s="166">
        <f>(W12/(W6-BS!AC22-BS!AC27-BS!AC28))*100</f>
        <v>2.8015174680550423</v>
      </c>
    </row>
    <row r="22" spans="1:23" x14ac:dyDescent="0.2">
      <c r="A22" s="341"/>
      <c r="B22" s="167"/>
      <c r="C22" s="168" t="s">
        <v>403</v>
      </c>
      <c r="D22" s="205" t="s">
        <v>404</v>
      </c>
      <c r="E22" s="169">
        <f t="shared" ref="E22:M22" si="12">(E15/E9)*100</f>
        <v>8.5447610179848521</v>
      </c>
      <c r="F22" s="169">
        <f>(F15/F9)*100</f>
        <v>9.1991902951343025</v>
      </c>
      <c r="G22" s="169">
        <f t="shared" si="12"/>
        <v>7.1491036499589056</v>
      </c>
      <c r="H22" s="169">
        <f t="shared" si="12"/>
        <v>8.6684308406482202</v>
      </c>
      <c r="I22" s="169">
        <f t="shared" si="12"/>
        <v>7.3683116605292431</v>
      </c>
      <c r="J22" s="169">
        <f t="shared" si="12"/>
        <v>1.5658725601435437</v>
      </c>
      <c r="K22" s="169">
        <f t="shared" si="12"/>
        <v>-1.6430818750060014</v>
      </c>
      <c r="L22" s="169">
        <f t="shared" si="12"/>
        <v>5.4649617912686059</v>
      </c>
      <c r="M22" s="169">
        <f t="shared" si="12"/>
        <v>5.7470098592936845</v>
      </c>
      <c r="N22" s="169">
        <f t="shared" ref="N22:W22" si="13">(N15/N9)*100</f>
        <v>5.4538655676135432</v>
      </c>
      <c r="O22" s="169">
        <f t="shared" si="13"/>
        <v>6.3715598864956311</v>
      </c>
      <c r="P22" s="169">
        <f t="shared" si="13"/>
        <v>6.4002533895090945</v>
      </c>
      <c r="Q22" s="169">
        <f t="shared" si="13"/>
        <v>6.9260383541360468</v>
      </c>
      <c r="R22" s="169">
        <f t="shared" si="13"/>
        <v>7.1577720282349588</v>
      </c>
      <c r="S22" s="169">
        <f t="shared" ref="S22:T22" si="14">(S15/S9)*100</f>
        <v>7.4382339433573712</v>
      </c>
      <c r="T22" s="169">
        <f t="shared" si="14"/>
        <v>6.3777742593785769</v>
      </c>
      <c r="U22" s="169">
        <f t="shared" ref="U22:V22" si="15">(U15/U9)*100</f>
        <v>4.3657905433843647</v>
      </c>
      <c r="V22" s="169">
        <f t="shared" si="15"/>
        <v>2.3663112146038423</v>
      </c>
      <c r="W22" s="169">
        <f t="shared" si="13"/>
        <v>6.3388046401564351</v>
      </c>
    </row>
    <row r="23" spans="1:23" x14ac:dyDescent="0.2">
      <c r="A23" s="341"/>
      <c r="B23" s="161" t="s">
        <v>405</v>
      </c>
      <c r="C23" s="162"/>
      <c r="D23" s="203"/>
      <c r="E23" s="155"/>
      <c r="F23" s="155"/>
      <c r="G23" s="155"/>
      <c r="H23" s="155"/>
      <c r="I23" s="155"/>
      <c r="J23" s="155"/>
      <c r="K23" s="155"/>
      <c r="L23" s="155"/>
      <c r="M23" s="155"/>
      <c r="N23" s="155"/>
      <c r="O23" s="155"/>
      <c r="P23" s="155"/>
      <c r="Q23" s="155"/>
      <c r="R23" s="155"/>
      <c r="S23" s="155"/>
      <c r="T23" s="155"/>
      <c r="U23" s="155"/>
      <c r="V23" s="155"/>
      <c r="W23" s="155"/>
    </row>
    <row r="24" spans="1:23" x14ac:dyDescent="0.2">
      <c r="A24" s="341"/>
      <c r="B24" s="163"/>
      <c r="C24" s="164" t="s">
        <v>406</v>
      </c>
      <c r="D24" s="204" t="s">
        <v>404</v>
      </c>
      <c r="E24" s="166">
        <f t="shared" ref="E24:M24" si="16">(E11/E10)*100</f>
        <v>15.108882380535832</v>
      </c>
      <c r="F24" s="166">
        <f>(F11/F10)*100</f>
        <v>14.659559376449957</v>
      </c>
      <c r="G24" s="166">
        <f t="shared" si="16"/>
        <v>16.587782684228848</v>
      </c>
      <c r="H24" s="166">
        <f t="shared" si="16"/>
        <v>14.715840265279073</v>
      </c>
      <c r="I24" s="166">
        <f t="shared" si="16"/>
        <v>14.742680227350613</v>
      </c>
      <c r="J24" s="166">
        <f t="shared" si="16"/>
        <v>11.004111077372086</v>
      </c>
      <c r="K24" s="166">
        <f t="shared" si="16"/>
        <v>11.769270524494855</v>
      </c>
      <c r="L24" s="166">
        <f t="shared" si="16"/>
        <v>12.905415288289074</v>
      </c>
      <c r="M24" s="166">
        <f t="shared" si="16"/>
        <v>15.626977184086874</v>
      </c>
      <c r="N24" s="166">
        <f t="shared" ref="N24:W24" si="17">(N11/N10)*100</f>
        <v>19.578618406294328</v>
      </c>
      <c r="O24" s="166">
        <f t="shared" si="17"/>
        <v>14.092190064919166</v>
      </c>
      <c r="P24" s="166">
        <f t="shared" si="17"/>
        <v>13.903110006705308</v>
      </c>
      <c r="Q24" s="166">
        <f t="shared" si="17"/>
        <v>12.475576921063293</v>
      </c>
      <c r="R24" s="166">
        <f t="shared" si="17"/>
        <v>13.13310042174721</v>
      </c>
      <c r="S24" s="166">
        <f t="shared" ref="S24:T24" si="18">(S11/S10)*100</f>
        <v>15.20967206982314</v>
      </c>
      <c r="T24" s="166">
        <f t="shared" si="18"/>
        <v>14.281529703090964</v>
      </c>
      <c r="U24" s="166">
        <f t="shared" ref="U24:V24" si="19">(U11/U10)*100</f>
        <v>12.795895952830053</v>
      </c>
      <c r="V24" s="166">
        <f t="shared" si="19"/>
        <v>11.982528366106793</v>
      </c>
      <c r="W24" s="166">
        <f t="shared" si="17"/>
        <v>13.881700528886162</v>
      </c>
    </row>
    <row r="25" spans="1:23" x14ac:dyDescent="0.2">
      <c r="A25" s="341"/>
      <c r="B25" s="163"/>
      <c r="C25" s="164" t="s">
        <v>407</v>
      </c>
      <c r="D25" s="204" t="s">
        <v>404</v>
      </c>
      <c r="E25" s="166">
        <f t="shared" ref="E25:M25" si="20">(E12/E10)*100</f>
        <v>3.3305683602687082</v>
      </c>
      <c r="F25" s="166">
        <f>(F12/F10)*100</f>
        <v>1.469001157290136</v>
      </c>
      <c r="G25" s="166">
        <f t="shared" si="20"/>
        <v>3.5598210330947051</v>
      </c>
      <c r="H25" s="166">
        <f t="shared" si="20"/>
        <v>3.1996693113165491</v>
      </c>
      <c r="I25" s="166">
        <f t="shared" si="20"/>
        <v>2.7218184471403961</v>
      </c>
      <c r="J25" s="166">
        <f t="shared" si="20"/>
        <v>1.1513177805664934</v>
      </c>
      <c r="K25" s="166">
        <f t="shared" si="20"/>
        <v>-0.86705839821995379</v>
      </c>
      <c r="L25" s="166">
        <f t="shared" si="20"/>
        <v>2.605864574785568</v>
      </c>
      <c r="M25" s="166">
        <f t="shared" si="20"/>
        <v>2.6380092651607057</v>
      </c>
      <c r="N25" s="166">
        <f t="shared" ref="N25:W25" si="21">(N12/N10)*100</f>
        <v>2.7175781913746415</v>
      </c>
      <c r="O25" s="166">
        <f t="shared" si="21"/>
        <v>3.3971040807588184</v>
      </c>
      <c r="P25" s="166">
        <f t="shared" si="21"/>
        <v>3.0079031031644057</v>
      </c>
      <c r="Q25" s="166">
        <f t="shared" si="21"/>
        <v>2.3495460618700461</v>
      </c>
      <c r="R25" s="166">
        <f t="shared" si="21"/>
        <v>3.074728005058351</v>
      </c>
      <c r="S25" s="166">
        <f t="shared" ref="S25:T25" si="22">(S12/S10)*100</f>
        <v>3.8793646393725361</v>
      </c>
      <c r="T25" s="166">
        <f t="shared" si="22"/>
        <v>2.9387430403551225</v>
      </c>
      <c r="U25" s="166">
        <f t="shared" ref="U25:V25" si="23">(U12/U10)*100</f>
        <v>1.7496909902118989</v>
      </c>
      <c r="V25" s="166">
        <f t="shared" si="23"/>
        <v>0.72992507107644644</v>
      </c>
      <c r="W25" s="166">
        <f t="shared" si="21"/>
        <v>2.204640582676709</v>
      </c>
    </row>
    <row r="26" spans="1:23" x14ac:dyDescent="0.2">
      <c r="A26" s="341"/>
      <c r="B26" s="163"/>
      <c r="C26" s="164" t="s">
        <v>408</v>
      </c>
      <c r="D26" s="204" t="s">
        <v>404</v>
      </c>
      <c r="E26" s="166">
        <f t="shared" ref="E26:M26" si="24">(E13/E10)*100</f>
        <v>3.5644757101136313</v>
      </c>
      <c r="F26" s="166">
        <f>(F13/F10)*100</f>
        <v>2.957201597807015</v>
      </c>
      <c r="G26" s="166">
        <f t="shared" si="24"/>
        <v>4.2318253836515174</v>
      </c>
      <c r="H26" s="166">
        <f t="shared" si="24"/>
        <v>3.5349575993623068</v>
      </c>
      <c r="I26" s="166">
        <f t="shared" si="24"/>
        <v>3.6930909502178526</v>
      </c>
      <c r="J26" s="166">
        <f t="shared" si="24"/>
        <v>1.4864586654870267</v>
      </c>
      <c r="K26" s="166">
        <f t="shared" si="24"/>
        <v>0.35732032895800386</v>
      </c>
      <c r="L26" s="166">
        <f t="shared" si="24"/>
        <v>3.1122145407662964</v>
      </c>
      <c r="M26" s="166">
        <f t="shared" si="24"/>
        <v>3.6647396325052419</v>
      </c>
      <c r="N26" s="166">
        <f t="shared" ref="N26:W26" si="25">(N13/N10)*100</f>
        <v>3.7816909685469886</v>
      </c>
      <c r="O26" s="166">
        <f t="shared" si="25"/>
        <v>3.7067481236210695</v>
      </c>
      <c r="P26" s="166">
        <f t="shared" si="25"/>
        <v>3.818095578803832</v>
      </c>
      <c r="Q26" s="166">
        <f t="shared" si="25"/>
        <v>3.2252660089825054</v>
      </c>
      <c r="R26" s="166">
        <f t="shared" si="25"/>
        <v>3.6312174095121219</v>
      </c>
      <c r="S26" s="166">
        <f t="shared" ref="S26:T26" si="26">(S13/S10)*100</f>
        <v>4.5686038438813235</v>
      </c>
      <c r="T26" s="166">
        <f t="shared" si="26"/>
        <v>3.8343436010206546</v>
      </c>
      <c r="U26" s="166">
        <f t="shared" ref="U26:V26" si="27">(U13/U10)*100</f>
        <v>2.9748585686554687</v>
      </c>
      <c r="V26" s="166">
        <f t="shared" si="27"/>
        <v>2.4973542740402728</v>
      </c>
      <c r="W26" s="166">
        <f t="shared" si="25"/>
        <v>3.6665888735870884</v>
      </c>
    </row>
    <row r="27" spans="1:23" x14ac:dyDescent="0.2">
      <c r="A27" s="341"/>
      <c r="B27" s="163"/>
      <c r="C27" s="164" t="s">
        <v>409</v>
      </c>
      <c r="D27" s="204" t="s">
        <v>404</v>
      </c>
      <c r="E27" s="166">
        <f t="shared" ref="E27:M27" si="28">(E15/E10)*100</f>
        <v>1.7803655961032401</v>
      </c>
      <c r="F27" s="166">
        <f>(F15/F10)*100</f>
        <v>1.7605209405515525</v>
      </c>
      <c r="G27" s="166">
        <f t="shared" si="28"/>
        <v>2.0156674884947092</v>
      </c>
      <c r="H27" s="166">
        <f t="shared" si="28"/>
        <v>2.0610027405208764</v>
      </c>
      <c r="I27" s="166">
        <f t="shared" si="28"/>
        <v>1.7895933116038272</v>
      </c>
      <c r="J27" s="166">
        <f t="shared" si="28"/>
        <v>0.36186266581883814</v>
      </c>
      <c r="K27" s="166">
        <f t="shared" si="28"/>
        <v>-0.57406898532482176</v>
      </c>
      <c r="L27" s="166">
        <f t="shared" si="28"/>
        <v>1.4966688651060713</v>
      </c>
      <c r="M27" s="166">
        <f t="shared" si="28"/>
        <v>1.7328908771296503</v>
      </c>
      <c r="N27" s="166">
        <f t="shared" ref="N27:W27" si="29">(N15/N10)*100</f>
        <v>1.6879380683437857</v>
      </c>
      <c r="O27" s="166">
        <f t="shared" si="29"/>
        <v>1.8950632970809584</v>
      </c>
      <c r="P27" s="166">
        <f t="shared" si="29"/>
        <v>1.9399566623136422</v>
      </c>
      <c r="Q27" s="166">
        <f t="shared" si="29"/>
        <v>1.9186290429929955</v>
      </c>
      <c r="R27" s="166">
        <f t="shared" si="29"/>
        <v>2.3252750658845827</v>
      </c>
      <c r="S27" s="166">
        <f t="shared" ref="S27:T27" si="30">(S15/S10)*100</f>
        <v>2.7812005694778938</v>
      </c>
      <c r="T27" s="166">
        <f t="shared" si="30"/>
        <v>2.3539187817834</v>
      </c>
      <c r="U27" s="166">
        <f t="shared" ref="U27:V27" si="31">(U15/U10)*100</f>
        <v>2.3854512914625778</v>
      </c>
      <c r="V27" s="166">
        <f t="shared" si="31"/>
        <v>0.99402457091881635</v>
      </c>
      <c r="W27" s="166">
        <f t="shared" si="29"/>
        <v>2.409311795704236</v>
      </c>
    </row>
    <row r="28" spans="1:23" x14ac:dyDescent="0.2">
      <c r="A28" s="341"/>
      <c r="B28" s="163"/>
      <c r="C28" s="164" t="s">
        <v>410</v>
      </c>
      <c r="D28" s="204" t="s">
        <v>404</v>
      </c>
      <c r="E28" s="166">
        <f>(PL!K11/PL!K6)*100</f>
        <v>13.329063158500782</v>
      </c>
      <c r="F28" s="166">
        <f>(PL!L11/PL!L6)*100</f>
        <v>16.273888441498187</v>
      </c>
      <c r="G28" s="166">
        <f>(PL!M11/PL!M6)*100</f>
        <v>15.310124666644773</v>
      </c>
      <c r="H28" s="166">
        <f>(PL!N11/PL!N6)*100</f>
        <v>13.627359650492691</v>
      </c>
      <c r="I28" s="166">
        <f>(PL!O11/PL!O6)*100</f>
        <v>15.207102434850048</v>
      </c>
      <c r="J28" s="166">
        <f>(PL!P11/PL!P6)*100</f>
        <v>15.123173019328062</v>
      </c>
      <c r="K28" s="166">
        <f>(PL!Q11/PL!Q6)*100</f>
        <v>16.069356253966465</v>
      </c>
      <c r="L28" s="166">
        <f>(PL!R11/PL!R6)*100</f>
        <v>16.58398081740183</v>
      </c>
      <c r="M28" s="166">
        <f>(PL!S11/PL!S6)*100</f>
        <v>14.751729049588629</v>
      </c>
      <c r="N28" s="166">
        <f>(PL!T11/PL!T6)*100</f>
        <v>20.081820382205791</v>
      </c>
      <c r="O28" s="166">
        <f>(PL!U11/PL!U6)*100</f>
        <v>16.917441526927824</v>
      </c>
      <c r="P28" s="166">
        <f>(PL!V11/PL!V6)*100</f>
        <v>15.378963356472648</v>
      </c>
      <c r="Q28" s="166">
        <f>(PL!W11/PL!W6)*100</f>
        <v>15.12378309113503</v>
      </c>
      <c r="R28" s="166">
        <f>(PL!X11/PL!X6)*100</f>
        <v>18.161429877245876</v>
      </c>
      <c r="S28" s="166">
        <f>(PL!Y11/PL!Y6)*100</f>
        <v>17.570701625320378</v>
      </c>
      <c r="T28" s="166">
        <f>(PL!Z11/PL!Z6)*100</f>
        <v>14.631139754752938</v>
      </c>
      <c r="U28" s="166">
        <f>(PL!AA11/PL!AA6)*100</f>
        <v>14.281717155442092</v>
      </c>
      <c r="V28" s="166">
        <f>(PL!AB11/PL!AB6)*100</f>
        <v>16.006081166550697</v>
      </c>
      <c r="W28" s="166">
        <f>(PL!AC11/PL!AC6)*100</f>
        <v>14.584098533096887</v>
      </c>
    </row>
    <row r="29" spans="1:23" x14ac:dyDescent="0.2">
      <c r="A29" s="341"/>
      <c r="B29" s="163"/>
      <c r="C29" s="164" t="s">
        <v>411</v>
      </c>
      <c r="D29" s="204" t="s">
        <v>404</v>
      </c>
      <c r="E29" s="166">
        <f>(PL!K16/PL!K6)*100</f>
        <v>11.778314020266933</v>
      </c>
      <c r="F29" s="166">
        <f>(PL!L16/PL!L6)*100</f>
        <v>13.190558219159817</v>
      </c>
      <c r="G29" s="166">
        <f>(PL!M16/PL!M6)*100</f>
        <v>13.027961651134135</v>
      </c>
      <c r="H29" s="166">
        <f>(PL!N16/PL!N6)*100</f>
        <v>11.516170953962533</v>
      </c>
      <c r="I29" s="166">
        <f>(PL!O16/PL!O6)*100</f>
        <v>12.020861780210202</v>
      </c>
      <c r="J29" s="166">
        <f>(PL!P16/PL!P6)*100</f>
        <v>9.85279329680532</v>
      </c>
      <c r="K29" s="166">
        <f>(PL!Q16/PL!Q6)*100</f>
        <v>12.636328922714876</v>
      </c>
      <c r="L29" s="166">
        <f>(PL!R16/PL!R6)*100</f>
        <v>10.299550713503496</v>
      </c>
      <c r="M29" s="166">
        <f>(PL!S16/PL!S6)*100</f>
        <v>12.988967918926154</v>
      </c>
      <c r="N29" s="166">
        <f>(PL!T16/PL!T6)*100</f>
        <v>16.861040214919694</v>
      </c>
      <c r="O29" s="166">
        <f>(PL!U16/PL!U6)*100</f>
        <v>10.695085984160361</v>
      </c>
      <c r="P29" s="166">
        <f>(PL!V16/PL!V6)*100</f>
        <v>10.895206903540908</v>
      </c>
      <c r="Q29" s="166">
        <f>(PL!W16/PL!W6)*100</f>
        <v>10.126030859193252</v>
      </c>
      <c r="R29" s="166">
        <f>(PL!X16/PL!X6)*100</f>
        <v>10.058372416688856</v>
      </c>
      <c r="S29" s="166">
        <f>(PL!Y16/PL!Y6)*100</f>
        <v>11.33030743045059</v>
      </c>
      <c r="T29" s="166">
        <f>(PL!Z16/PL!Z6)*100</f>
        <v>11.34278666273574</v>
      </c>
      <c r="U29" s="166">
        <f>(PL!AA16/PL!AA6)*100</f>
        <v>11.046204952547967</v>
      </c>
      <c r="V29" s="166">
        <f>(PL!AB16/PL!AB6)*100</f>
        <v>11.252603295030355</v>
      </c>
      <c r="W29" s="166">
        <f>(PL!AC16/PL!AC6)*100</f>
        <v>11.677059946209443</v>
      </c>
    </row>
    <row r="30" spans="1:23" x14ac:dyDescent="0.2">
      <c r="A30" s="341"/>
      <c r="B30" s="167"/>
      <c r="C30" s="168" t="s">
        <v>412</v>
      </c>
      <c r="D30" s="205" t="s">
        <v>404</v>
      </c>
      <c r="E30" s="169">
        <f>(PL!K17/PL!K6)*100</f>
        <v>6.2282042572716065</v>
      </c>
      <c r="F30" s="169">
        <f>(PL!L17/PL!L6)*100</f>
        <v>6.7547984875231322</v>
      </c>
      <c r="G30" s="169">
        <f>(PL!M17/PL!M6)*100</f>
        <v>6.0524187170774111</v>
      </c>
      <c r="H30" s="169">
        <f>(PL!N17/PL!N6)*100</f>
        <v>5.9091200916063782</v>
      </c>
      <c r="I30" s="169">
        <f>(PL!O17/PL!O6)*100</f>
        <v>6.0130672091180992</v>
      </c>
      <c r="J30" s="169">
        <f>(PL!P17/PL!P6)*100</f>
        <v>4.7970358886503348</v>
      </c>
      <c r="K30" s="169">
        <f>(PL!Q17/PL!Q6)*100</f>
        <v>6.374470512548605</v>
      </c>
      <c r="L30" s="169">
        <f>(PL!R17/PL!R6)*100</f>
        <v>5.2532277303352934</v>
      </c>
      <c r="M30" s="169">
        <f>(PL!S17/PL!S6)*100</f>
        <v>6.1168014252512251</v>
      </c>
      <c r="N30" s="169">
        <f>(PL!T17/PL!T6)*100</f>
        <v>7.8578452959603142</v>
      </c>
      <c r="O30" s="169">
        <f>(PL!U17/PL!U6)*100</f>
        <v>5.1261571992240258</v>
      </c>
      <c r="P30" s="169">
        <f>(PL!V17/PL!V6)*100</f>
        <v>5.4526593645394188</v>
      </c>
      <c r="Q30" s="169">
        <f>(PL!W17/PL!W6)*100</f>
        <v>4.7803060567894695</v>
      </c>
      <c r="R30" s="169">
        <f>(PL!X17/PL!X6)*100</f>
        <v>5.0510518799753452</v>
      </c>
      <c r="S30" s="169">
        <f>(PL!Y17/PL!Y6)*100</f>
        <v>5.5723926794059517</v>
      </c>
      <c r="T30" s="169">
        <f>(PL!Z17/PL!Z6)*100</f>
        <v>5.3136206352407189</v>
      </c>
      <c r="U30" s="169">
        <f>(PL!AA17/PL!AA6)*100</f>
        <v>5.0579127658567691</v>
      </c>
      <c r="V30" s="169">
        <f>(PL!AB17/PL!AB6)*100</f>
        <v>5.3529457706641788</v>
      </c>
      <c r="W30" s="169">
        <f>(PL!AC17/PL!AC6)*100</f>
        <v>5.5855243166315711</v>
      </c>
    </row>
    <row r="31" spans="1:23" x14ac:dyDescent="0.2">
      <c r="A31" s="341"/>
      <c r="B31" s="161" t="s">
        <v>413</v>
      </c>
      <c r="C31" s="162"/>
      <c r="D31" s="203"/>
      <c r="E31" s="155"/>
      <c r="F31" s="155"/>
      <c r="G31" s="155"/>
      <c r="H31" s="155"/>
      <c r="I31" s="155"/>
      <c r="J31" s="155"/>
      <c r="K31" s="155"/>
      <c r="L31" s="155"/>
      <c r="M31" s="155"/>
      <c r="N31" s="155"/>
      <c r="O31" s="155"/>
      <c r="P31" s="155"/>
      <c r="Q31" s="155"/>
      <c r="R31" s="155"/>
      <c r="S31" s="155"/>
      <c r="T31" s="155"/>
      <c r="U31" s="155"/>
      <c r="V31" s="155"/>
      <c r="W31" s="155"/>
    </row>
    <row r="32" spans="1:23" x14ac:dyDescent="0.2">
      <c r="A32" s="341"/>
      <c r="B32" s="163"/>
      <c r="C32" s="164" t="s">
        <v>414</v>
      </c>
      <c r="D32" s="204" t="s">
        <v>136</v>
      </c>
      <c r="E32" s="166">
        <f t="shared" ref="E32:M32" si="32">E10/E6</f>
        <v>1.3998032424194702</v>
      </c>
      <c r="F32" s="166">
        <f>F10/F6</f>
        <v>1.3254729711866367</v>
      </c>
      <c r="G32" s="166">
        <f t="shared" si="32"/>
        <v>1.2009717828565645</v>
      </c>
      <c r="H32" s="166">
        <f t="shared" si="32"/>
        <v>1.4487208396207714</v>
      </c>
      <c r="I32" s="166">
        <f t="shared" si="32"/>
        <v>1.2590083090893338</v>
      </c>
      <c r="J32" s="166">
        <f t="shared" si="32"/>
        <v>1.4349542020611585</v>
      </c>
      <c r="K32" s="166">
        <f t="shared" si="32"/>
        <v>1.0796486098471838</v>
      </c>
      <c r="L32" s="166">
        <f t="shared" si="32"/>
        <v>1.3253802348130883</v>
      </c>
      <c r="M32" s="166">
        <f t="shared" si="32"/>
        <v>1.2057280220677795</v>
      </c>
      <c r="N32" s="166">
        <f t="shared" ref="N32:W32" si="33">N10/N6</f>
        <v>1.1096602794466865</v>
      </c>
      <c r="O32" s="166">
        <f t="shared" si="33"/>
        <v>1.245967614369496</v>
      </c>
      <c r="P32" s="166">
        <f t="shared" si="33"/>
        <v>1.2498089574379039</v>
      </c>
      <c r="Q32" s="166">
        <f t="shared" si="33"/>
        <v>1.3341126005515191</v>
      </c>
      <c r="R32" s="166">
        <f t="shared" si="33"/>
        <v>1.2855730233172702</v>
      </c>
      <c r="S32" s="166">
        <f t="shared" ref="S32:T32" si="34">S10/S6</f>
        <v>1.1133195246254737</v>
      </c>
      <c r="T32" s="166">
        <f t="shared" si="34"/>
        <v>1.1848426334106796</v>
      </c>
      <c r="U32" s="166">
        <f t="shared" ref="U32:V32" si="35">U10/U6</f>
        <v>0.86712595645264878</v>
      </c>
      <c r="V32" s="166">
        <f t="shared" si="35"/>
        <v>1.0157103031093289</v>
      </c>
      <c r="W32" s="166">
        <f t="shared" si="33"/>
        <v>1.0955438591070443</v>
      </c>
    </row>
    <row r="33" spans="1:23" x14ac:dyDescent="0.2">
      <c r="A33" s="341"/>
      <c r="B33" s="163"/>
      <c r="C33" s="164" t="s">
        <v>415</v>
      </c>
      <c r="D33" s="204" t="s">
        <v>136</v>
      </c>
      <c r="E33" s="166">
        <f t="shared" ref="E33:M33" si="36">E10/E5</f>
        <v>3.0184257310168467</v>
      </c>
      <c r="F33" s="166">
        <f>F10/F5</f>
        <v>2.7248340093091383</v>
      </c>
      <c r="G33" s="166">
        <f t="shared" si="36"/>
        <v>2.6453442024421281</v>
      </c>
      <c r="H33" s="166">
        <f t="shared" si="36"/>
        <v>3.631990774753056</v>
      </c>
      <c r="I33" s="166">
        <f t="shared" si="36"/>
        <v>2.8266915594550257</v>
      </c>
      <c r="J33" s="166">
        <f t="shared" si="36"/>
        <v>2.6752889109402993</v>
      </c>
      <c r="K33" s="166">
        <f t="shared" si="36"/>
        <v>2.2014394478648165</v>
      </c>
      <c r="L33" s="166">
        <f t="shared" si="36"/>
        <v>3.1443348347580002</v>
      </c>
      <c r="M33" s="166">
        <f t="shared" si="36"/>
        <v>2.8881387529249114</v>
      </c>
      <c r="N33" s="166">
        <f t="shared" ref="N33:W33" si="37">N10/N5</f>
        <v>2.2884566566562192</v>
      </c>
      <c r="O33" s="166">
        <f t="shared" si="37"/>
        <v>2.5465202369224795</v>
      </c>
      <c r="P33" s="166">
        <f t="shared" si="37"/>
        <v>2.7133821689222843</v>
      </c>
      <c r="Q33" s="166">
        <f t="shared" si="37"/>
        <v>2.7483006701240642</v>
      </c>
      <c r="R33" s="166">
        <f t="shared" si="37"/>
        <v>2.9072868926488362</v>
      </c>
      <c r="S33" s="166">
        <f t="shared" ref="S33:T33" si="38">S10/S5</f>
        <v>2.3202215840426974</v>
      </c>
      <c r="T33" s="166">
        <f t="shared" si="38"/>
        <v>2.5147415927447252</v>
      </c>
      <c r="U33" s="166">
        <f t="shared" ref="U33:V33" si="39">U10/U5</f>
        <v>1.6773570988754307</v>
      </c>
      <c r="V33" s="166">
        <f t="shared" si="39"/>
        <v>2.0833616358619058</v>
      </c>
      <c r="W33" s="166">
        <f t="shared" si="37"/>
        <v>2.4058481791018562</v>
      </c>
    </row>
    <row r="34" spans="1:23" x14ac:dyDescent="0.2">
      <c r="A34" s="341"/>
      <c r="B34" s="163"/>
      <c r="C34" s="164" t="s">
        <v>416</v>
      </c>
      <c r="D34" s="204" t="s">
        <v>136</v>
      </c>
      <c r="E34" s="166">
        <f>PL!K6/BS!K16</f>
        <v>3.7324093470049506</v>
      </c>
      <c r="F34" s="166">
        <f>PL!L6/BS!L16</f>
        <v>3.5463309422183356</v>
      </c>
      <c r="G34" s="166">
        <f>PL!M6/BS!M16</f>
        <v>3.363246697086383</v>
      </c>
      <c r="H34" s="166">
        <f>PL!N6/BS!N16</f>
        <v>4.6582875851441488</v>
      </c>
      <c r="I34" s="166">
        <f>PL!O6/BS!O16</f>
        <v>3.8598743764405774</v>
      </c>
      <c r="J34" s="166">
        <f>PL!P6/BS!P16</f>
        <v>3.184375416277502</v>
      </c>
      <c r="K34" s="166">
        <f>PL!Q6/BS!Q16</f>
        <v>2.7418381775959051</v>
      </c>
      <c r="L34" s="166">
        <f>PL!R6/BS!R16</f>
        <v>3.7079424361426838</v>
      </c>
      <c r="M34" s="166">
        <f>PL!S6/BS!S16</f>
        <v>3.6696546687277647</v>
      </c>
      <c r="N34" s="166">
        <f>PL!T6/BS!T16</f>
        <v>2.7912455280949464</v>
      </c>
      <c r="O34" s="166">
        <f>PL!U6/BS!U16</f>
        <v>3.9563282332037533</v>
      </c>
      <c r="P34" s="166">
        <f>PL!V6/BS!V16</f>
        <v>3.5751694165693606</v>
      </c>
      <c r="Q34" s="166">
        <f>PL!W6/BS!W16</f>
        <v>3.8363618060819524</v>
      </c>
      <c r="R34" s="166">
        <f>PL!X6/BS!X16</f>
        <v>4.1771217035769341</v>
      </c>
      <c r="S34" s="166">
        <f>PL!Y6/BS!Y16</f>
        <v>3.116925099754758</v>
      </c>
      <c r="T34" s="166">
        <f>PL!Z6/BS!Z16</f>
        <v>3.6659436414569107</v>
      </c>
      <c r="U34" s="166">
        <f>PL!AA6/BS!AA16</f>
        <v>3.2269382149940062</v>
      </c>
      <c r="V34" s="166">
        <f>PL!AB6/BS!AB16</f>
        <v>3.1229122790923443</v>
      </c>
      <c r="W34" s="166">
        <f>PL!AC6/BS!AC16</f>
        <v>3.3745015732679686</v>
      </c>
    </row>
    <row r="35" spans="1:23" x14ac:dyDescent="0.2">
      <c r="A35" s="341"/>
      <c r="B35" s="163"/>
      <c r="C35" s="164" t="s">
        <v>417</v>
      </c>
      <c r="D35" s="204" t="s">
        <v>429</v>
      </c>
      <c r="E35" s="166">
        <f>(BS!K11/PL!K6)*365</f>
        <v>61.73696324949433</v>
      </c>
      <c r="F35" s="166">
        <f>(BS!L11/PL!L6)*365</f>
        <v>56.759605241404323</v>
      </c>
      <c r="G35" s="166">
        <f>(BS!M11/PL!M6)*365</f>
        <v>76.791970400151769</v>
      </c>
      <c r="H35" s="166">
        <f>(BS!N11/PL!N6)*365</f>
        <v>74.319288614460632</v>
      </c>
      <c r="I35" s="166">
        <f>(BS!O11/PL!O6)*365</f>
        <v>55.370154013743225</v>
      </c>
      <c r="J35" s="166">
        <f>(BS!P11/PL!P6)*365</f>
        <v>40.773764269907922</v>
      </c>
      <c r="K35" s="166">
        <f>(BS!Q11/PL!Q6)*365</f>
        <v>58.138635967107923</v>
      </c>
      <c r="L35" s="166">
        <f>(BS!R11/PL!R6)*365</f>
        <v>51.513210338992053</v>
      </c>
      <c r="M35" s="166">
        <f>(BS!S11/PL!S6)*365</f>
        <v>73.591035436915064</v>
      </c>
      <c r="N35" s="166">
        <f>(BS!T11/PL!T6)*365</f>
        <v>56.569117627332609</v>
      </c>
      <c r="O35" s="166">
        <f>(BS!U11/PL!U6)*365</f>
        <v>60.672305068945604</v>
      </c>
      <c r="P35" s="166">
        <f>(BS!V11/PL!V6)*365</f>
        <v>50.23612129312469</v>
      </c>
      <c r="Q35" s="166">
        <f>(BS!W11/PL!W6)*365</f>
        <v>50.475469802960951</v>
      </c>
      <c r="R35" s="166">
        <f>(BS!X11/PL!X6)*365</f>
        <v>45.418039385794408</v>
      </c>
      <c r="S35" s="166">
        <f>(BS!Y11/PL!Y6)*365</f>
        <v>50.487037966437597</v>
      </c>
      <c r="T35" s="166">
        <f>(BS!Z11/PL!Z6)*365</f>
        <v>50.268813041107308</v>
      </c>
      <c r="U35" s="166">
        <f>(BS!AA11/PL!AA6)*365</f>
        <v>60.660372156179058</v>
      </c>
      <c r="V35" s="166">
        <f>(BS!AB11/PL!AB6)*365</f>
        <v>49.86518957499576</v>
      </c>
      <c r="W35" s="166">
        <f>(BS!AC11/PL!AC6)*365</f>
        <v>48.916644565690866</v>
      </c>
    </row>
    <row r="36" spans="1:23" x14ac:dyDescent="0.2">
      <c r="A36" s="341"/>
      <c r="B36" s="163"/>
      <c r="C36" s="164" t="s">
        <v>418</v>
      </c>
      <c r="D36" s="204" t="s">
        <v>429</v>
      </c>
      <c r="E36" s="170" t="s">
        <v>455</v>
      </c>
      <c r="F36" s="170" t="s">
        <v>1</v>
      </c>
      <c r="G36" s="170" t="s">
        <v>1</v>
      </c>
      <c r="H36" s="170" t="s">
        <v>1</v>
      </c>
      <c r="I36" s="170" t="s">
        <v>1</v>
      </c>
      <c r="J36" s="170" t="s">
        <v>1</v>
      </c>
      <c r="K36" s="170" t="s">
        <v>455</v>
      </c>
      <c r="L36" s="170" t="s">
        <v>455</v>
      </c>
      <c r="M36" s="170" t="s">
        <v>1</v>
      </c>
      <c r="N36" s="170" t="s">
        <v>1</v>
      </c>
      <c r="O36" s="170" t="s">
        <v>1</v>
      </c>
      <c r="P36" s="170" t="s">
        <v>1</v>
      </c>
      <c r="Q36" s="170" t="s">
        <v>1</v>
      </c>
      <c r="R36" s="170" t="s">
        <v>1</v>
      </c>
      <c r="S36" s="170" t="s">
        <v>1</v>
      </c>
      <c r="T36" s="170" t="s">
        <v>1</v>
      </c>
      <c r="U36" s="170" t="s">
        <v>1</v>
      </c>
      <c r="V36" s="170" t="s">
        <v>1</v>
      </c>
      <c r="W36" s="170" t="s">
        <v>1</v>
      </c>
    </row>
    <row r="37" spans="1:23" x14ac:dyDescent="0.2">
      <c r="A37" s="341"/>
      <c r="B37" s="163"/>
      <c r="C37" s="164" t="s">
        <v>419</v>
      </c>
      <c r="D37" s="204" t="s">
        <v>429</v>
      </c>
      <c r="E37" s="170" t="s">
        <v>455</v>
      </c>
      <c r="F37" s="170" t="s">
        <v>1</v>
      </c>
      <c r="G37" s="170" t="s">
        <v>1</v>
      </c>
      <c r="H37" s="170" t="s">
        <v>1</v>
      </c>
      <c r="I37" s="170" t="s">
        <v>1</v>
      </c>
      <c r="J37" s="170" t="s">
        <v>1</v>
      </c>
      <c r="K37" s="170" t="s">
        <v>455</v>
      </c>
      <c r="L37" s="170" t="s">
        <v>455</v>
      </c>
      <c r="M37" s="170" t="s">
        <v>1</v>
      </c>
      <c r="N37" s="170" t="s">
        <v>1</v>
      </c>
      <c r="O37" s="170" t="s">
        <v>1</v>
      </c>
      <c r="P37" s="170" t="s">
        <v>1</v>
      </c>
      <c r="Q37" s="170" t="s">
        <v>1</v>
      </c>
      <c r="R37" s="170" t="s">
        <v>1</v>
      </c>
      <c r="S37" s="170" t="s">
        <v>1</v>
      </c>
      <c r="T37" s="170" t="s">
        <v>1</v>
      </c>
      <c r="U37" s="170" t="s">
        <v>1</v>
      </c>
      <c r="V37" s="170" t="s">
        <v>1</v>
      </c>
      <c r="W37" s="170" t="s">
        <v>1</v>
      </c>
    </row>
    <row r="38" spans="1:23" x14ac:dyDescent="0.2">
      <c r="A38" s="341"/>
      <c r="B38" s="163"/>
      <c r="C38" s="164" t="s">
        <v>420</v>
      </c>
      <c r="D38" s="204" t="s">
        <v>429</v>
      </c>
      <c r="E38" s="170" t="s">
        <v>455</v>
      </c>
      <c r="F38" s="170" t="s">
        <v>1</v>
      </c>
      <c r="G38" s="170" t="s">
        <v>1</v>
      </c>
      <c r="H38" s="170" t="s">
        <v>1</v>
      </c>
      <c r="I38" s="170" t="s">
        <v>1</v>
      </c>
      <c r="J38" s="170" t="s">
        <v>1</v>
      </c>
      <c r="K38" s="170" t="s">
        <v>455</v>
      </c>
      <c r="L38" s="170" t="s">
        <v>455</v>
      </c>
      <c r="M38" s="170" t="s">
        <v>1</v>
      </c>
      <c r="N38" s="170" t="s">
        <v>1</v>
      </c>
      <c r="O38" s="170" t="s">
        <v>1</v>
      </c>
      <c r="P38" s="170" t="s">
        <v>1</v>
      </c>
      <c r="Q38" s="170" t="s">
        <v>1</v>
      </c>
      <c r="R38" s="170" t="s">
        <v>1</v>
      </c>
      <c r="S38" s="170" t="s">
        <v>1</v>
      </c>
      <c r="T38" s="170" t="s">
        <v>1</v>
      </c>
      <c r="U38" s="170" t="s">
        <v>1</v>
      </c>
      <c r="V38" s="170" t="s">
        <v>1</v>
      </c>
      <c r="W38" s="170" t="s">
        <v>1</v>
      </c>
    </row>
    <row r="39" spans="1:23" x14ac:dyDescent="0.2">
      <c r="A39" s="341"/>
      <c r="B39" s="163"/>
      <c r="C39" s="164" t="s">
        <v>421</v>
      </c>
      <c r="D39" s="204" t="s">
        <v>429</v>
      </c>
      <c r="E39" s="170" t="s">
        <v>455</v>
      </c>
      <c r="F39" s="170" t="s">
        <v>1</v>
      </c>
      <c r="G39" s="170" t="s">
        <v>1</v>
      </c>
      <c r="H39" s="170" t="s">
        <v>1</v>
      </c>
      <c r="I39" s="170" t="s">
        <v>1</v>
      </c>
      <c r="J39" s="170" t="s">
        <v>1</v>
      </c>
      <c r="K39" s="170" t="s">
        <v>455</v>
      </c>
      <c r="L39" s="170" t="s">
        <v>455</v>
      </c>
      <c r="M39" s="170" t="s">
        <v>1</v>
      </c>
      <c r="N39" s="170" t="s">
        <v>1</v>
      </c>
      <c r="O39" s="170" t="s">
        <v>1</v>
      </c>
      <c r="P39" s="170" t="s">
        <v>1</v>
      </c>
      <c r="Q39" s="170" t="s">
        <v>1</v>
      </c>
      <c r="R39" s="170" t="s">
        <v>1</v>
      </c>
      <c r="S39" s="170" t="s">
        <v>1</v>
      </c>
      <c r="T39" s="170" t="s">
        <v>1</v>
      </c>
      <c r="U39" s="170" t="s">
        <v>1</v>
      </c>
      <c r="V39" s="170" t="s">
        <v>1</v>
      </c>
      <c r="W39" s="170" t="s">
        <v>1</v>
      </c>
    </row>
    <row r="40" spans="1:23" x14ac:dyDescent="0.2">
      <c r="A40" s="341"/>
      <c r="B40" s="163"/>
      <c r="C40" s="164" t="s">
        <v>422</v>
      </c>
      <c r="D40" s="204" t="s">
        <v>429</v>
      </c>
      <c r="E40" s="166">
        <f>BS!K13/PL!K6*365</f>
        <v>24.445743535240382</v>
      </c>
      <c r="F40" s="166">
        <f>BS!L13/PL!L6*365</f>
        <v>37.057893838630022</v>
      </c>
      <c r="G40" s="166">
        <f>BS!M13/PL!M6*365</f>
        <v>24.868518270458601</v>
      </c>
      <c r="H40" s="166">
        <f>BS!N13/PL!N6*365</f>
        <v>24.116227212480361</v>
      </c>
      <c r="I40" s="166">
        <f>BS!O13/PL!O6*365</f>
        <v>34.884887686170444</v>
      </c>
      <c r="J40" s="166">
        <f>BS!P13/PL!P6*365</f>
        <v>18.79182114352308</v>
      </c>
      <c r="K40" s="166">
        <f>BS!Q13/PL!Q6*365</f>
        <v>20.036238050066704</v>
      </c>
      <c r="L40" s="166">
        <f>BS!R13/PL!R6*365</f>
        <v>23.149018954983578</v>
      </c>
      <c r="M40" s="166">
        <f>BS!S13/PL!S6*365</f>
        <v>23.57281349948499</v>
      </c>
      <c r="N40" s="166">
        <f>BS!T13/PL!T6*365</f>
        <v>24.655502336805046</v>
      </c>
      <c r="O40" s="166">
        <f>BS!U13/PL!U6*365</f>
        <v>20.848741674970526</v>
      </c>
      <c r="P40" s="166">
        <f>BS!V13/PL!V6*365</f>
        <v>30.341311473406677</v>
      </c>
      <c r="Q40" s="166">
        <f>BS!W13/PL!W6*365</f>
        <v>22.019919429607839</v>
      </c>
      <c r="R40" s="166">
        <f>BS!X13/PL!X6*365</f>
        <v>16.633759272868922</v>
      </c>
      <c r="S40" s="166">
        <f>BS!Y13/PL!Y6*365</f>
        <v>17.614791576123991</v>
      </c>
      <c r="T40" s="166">
        <f>BS!Z13/PL!Z6*365</f>
        <v>30.815549261810752</v>
      </c>
      <c r="U40" s="166">
        <f>BS!AA13/PL!AA6*365</f>
        <v>35.199284538733004</v>
      </c>
      <c r="V40" s="166">
        <f>BS!AB13/PL!AB6*365</f>
        <v>30.002085689293821</v>
      </c>
      <c r="W40" s="166">
        <f>BS!AC13/PL!AC6*365</f>
        <v>34.482065536200054</v>
      </c>
    </row>
    <row r="41" spans="1:23" x14ac:dyDescent="0.2">
      <c r="A41" s="341"/>
      <c r="B41" s="163"/>
      <c r="C41" s="164" t="s">
        <v>423</v>
      </c>
      <c r="D41" s="204" t="s">
        <v>429</v>
      </c>
      <c r="E41" s="170" t="s">
        <v>455</v>
      </c>
      <c r="F41" s="170" t="s">
        <v>1</v>
      </c>
      <c r="G41" s="170" t="s">
        <v>1</v>
      </c>
      <c r="H41" s="170" t="s">
        <v>1</v>
      </c>
      <c r="I41" s="170" t="s">
        <v>1</v>
      </c>
      <c r="J41" s="170" t="s">
        <v>1</v>
      </c>
      <c r="K41" s="170" t="s">
        <v>455</v>
      </c>
      <c r="L41" s="170" t="s">
        <v>455</v>
      </c>
      <c r="M41" s="170" t="s">
        <v>1</v>
      </c>
      <c r="N41" s="170" t="s">
        <v>1</v>
      </c>
      <c r="O41" s="170" t="s">
        <v>1</v>
      </c>
      <c r="P41" s="170" t="s">
        <v>1</v>
      </c>
      <c r="Q41" s="170" t="s">
        <v>1</v>
      </c>
      <c r="R41" s="170" t="s">
        <v>1</v>
      </c>
      <c r="S41" s="170" t="s">
        <v>1</v>
      </c>
      <c r="T41" s="170" t="s">
        <v>1</v>
      </c>
      <c r="U41" s="170" t="s">
        <v>1</v>
      </c>
      <c r="V41" s="170" t="s">
        <v>1</v>
      </c>
      <c r="W41" s="170" t="s">
        <v>1</v>
      </c>
    </row>
    <row r="42" spans="1:23" x14ac:dyDescent="0.2">
      <c r="A42" s="341"/>
      <c r="B42" s="163"/>
      <c r="C42" s="164" t="s">
        <v>424</v>
      </c>
      <c r="D42" s="204" t="s">
        <v>429</v>
      </c>
      <c r="E42" s="170" t="s">
        <v>455</v>
      </c>
      <c r="F42" s="170" t="s">
        <v>1</v>
      </c>
      <c r="G42" s="170" t="s">
        <v>1</v>
      </c>
      <c r="H42" s="170" t="s">
        <v>1</v>
      </c>
      <c r="I42" s="170" t="s">
        <v>1</v>
      </c>
      <c r="J42" s="170" t="s">
        <v>1</v>
      </c>
      <c r="K42" s="170" t="s">
        <v>455</v>
      </c>
      <c r="L42" s="170" t="s">
        <v>455</v>
      </c>
      <c r="M42" s="170" t="s">
        <v>1</v>
      </c>
      <c r="N42" s="170" t="s">
        <v>1</v>
      </c>
      <c r="O42" s="170" t="s">
        <v>1</v>
      </c>
      <c r="P42" s="170" t="s">
        <v>1</v>
      </c>
      <c r="Q42" s="170" t="s">
        <v>1</v>
      </c>
      <c r="R42" s="170" t="s">
        <v>1</v>
      </c>
      <c r="S42" s="170" t="s">
        <v>1</v>
      </c>
      <c r="T42" s="170" t="s">
        <v>1</v>
      </c>
      <c r="U42" s="170" t="s">
        <v>1</v>
      </c>
      <c r="V42" s="170" t="s">
        <v>1</v>
      </c>
      <c r="W42" s="170" t="s">
        <v>1</v>
      </c>
    </row>
    <row r="43" spans="1:23" x14ac:dyDescent="0.2">
      <c r="A43" s="341"/>
      <c r="B43" s="163"/>
      <c r="C43" s="164" t="s">
        <v>425</v>
      </c>
      <c r="D43" s="204" t="s">
        <v>429</v>
      </c>
      <c r="E43" s="170" t="s">
        <v>455</v>
      </c>
      <c r="F43" s="170" t="s">
        <v>1</v>
      </c>
      <c r="G43" s="170" t="s">
        <v>1</v>
      </c>
      <c r="H43" s="170" t="s">
        <v>1</v>
      </c>
      <c r="I43" s="170" t="s">
        <v>1</v>
      </c>
      <c r="J43" s="170" t="s">
        <v>1</v>
      </c>
      <c r="K43" s="170" t="s">
        <v>455</v>
      </c>
      <c r="L43" s="170" t="s">
        <v>455</v>
      </c>
      <c r="M43" s="170" t="s">
        <v>1</v>
      </c>
      <c r="N43" s="170" t="s">
        <v>1</v>
      </c>
      <c r="O43" s="170" t="s">
        <v>1</v>
      </c>
      <c r="P43" s="170" t="s">
        <v>1</v>
      </c>
      <c r="Q43" s="170" t="s">
        <v>1</v>
      </c>
      <c r="R43" s="170" t="s">
        <v>1</v>
      </c>
      <c r="S43" s="170" t="s">
        <v>1</v>
      </c>
      <c r="T43" s="170" t="s">
        <v>1</v>
      </c>
      <c r="U43" s="170" t="s">
        <v>1</v>
      </c>
      <c r="V43" s="170" t="s">
        <v>1</v>
      </c>
      <c r="W43" s="170" t="s">
        <v>1</v>
      </c>
    </row>
    <row r="44" spans="1:23" x14ac:dyDescent="0.2">
      <c r="A44" s="341"/>
      <c r="B44" s="163"/>
      <c r="C44" s="164" t="s">
        <v>426</v>
      </c>
      <c r="D44" s="204" t="s">
        <v>429</v>
      </c>
      <c r="E44" s="166">
        <f>BS!K32/PL!K6*365</f>
        <v>55.64593773943858</v>
      </c>
      <c r="F44" s="166">
        <f>BS!L32/PL!L6*365</f>
        <v>47.003042553078018</v>
      </c>
      <c r="G44" s="166">
        <f>BS!M32/PL!M6*365</f>
        <v>43.762520163813768</v>
      </c>
      <c r="H44" s="166">
        <f>BS!N32/PL!N6*365</f>
        <v>63.829835357116707</v>
      </c>
      <c r="I44" s="166">
        <f>BS!O32/PL!O6*365</f>
        <v>49.430550285569034</v>
      </c>
      <c r="J44" s="166">
        <f>BS!P32/PL!P6*365</f>
        <v>42.413783247226171</v>
      </c>
      <c r="K44" s="166">
        <f>BS!Q32/PL!Q6*365</f>
        <v>51.884262147544227</v>
      </c>
      <c r="L44" s="166">
        <f>BS!R32/PL!R6*365</f>
        <v>36.51644355642398</v>
      </c>
      <c r="M44" s="166">
        <f>BS!S32/PL!S6*365</f>
        <v>50.267981781252232</v>
      </c>
      <c r="N44" s="166">
        <f>BS!T32/PL!T6*365</f>
        <v>36.207218529959427</v>
      </c>
      <c r="O44" s="166">
        <f>BS!U32/PL!U6*365</f>
        <v>33.3519498568008</v>
      </c>
      <c r="P44" s="166">
        <f>BS!V32/PL!V6*365</f>
        <v>42.704644387741588</v>
      </c>
      <c r="Q44" s="166">
        <f>BS!W32/PL!W6*365</f>
        <v>43.006900651059205</v>
      </c>
      <c r="R44" s="166">
        <f>BS!X32/PL!X6*365</f>
        <v>37.447470724388289</v>
      </c>
      <c r="S44" s="166">
        <f>BS!Y32/PL!Y6*365</f>
        <v>42.468790056450743</v>
      </c>
      <c r="T44" s="166">
        <f>BS!Z32/PL!Z6*365</f>
        <v>42.63057399514738</v>
      </c>
      <c r="U44" s="166">
        <f>BS!AA32/PL!AA6*365</f>
        <v>53.747084592535863</v>
      </c>
      <c r="V44" s="166">
        <f>BS!AB32/PL!AB6*365</f>
        <v>43.652155510562828</v>
      </c>
      <c r="W44" s="166">
        <f>BS!AC32/PL!AC6*365</f>
        <v>43.390981103236733</v>
      </c>
    </row>
    <row r="45" spans="1:23" x14ac:dyDescent="0.2">
      <c r="A45" s="341"/>
      <c r="B45" s="163"/>
      <c r="C45" s="164" t="s">
        <v>427</v>
      </c>
      <c r="D45" s="204" t="s">
        <v>429</v>
      </c>
      <c r="E45" s="170" t="s">
        <v>455</v>
      </c>
      <c r="F45" s="170" t="s">
        <v>1</v>
      </c>
      <c r="G45" s="170" t="s">
        <v>1</v>
      </c>
      <c r="H45" s="170" t="s">
        <v>1</v>
      </c>
      <c r="I45" s="170" t="s">
        <v>1</v>
      </c>
      <c r="J45" s="170" t="s">
        <v>1</v>
      </c>
      <c r="K45" s="170" t="s">
        <v>455</v>
      </c>
      <c r="L45" s="170" t="s">
        <v>455</v>
      </c>
      <c r="M45" s="170" t="s">
        <v>1</v>
      </c>
      <c r="N45" s="170" t="s">
        <v>1</v>
      </c>
      <c r="O45" s="170" t="s">
        <v>1</v>
      </c>
      <c r="P45" s="170" t="s">
        <v>1</v>
      </c>
      <c r="Q45" s="170" t="s">
        <v>1</v>
      </c>
      <c r="R45" s="170" t="s">
        <v>1</v>
      </c>
      <c r="S45" s="170" t="s">
        <v>1</v>
      </c>
      <c r="T45" s="170" t="s">
        <v>1</v>
      </c>
      <c r="U45" s="170" t="s">
        <v>1</v>
      </c>
      <c r="V45" s="170" t="s">
        <v>1</v>
      </c>
      <c r="W45" s="170" t="s">
        <v>1</v>
      </c>
    </row>
    <row r="46" spans="1:23" x14ac:dyDescent="0.2">
      <c r="A46" s="341"/>
      <c r="B46" s="167"/>
      <c r="C46" s="168" t="s">
        <v>428</v>
      </c>
      <c r="D46" s="205" t="s">
        <v>429</v>
      </c>
      <c r="E46" s="171" t="s">
        <v>455</v>
      </c>
      <c r="F46" s="171" t="s">
        <v>1</v>
      </c>
      <c r="G46" s="171" t="s">
        <v>1</v>
      </c>
      <c r="H46" s="171" t="s">
        <v>1</v>
      </c>
      <c r="I46" s="171" t="s">
        <v>1</v>
      </c>
      <c r="J46" s="171" t="s">
        <v>1</v>
      </c>
      <c r="K46" s="171" t="s">
        <v>455</v>
      </c>
      <c r="L46" s="171" t="s">
        <v>455</v>
      </c>
      <c r="M46" s="171" t="s">
        <v>1</v>
      </c>
      <c r="N46" s="171" t="s">
        <v>1</v>
      </c>
      <c r="O46" s="171" t="s">
        <v>1</v>
      </c>
      <c r="P46" s="171" t="s">
        <v>1</v>
      </c>
      <c r="Q46" s="171" t="s">
        <v>1</v>
      </c>
      <c r="R46" s="171" t="s">
        <v>1</v>
      </c>
      <c r="S46" s="171" t="s">
        <v>1</v>
      </c>
      <c r="T46" s="171" t="s">
        <v>1</v>
      </c>
      <c r="U46" s="171" t="s">
        <v>1</v>
      </c>
      <c r="V46" s="171" t="s">
        <v>1</v>
      </c>
      <c r="W46" s="171" t="s">
        <v>1</v>
      </c>
    </row>
    <row r="47" spans="1:23" x14ac:dyDescent="0.2">
      <c r="A47" s="341"/>
      <c r="B47" s="161" t="s">
        <v>430</v>
      </c>
      <c r="C47" s="162"/>
      <c r="D47" s="203"/>
      <c r="E47" s="155"/>
      <c r="F47" s="155"/>
      <c r="G47" s="155"/>
      <c r="H47" s="155"/>
      <c r="I47" s="155"/>
      <c r="J47" s="155"/>
      <c r="K47" s="155"/>
      <c r="L47" s="155"/>
      <c r="M47" s="155"/>
      <c r="N47" s="155"/>
      <c r="O47" s="155"/>
      <c r="P47" s="155"/>
      <c r="Q47" s="155"/>
      <c r="R47" s="155"/>
      <c r="S47" s="155"/>
      <c r="T47" s="155"/>
      <c r="U47" s="155"/>
      <c r="V47" s="155"/>
      <c r="W47" s="155"/>
    </row>
    <row r="48" spans="1:23" x14ac:dyDescent="0.2">
      <c r="A48" s="341"/>
      <c r="B48" s="167"/>
      <c r="C48" s="168" t="s">
        <v>431</v>
      </c>
      <c r="D48" s="205" t="s">
        <v>441</v>
      </c>
      <c r="E48" s="169">
        <f t="shared" ref="E48:M48" si="40">E6/E9</f>
        <v>3.4286545639229691</v>
      </c>
      <c r="F48" s="169">
        <f>F6/F9</f>
        <v>3.9421898147064427</v>
      </c>
      <c r="G48" s="169">
        <f t="shared" si="40"/>
        <v>2.9532478674618123</v>
      </c>
      <c r="H48" s="169">
        <f t="shared" si="40"/>
        <v>2.9032017161826582</v>
      </c>
      <c r="I48" s="169">
        <f t="shared" si="40"/>
        <v>3.2702807864886765</v>
      </c>
      <c r="J48" s="169">
        <f t="shared" si="40"/>
        <v>3.015605974661888</v>
      </c>
      <c r="K48" s="169">
        <f t="shared" si="40"/>
        <v>2.651018086728659</v>
      </c>
      <c r="L48" s="169">
        <f t="shared" si="40"/>
        <v>2.7549956403525089</v>
      </c>
      <c r="M48" s="169">
        <f t="shared" si="40"/>
        <v>2.7505615800056944</v>
      </c>
      <c r="N48" s="169">
        <f t="shared" ref="N48:W48" si="41">N6/N9</f>
        <v>2.9117754507229869</v>
      </c>
      <c r="O48" s="169">
        <f t="shared" si="41"/>
        <v>2.698455713094333</v>
      </c>
      <c r="P48" s="169">
        <f t="shared" si="41"/>
        <v>2.639742150957475</v>
      </c>
      <c r="Q48" s="169">
        <f t="shared" si="41"/>
        <v>2.7058355096826614</v>
      </c>
      <c r="R48" s="169">
        <f t="shared" si="41"/>
        <v>2.3944555371042529</v>
      </c>
      <c r="S48" s="169">
        <f t="shared" ref="S48:T48" si="42">S6/S9</f>
        <v>2.4022472135659609</v>
      </c>
      <c r="T48" s="169">
        <f t="shared" si="42"/>
        <v>2.2867410949180358</v>
      </c>
      <c r="U48" s="169">
        <f t="shared" ref="U48:V48" si="43">U6/U9</f>
        <v>2.1106205200196939</v>
      </c>
      <c r="V48" s="169">
        <f t="shared" si="43"/>
        <v>2.3437154580305535</v>
      </c>
      <c r="W48" s="169">
        <f t="shared" si="41"/>
        <v>2.4015110619697309</v>
      </c>
    </row>
    <row r="49" spans="1:23" x14ac:dyDescent="0.2">
      <c r="A49" s="341"/>
      <c r="B49" s="161" t="s">
        <v>432</v>
      </c>
      <c r="C49" s="162"/>
      <c r="D49" s="203"/>
      <c r="E49" s="155"/>
      <c r="F49" s="155"/>
      <c r="G49" s="155"/>
      <c r="H49" s="155"/>
      <c r="I49" s="155"/>
      <c r="J49" s="155"/>
      <c r="K49" s="155"/>
      <c r="L49" s="155"/>
      <c r="M49" s="155"/>
      <c r="N49" s="155"/>
      <c r="O49" s="155"/>
      <c r="P49" s="155"/>
      <c r="Q49" s="155"/>
      <c r="R49" s="155"/>
      <c r="S49" s="155"/>
      <c r="T49" s="155"/>
      <c r="U49" s="155"/>
      <c r="V49" s="155"/>
      <c r="W49" s="155"/>
    </row>
    <row r="50" spans="1:23" x14ac:dyDescent="0.2">
      <c r="A50" s="341"/>
      <c r="B50" s="163"/>
      <c r="C50" s="164" t="s">
        <v>433</v>
      </c>
      <c r="D50" s="204" t="s">
        <v>404</v>
      </c>
      <c r="E50" s="166">
        <f t="shared" ref="E50:M50" si="44">(E4/E7)*100</f>
        <v>122.04704612394583</v>
      </c>
      <c r="F50" s="166">
        <f>(F4/F7)*100</f>
        <v>104.96129243278301</v>
      </c>
      <c r="G50" s="166">
        <f t="shared" si="44"/>
        <v>142.9042256143363</v>
      </c>
      <c r="H50" s="166">
        <f t="shared" si="44"/>
        <v>136.8621424254531</v>
      </c>
      <c r="I50" s="166">
        <f t="shared" si="44"/>
        <v>136.84405081784138</v>
      </c>
      <c r="J50" s="166">
        <f t="shared" si="44"/>
        <v>130.11965785969562</v>
      </c>
      <c r="K50" s="166">
        <f t="shared" si="44"/>
        <v>145.20868021707426</v>
      </c>
      <c r="L50" s="166">
        <f t="shared" si="44"/>
        <v>153.00258697033993</v>
      </c>
      <c r="M50" s="166">
        <f t="shared" si="44"/>
        <v>160.66244883620965</v>
      </c>
      <c r="N50" s="166">
        <f t="shared" ref="N50:W50" si="45">(N4/N7)*100</f>
        <v>149.86711848919089</v>
      </c>
      <c r="O50" s="166">
        <f t="shared" si="45"/>
        <v>178.21035997174056</v>
      </c>
      <c r="P50" s="166">
        <f t="shared" si="45"/>
        <v>149.17883530457735</v>
      </c>
      <c r="Q50" s="166">
        <f t="shared" si="45"/>
        <v>145.97746524948872</v>
      </c>
      <c r="R50" s="166">
        <f t="shared" si="45"/>
        <v>155.89493055787634</v>
      </c>
      <c r="S50" s="166">
        <f t="shared" ref="S50:T50" si="46">(S4/S7)*100</f>
        <v>158.01561479023965</v>
      </c>
      <c r="T50" s="166">
        <f t="shared" si="46"/>
        <v>166.27606884065281</v>
      </c>
      <c r="U50" s="166">
        <f t="shared" ref="U50:V50" si="47">(U4/U7)*100</f>
        <v>158.97452143402703</v>
      </c>
      <c r="V50" s="166">
        <f t="shared" si="47"/>
        <v>164.94381117916424</v>
      </c>
      <c r="W50" s="166">
        <f t="shared" si="45"/>
        <v>175.54998210543951</v>
      </c>
    </row>
    <row r="51" spans="1:23" x14ac:dyDescent="0.2">
      <c r="A51" s="341"/>
      <c r="B51" s="167"/>
      <c r="C51" s="168" t="s">
        <v>434</v>
      </c>
      <c r="D51" s="205" t="s">
        <v>404</v>
      </c>
      <c r="E51" s="169">
        <f>((BS!K10+BS!K11+BS!K12)/BS!K31)*100</f>
        <v>89.754647555402499</v>
      </c>
      <c r="F51" s="169">
        <f>((BS!L10+BS!L11+BS!L12)/BS!L31)*100</f>
        <v>67.357779114576331</v>
      </c>
      <c r="G51" s="169">
        <f>((BS!M10+BS!M11+BS!M12)/BS!M31)*100</f>
        <v>102.84574100698612</v>
      </c>
      <c r="H51" s="169">
        <f>((BS!N10+BS!N11+BS!N12)/BS!N31)*100</f>
        <v>107.13325915607889</v>
      </c>
      <c r="I51" s="169">
        <f>((BS!O10+BS!O11+BS!O12)/BS!O31)*100</f>
        <v>96.239347902208522</v>
      </c>
      <c r="J51" s="169">
        <f>((BS!P10+BS!P11+BS!P12)/BS!P31)*100</f>
        <v>96.623796133317256</v>
      </c>
      <c r="K51" s="169">
        <f>((BS!Q10+BS!Q11+BS!Q12)/BS!Q31)*100</f>
        <v>110.99276642153984</v>
      </c>
      <c r="L51" s="169">
        <f>((BS!R10+BS!R11+BS!R12)/BS!R31)*100</f>
        <v>102.85144389073196</v>
      </c>
      <c r="M51" s="169">
        <f>((BS!S10+BS!S11+BS!S12)/BS!S31)*100</f>
        <v>123.16382446596926</v>
      </c>
      <c r="N51" s="169">
        <f>((BS!T10+BS!T11+BS!T12)/BS!T31)*100</f>
        <v>111.57111587850019</v>
      </c>
      <c r="O51" s="169">
        <f>((BS!U10+BS!U11+BS!U12)/BS!U31)*100</f>
        <v>127.47180475681883</v>
      </c>
      <c r="P51" s="169">
        <f>((BS!V10+BS!V11+BS!V12)/BS!V31)*100</f>
        <v>105.49074379617171</v>
      </c>
      <c r="Q51" s="169">
        <f>((BS!W10+BS!W11+BS!W12)/BS!W31)*100</f>
        <v>96.314205308050475</v>
      </c>
      <c r="R51" s="169">
        <f>((BS!X10+BS!X11+BS!X12)/BS!X31)*100</f>
        <v>119.65472433064267</v>
      </c>
      <c r="S51" s="169">
        <f>((BS!Y10+BS!Y11+BS!Y12)/BS!Y31)*100</f>
        <v>120.77537544878336</v>
      </c>
      <c r="T51" s="169">
        <f>((BS!Z10+BS!Z11+BS!Z12)/BS!Z31)*100</f>
        <v>113.41839516953833</v>
      </c>
      <c r="U51" s="169">
        <f>((BS!AA10+BS!AA11+BS!AA12)/BS!AA31)*100</f>
        <v>104.59169881412002</v>
      </c>
      <c r="V51" s="169">
        <f>((BS!AB10+BS!AB11+BS!AB12)/BS!AB31)*100</f>
        <v>113.47512530435868</v>
      </c>
      <c r="W51" s="169">
        <f>((BS!AC10+BS!AC11+BS!AC12)/BS!AC31)*100</f>
        <v>121.72133500673516</v>
      </c>
    </row>
    <row r="52" spans="1:23" x14ac:dyDescent="0.2">
      <c r="A52" s="341"/>
      <c r="B52" s="161" t="s">
        <v>435</v>
      </c>
      <c r="C52" s="162"/>
      <c r="D52" s="203"/>
      <c r="E52" s="155"/>
      <c r="F52" s="155"/>
      <c r="G52" s="155"/>
      <c r="H52" s="155"/>
      <c r="I52" s="155"/>
      <c r="J52" s="155"/>
      <c r="K52" s="155"/>
      <c r="L52" s="155"/>
      <c r="M52" s="155"/>
      <c r="N52" s="155"/>
      <c r="O52" s="155"/>
      <c r="P52" s="155"/>
      <c r="Q52" s="155"/>
      <c r="R52" s="155"/>
      <c r="S52" s="155"/>
      <c r="T52" s="155"/>
      <c r="U52" s="155"/>
      <c r="V52" s="155"/>
      <c r="W52" s="155"/>
    </row>
    <row r="53" spans="1:23" x14ac:dyDescent="0.2">
      <c r="A53" s="341"/>
      <c r="B53" s="163"/>
      <c r="C53" s="164" t="s">
        <v>436</v>
      </c>
      <c r="D53" s="204" t="s">
        <v>404</v>
      </c>
      <c r="E53" s="166">
        <f t="shared" ref="E53:M53" si="48">(E9/E6)*100</f>
        <v>29.165959455998053</v>
      </c>
      <c r="F53" s="166">
        <f>(F9/F6)*100</f>
        <v>25.366612136977114</v>
      </c>
      <c r="G53" s="166">
        <f t="shared" si="48"/>
        <v>33.861025043571992</v>
      </c>
      <c r="H53" s="166">
        <f t="shared" si="48"/>
        <v>34.44473025852551</v>
      </c>
      <c r="I53" s="166">
        <f t="shared" si="48"/>
        <v>30.578414065591815</v>
      </c>
      <c r="J53" s="166">
        <f t="shared" si="48"/>
        <v>33.160830970701362</v>
      </c>
      <c r="K53" s="166">
        <f t="shared" si="48"/>
        <v>37.721357127140323</v>
      </c>
      <c r="L53" s="166">
        <f t="shared" si="48"/>
        <v>36.297698092620109</v>
      </c>
      <c r="M53" s="166">
        <f t="shared" si="48"/>
        <v>36.356212028451651</v>
      </c>
      <c r="N53" s="166">
        <f t="shared" ref="N53:W53" si="49">(N9/N6)*100</f>
        <v>34.343307611570886</v>
      </c>
      <c r="O53" s="166">
        <f t="shared" si="49"/>
        <v>37.058232793944754</v>
      </c>
      <c r="P53" s="166">
        <f t="shared" si="49"/>
        <v>37.882487864857737</v>
      </c>
      <c r="Q53" s="166">
        <f t="shared" si="49"/>
        <v>36.957161528169884</v>
      </c>
      <c r="R53" s="166">
        <f t="shared" si="49"/>
        <v>41.763147592598656</v>
      </c>
      <c r="S53" s="166">
        <f t="shared" ref="S53:T53" si="50">(S9/S6)*100</f>
        <v>41.62768903853042</v>
      </c>
      <c r="T53" s="166">
        <f t="shared" si="50"/>
        <v>43.730355055163919</v>
      </c>
      <c r="U53" s="166">
        <f t="shared" ref="U53:V53" si="51">(U9/U6)*100</f>
        <v>47.37943133380837</v>
      </c>
      <c r="V53" s="166">
        <f t="shared" si="51"/>
        <v>42.667295493298049</v>
      </c>
      <c r="W53" s="166">
        <f t="shared" si="49"/>
        <v>41.640449458508641</v>
      </c>
    </row>
    <row r="54" spans="1:23" x14ac:dyDescent="0.2">
      <c r="A54" s="341"/>
      <c r="B54" s="167"/>
      <c r="C54" s="168" t="s">
        <v>437</v>
      </c>
      <c r="D54" s="205" t="s">
        <v>404</v>
      </c>
      <c r="E54" s="169">
        <f t="shared" ref="E54:M54" si="52">(E7+E8)/E9*100</f>
        <v>242.86550047922537</v>
      </c>
      <c r="F54" s="169">
        <f>(F7+F8)/F9*100</f>
        <v>294.21898147064434</v>
      </c>
      <c r="G54" s="169">
        <f t="shared" si="52"/>
        <v>195.32478674618159</v>
      </c>
      <c r="H54" s="169">
        <f t="shared" si="52"/>
        <v>190.32017161826582</v>
      </c>
      <c r="I54" s="169">
        <f t="shared" si="52"/>
        <v>227.02807864886756</v>
      </c>
      <c r="J54" s="169">
        <f t="shared" si="52"/>
        <v>201.5605974661888</v>
      </c>
      <c r="K54" s="169">
        <f t="shared" si="52"/>
        <v>165.1018086728663</v>
      </c>
      <c r="L54" s="169">
        <f t="shared" si="52"/>
        <v>175.49956403525076</v>
      </c>
      <c r="M54" s="169">
        <f t="shared" si="52"/>
        <v>175.0561580005693</v>
      </c>
      <c r="N54" s="169">
        <f t="shared" ref="N54:W54" si="53">(N7+N8)/N9*100</f>
        <v>191.1775450722985</v>
      </c>
      <c r="O54" s="169">
        <f t="shared" si="53"/>
        <v>169.84557130943307</v>
      </c>
      <c r="P54" s="169">
        <f t="shared" si="53"/>
        <v>163.97421509574775</v>
      </c>
      <c r="Q54" s="169">
        <f t="shared" si="53"/>
        <v>170.58355096826625</v>
      </c>
      <c r="R54" s="169">
        <f t="shared" si="53"/>
        <v>139.44555371042514</v>
      </c>
      <c r="S54" s="169">
        <f t="shared" ref="S54:T54" si="54">(S7+S8)/S9*100</f>
        <v>140.22472135659652</v>
      </c>
      <c r="T54" s="169">
        <f t="shared" si="54"/>
        <v>128.67410949180379</v>
      </c>
      <c r="U54" s="169">
        <f t="shared" ref="U54:V54" si="55">(U7+U8)/U9*100</f>
        <v>111.06205200196939</v>
      </c>
      <c r="V54" s="169">
        <f t="shared" si="55"/>
        <v>134.37154580305534</v>
      </c>
      <c r="W54" s="169">
        <f t="shared" si="53"/>
        <v>140.1511061969731</v>
      </c>
    </row>
    <row r="55" spans="1:23" x14ac:dyDescent="0.2">
      <c r="A55" s="341"/>
      <c r="B55" s="161" t="s">
        <v>438</v>
      </c>
      <c r="C55" s="162"/>
      <c r="D55" s="203"/>
      <c r="E55" s="155"/>
      <c r="F55" s="155"/>
      <c r="G55" s="155"/>
      <c r="H55" s="155"/>
      <c r="I55" s="155"/>
      <c r="J55" s="155"/>
      <c r="K55" s="155"/>
      <c r="L55" s="155"/>
      <c r="M55" s="155"/>
      <c r="N55" s="155"/>
      <c r="O55" s="155"/>
      <c r="P55" s="155"/>
      <c r="Q55" s="155"/>
      <c r="R55" s="155"/>
      <c r="S55" s="155"/>
      <c r="T55" s="155"/>
      <c r="U55" s="155"/>
      <c r="V55" s="155"/>
      <c r="W55" s="155"/>
    </row>
    <row r="56" spans="1:23" x14ac:dyDescent="0.2">
      <c r="A56" s="341"/>
      <c r="B56" s="163"/>
      <c r="C56" s="164" t="s">
        <v>439</v>
      </c>
      <c r="D56" s="204" t="s">
        <v>404</v>
      </c>
      <c r="E56" s="166">
        <f t="shared" ref="E56:M56" si="56">(E5/(E8+E9))*100</f>
        <v>82.186879887410285</v>
      </c>
      <c r="F56" s="166">
        <f>(F5/(F8+F9))*100</f>
        <v>93.74226920968573</v>
      </c>
      <c r="G56" s="166">
        <f t="shared" si="56"/>
        <v>72.440662424141195</v>
      </c>
      <c r="H56" s="166">
        <f t="shared" si="56"/>
        <v>70.845429694761435</v>
      </c>
      <c r="I56" s="166">
        <f t="shared" si="56"/>
        <v>74.817517014168217</v>
      </c>
      <c r="J56" s="166">
        <f t="shared" si="56"/>
        <v>83.124105508859685</v>
      </c>
      <c r="K56" s="166">
        <f t="shared" si="56"/>
        <v>75.343677897217916</v>
      </c>
      <c r="L56" s="166">
        <f t="shared" si="56"/>
        <v>67.445298856935509</v>
      </c>
      <c r="M56" s="166">
        <f t="shared" si="56"/>
        <v>65.005244797762373</v>
      </c>
      <c r="N56" s="166">
        <f t="shared" ref="N56:W56" si="57">(N5/(N8+N9))*100</f>
        <v>73.667899837216765</v>
      </c>
      <c r="O56" s="166">
        <f t="shared" si="57"/>
        <v>68.464066791953741</v>
      </c>
      <c r="P56" s="166">
        <f t="shared" si="57"/>
        <v>72.044712632276642</v>
      </c>
      <c r="Q56" s="166">
        <f t="shared" si="57"/>
        <v>74.468053379465829</v>
      </c>
      <c r="R56" s="166">
        <f t="shared" si="57"/>
        <v>68.757063259677409</v>
      </c>
      <c r="S56" s="166">
        <f t="shared" ref="S56:T56" si="58">(S5/(S8+S9))*100</f>
        <v>71.372429608317248</v>
      </c>
      <c r="T56" s="166">
        <f t="shared" si="58"/>
        <v>68.952451029431543</v>
      </c>
      <c r="U56" s="166">
        <f t="shared" ref="U56:V56" si="59">(U5/(U8+U9))*100</f>
        <v>74.19132403856986</v>
      </c>
      <c r="V56" s="166">
        <f t="shared" si="59"/>
        <v>70.596780252836027</v>
      </c>
      <c r="W56" s="166">
        <f t="shared" si="57"/>
        <v>65.928731539561213</v>
      </c>
    </row>
    <row r="57" spans="1:23" x14ac:dyDescent="0.2">
      <c r="A57" s="341"/>
      <c r="B57" s="167"/>
      <c r="C57" s="168" t="s">
        <v>440</v>
      </c>
      <c r="D57" s="205" t="s">
        <v>404</v>
      </c>
      <c r="E57" s="169">
        <f t="shared" ref="E57:M57" si="60">(E5/E9)*100</f>
        <v>159.00479930307415</v>
      </c>
      <c r="F57" s="169">
        <f>(F5/F9)*100</f>
        <v>191.76456359649859</v>
      </c>
      <c r="G57" s="169">
        <f t="shared" si="60"/>
        <v>134.075836079428</v>
      </c>
      <c r="H57" s="169">
        <f t="shared" si="60"/>
        <v>115.80229930904964</v>
      </c>
      <c r="I57" s="169">
        <f t="shared" si="60"/>
        <v>145.65829333138299</v>
      </c>
      <c r="J57" s="169">
        <f t="shared" si="60"/>
        <v>161.7491272589653</v>
      </c>
      <c r="K57" s="169">
        <f t="shared" si="60"/>
        <v>130.01347799015613</v>
      </c>
      <c r="L57" s="169">
        <f t="shared" si="60"/>
        <v>116.12684273812302</v>
      </c>
      <c r="M57" s="169">
        <f t="shared" si="60"/>
        <v>114.82928824237537</v>
      </c>
      <c r="N57" s="169">
        <f t="shared" ref="N57:W57" si="61">(N5/N9)*100</f>
        <v>141.19041979393961</v>
      </c>
      <c r="O57" s="169">
        <f t="shared" si="61"/>
        <v>132.03069736406866</v>
      </c>
      <c r="P57" s="169">
        <f t="shared" si="61"/>
        <v>121.58896831342541</v>
      </c>
      <c r="Q57" s="169">
        <f t="shared" si="61"/>
        <v>131.34986603647053</v>
      </c>
      <c r="R57" s="169">
        <f t="shared" si="61"/>
        <v>105.88041557980863</v>
      </c>
      <c r="S57" s="169">
        <f t="shared" ref="S57:T57" si="62">(S5/S9)*100</f>
        <v>115.26781511876962</v>
      </c>
      <c r="T57" s="169">
        <f t="shared" si="62"/>
        <v>107.74181922500792</v>
      </c>
      <c r="U57" s="169">
        <f t="shared" ref="U57:V57" si="63">(U5/U9)*100</f>
        <v>109.1105667575311</v>
      </c>
      <c r="V57" s="169">
        <f t="shared" si="63"/>
        <v>114.26417273414862</v>
      </c>
      <c r="W57" s="169">
        <f t="shared" si="61"/>
        <v>109.35688791055622</v>
      </c>
    </row>
    <row r="58" spans="1:23" x14ac:dyDescent="0.2">
      <c r="A58" s="341"/>
      <c r="B58" s="161" t="s">
        <v>442</v>
      </c>
      <c r="C58" s="162"/>
      <c r="D58" s="203"/>
      <c r="E58" s="155"/>
      <c r="F58" s="155"/>
      <c r="G58" s="155"/>
      <c r="H58" s="155"/>
      <c r="I58" s="155"/>
      <c r="J58" s="155"/>
      <c r="K58" s="155"/>
      <c r="L58" s="155"/>
      <c r="M58" s="155"/>
      <c r="N58" s="155"/>
      <c r="O58" s="155"/>
      <c r="P58" s="155"/>
      <c r="Q58" s="155"/>
      <c r="R58" s="155"/>
      <c r="S58" s="155"/>
      <c r="T58" s="155"/>
      <c r="U58" s="155"/>
      <c r="V58" s="155"/>
      <c r="W58" s="155"/>
    </row>
    <row r="59" spans="1:23" x14ac:dyDescent="0.2">
      <c r="A59" s="341"/>
      <c r="B59" s="163"/>
      <c r="C59" s="164" t="s">
        <v>443</v>
      </c>
      <c r="D59" s="204" t="s">
        <v>441</v>
      </c>
      <c r="E59" s="176" t="s">
        <v>1</v>
      </c>
      <c r="F59" s="166">
        <f>(ＣＦ!D22+PL!L32+(PL!L37-PL!L38))/PL!L32</f>
        <v>19.716149803247959</v>
      </c>
      <c r="G59" s="166">
        <f>(ＣＦ!E22+PL!M32+(PL!M37-PL!M38))/PL!M32</f>
        <v>-3.5351905349742103</v>
      </c>
      <c r="H59" s="166">
        <f>(ＣＦ!F22+PL!N32+(PL!N37-PL!N38))/PL!N32</f>
        <v>16.046840875744131</v>
      </c>
      <c r="I59" s="166">
        <f>(ＣＦ!G22+PL!O32+(PL!O37-PL!O38))/PL!O32</f>
        <v>14.121721747593458</v>
      </c>
      <c r="J59" s="166">
        <f>(ＣＦ!H22+PL!P32+(PL!P37-PL!P38))/PL!P32</f>
        <v>10.984743698231284</v>
      </c>
      <c r="K59" s="166">
        <f>(ＣＦ!I22+PL!Q32+(PL!Q37-PL!Q38))/PL!Q32</f>
        <v>4.8630875099954585</v>
      </c>
      <c r="L59" s="166">
        <f>(ＣＦ!J22+PL!R32+(PL!R37-PL!R38))/PL!R32</f>
        <v>8.688236952248964</v>
      </c>
      <c r="M59" s="166">
        <f>(ＣＦ!K22+PL!S32+(PL!S37-PL!S38))/PL!S32</f>
        <v>6.5128539147820783</v>
      </c>
      <c r="N59" s="166">
        <f>(ＣＦ!L22+PL!T32+(PL!T37-PL!T38))/PL!T32</f>
        <v>17.483035956360048</v>
      </c>
      <c r="O59" s="166">
        <f>(ＣＦ!M22+PL!U32+(PL!U37-PL!U38))/PL!U32</f>
        <v>28.767249596405268</v>
      </c>
      <c r="P59" s="166">
        <f>(ＣＦ!N22+PL!V32+(PL!V37-PL!V38))/PL!V32</f>
        <v>23.936366509759036</v>
      </c>
      <c r="Q59" s="166">
        <f>(ＣＦ!O22+PL!W32+(PL!W37-PL!W38))/PL!W32</f>
        <v>10.121161324540909</v>
      </c>
      <c r="R59" s="166">
        <f>(ＣＦ!P22+PL!X32+(PL!X37-PL!X38))/PL!X32</f>
        <v>35.512218962111291</v>
      </c>
      <c r="S59" s="166">
        <f>(ＣＦ!Q22+PL!Y32+(PL!Y37-PL!Y38))/PL!Y32</f>
        <v>31.519740493906038</v>
      </c>
      <c r="T59" s="166">
        <f>(ＣＦ!R22+PL!Z32+(PL!Z37-PL!Z38))/PL!Z32</f>
        <v>-2.7068317160363478</v>
      </c>
      <c r="U59" s="166">
        <f>(ＣＦ!S22+PL!AA32+(PL!AA37-PL!AA38))/PL!AA32</f>
        <v>16.873450485750244</v>
      </c>
      <c r="V59" s="166">
        <f>(ＣＦ!T22+PL!AB32+(PL!AB37-PL!AB38))/PL!AB32</f>
        <v>18.191913892605029</v>
      </c>
      <c r="W59" s="166">
        <f>(ＣＦ!U22+PL!AC32+(PL!AC37-PL!AC38))/PL!AC32</f>
        <v>18.901955253389843</v>
      </c>
    </row>
    <row r="60" spans="1:23" x14ac:dyDescent="0.2">
      <c r="A60" s="341"/>
      <c r="B60" s="163"/>
      <c r="C60" s="164" t="s">
        <v>444</v>
      </c>
      <c r="D60" s="204" t="s">
        <v>404</v>
      </c>
      <c r="E60" s="176" t="s">
        <v>455</v>
      </c>
      <c r="F60" s="166">
        <f>(ＣＦ!D22/(BS!L33+BS!L38+BS!L39))*100</f>
        <v>38.195354743669952</v>
      </c>
      <c r="G60" s="166">
        <f>(ＣＦ!E22/(BS!M33+BS!M38+BS!M39))*100</f>
        <v>-15.511558793956748</v>
      </c>
      <c r="H60" s="166">
        <f>(ＣＦ!F22/(BS!N33+BS!N38+BS!N39))*100</f>
        <v>35.026965997998502</v>
      </c>
      <c r="I60" s="166">
        <f>(ＣＦ!G22/(BS!O33+BS!O38+BS!O39))*100</f>
        <v>24.937530581403834</v>
      </c>
      <c r="J60" s="166">
        <f>(ＣＦ!H22/(BS!P33+BS!P38+BS!P39))*100</f>
        <v>19.241843419122311</v>
      </c>
      <c r="K60" s="166">
        <f>(ＣＦ!I22/(BS!Q33+BS!Q38+BS!Q39))*100</f>
        <v>6.5775599937728284</v>
      </c>
      <c r="L60" s="166">
        <f>(ＣＦ!J22/(BS!R33+BS!R38+BS!R39))*100</f>
        <v>11.666868675298947</v>
      </c>
      <c r="M60" s="166">
        <f>(ＣＦ!K22/(BS!S33+BS!S38+BS!S39))*100</f>
        <v>9.522309112477231</v>
      </c>
      <c r="N60" s="166">
        <f>(ＣＦ!L22/(BS!T33+BS!T38+BS!T39))*100</f>
        <v>34.88217108546425</v>
      </c>
      <c r="O60" s="166">
        <f>(ＣＦ!M22/(BS!U33+BS!U38+BS!U39))*100</f>
        <v>22.925132351813733</v>
      </c>
      <c r="P60" s="166">
        <f>(ＣＦ!N22/(BS!V33+BS!V38+BS!V39))*100</f>
        <v>33.562471947823838</v>
      </c>
      <c r="Q60" s="166">
        <f>(ＣＦ!O22/(BS!W33+BS!W38+BS!W39))*100</f>
        <v>14.351415874854418</v>
      </c>
      <c r="R60" s="166">
        <f>(ＣＦ!P22/(BS!X33+BS!X38+BS!X39))*100</f>
        <v>45.330045879224009</v>
      </c>
      <c r="S60" s="166">
        <f>(ＣＦ!Q22/(BS!Y33+BS!Y38+BS!Y39))*100</f>
        <v>36.087911611765747</v>
      </c>
      <c r="T60" s="166">
        <f>(ＣＦ!R22/(BS!Z33+BS!Z38+BS!Z39))*100</f>
        <v>-8.6896978149563502</v>
      </c>
      <c r="U60" s="166">
        <f>(ＣＦ!S22/(BS!AA33+BS!AA38+BS!AA39))*100</f>
        <v>11.335016334829271</v>
      </c>
      <c r="V60" s="166">
        <f>(ＣＦ!T22/(BS!AB33+BS!AB38+BS!AB39))*100</f>
        <v>18.789532361695414</v>
      </c>
      <c r="W60" s="166">
        <f>(ＣＦ!U22/(BS!AC33+BS!AC38+BS!AC39))*100</f>
        <v>15.972144660251017</v>
      </c>
    </row>
    <row r="61" spans="1:23" x14ac:dyDescent="0.2">
      <c r="A61" s="341"/>
      <c r="B61" s="167"/>
      <c r="C61" s="168" t="s">
        <v>445</v>
      </c>
      <c r="D61" s="205" t="s">
        <v>404</v>
      </c>
      <c r="E61" s="177" t="s">
        <v>455</v>
      </c>
      <c r="F61" s="169">
        <f>(ＣＦ!D22/ＣＦ!D26)</f>
        <v>-1.0000452528277124</v>
      </c>
      <c r="G61" s="169">
        <f>(ＣＦ!E22/ＣＦ!E26)</f>
        <v>-1.4121168320389876</v>
      </c>
      <c r="H61" s="169">
        <f>(ＣＦ!F22/ＣＦ!F26)</f>
        <v>1.9120797359325055</v>
      </c>
      <c r="I61" s="169">
        <f>(ＣＦ!G22/ＣＦ!G26)</f>
        <v>-0.69279859891484841</v>
      </c>
      <c r="J61" s="169">
        <f>(ＣＦ!H22/ＣＦ!H26)</f>
        <v>-0.50053651017001055</v>
      </c>
      <c r="K61" s="169">
        <f>(ＣＦ!I22/ＣＦ!I26)</f>
        <v>0.37848254414624422</v>
      </c>
      <c r="L61" s="169">
        <f>(ＣＦ!J22/ＣＦ!J26)</f>
        <v>0.5349983355904937</v>
      </c>
      <c r="M61" s="169">
        <f>(ＣＦ!K22/ＣＦ!K26)</f>
        <v>-0.36516864642048785</v>
      </c>
      <c r="N61" s="169">
        <f>(ＣＦ!L22/ＣＦ!L26)</f>
        <v>-1.2829436301479529</v>
      </c>
      <c r="O61" s="169">
        <f>(ＣＦ!M22/ＣＦ!M26)</f>
        <v>-0.33957338560460298</v>
      </c>
      <c r="P61" s="169">
        <f>(ＣＦ!N22/ＣＦ!N26)</f>
        <v>1.7428758333254073</v>
      </c>
      <c r="Q61" s="169">
        <f>(ＣＦ!O22/ＣＦ!O26)</f>
        <v>-0.2899097122437635</v>
      </c>
      <c r="R61" s="169">
        <f>(ＣＦ!P22/ＣＦ!P26)</f>
        <v>15.1908169785161</v>
      </c>
      <c r="S61" s="169">
        <f>(ＣＦ!Q22/ＣＦ!Q26)</f>
        <v>-0.95295547435784378</v>
      </c>
      <c r="T61" s="169">
        <f>(ＣＦ!R22/ＣＦ!R26)</f>
        <v>0.69142847169787947</v>
      </c>
      <c r="U61" s="169">
        <f>(ＣＦ!S22/ＣＦ!S26)</f>
        <v>-0.31198216188553313</v>
      </c>
      <c r="V61" s="169">
        <f>(ＣＦ!T22/ＣＦ!T26)</f>
        <v>-5.7015644372884617</v>
      </c>
      <c r="W61" s="169">
        <f>(ＣＦ!U22/ＣＦ!U26)</f>
        <v>-1.7800026307690722</v>
      </c>
    </row>
    <row r="62" spans="1:23" x14ac:dyDescent="0.2">
      <c r="A62" s="341"/>
      <c r="B62" s="161" t="s">
        <v>446</v>
      </c>
      <c r="C62" s="162"/>
      <c r="D62" s="203"/>
      <c r="E62" s="155"/>
      <c r="F62" s="155"/>
      <c r="G62" s="155"/>
      <c r="H62" s="155"/>
      <c r="I62" s="155"/>
      <c r="J62" s="155"/>
      <c r="K62" s="155"/>
      <c r="L62" s="155"/>
      <c r="M62" s="155"/>
      <c r="N62" s="155"/>
      <c r="O62" s="155"/>
      <c r="P62" s="155"/>
      <c r="Q62" s="155"/>
      <c r="R62" s="155"/>
      <c r="S62" s="155"/>
      <c r="T62" s="155"/>
      <c r="U62" s="155"/>
      <c r="V62" s="155"/>
      <c r="W62" s="155"/>
    </row>
    <row r="63" spans="1:23" x14ac:dyDescent="0.2">
      <c r="A63" s="341"/>
      <c r="B63" s="163"/>
      <c r="C63" s="164" t="s">
        <v>447</v>
      </c>
      <c r="D63" s="204" t="s">
        <v>404</v>
      </c>
      <c r="E63" s="166">
        <f>(PL!K47/PL!K6)*100</f>
        <v>38.215428627962254</v>
      </c>
      <c r="F63" s="166">
        <f>(PL!L47/PL!L6)*100</f>
        <v>38.746830784984027</v>
      </c>
      <c r="G63" s="166">
        <f>(PL!M47/PL!M6)*100</f>
        <v>41.569011517517211</v>
      </c>
      <c r="H63" s="166">
        <f>(PL!N47/PL!N6)*100</f>
        <v>38.634702835421727</v>
      </c>
      <c r="I63" s="166">
        <f>(PL!O47/PL!O6)*100</f>
        <v>41.513462064462445</v>
      </c>
      <c r="J63" s="166">
        <f>(PL!P47/PL!P6)*100</f>
        <v>38.727075560909668</v>
      </c>
      <c r="K63" s="166">
        <f>(PL!Q47/PL!Q6)*100</f>
        <v>40.121261553191147</v>
      </c>
      <c r="L63" s="166">
        <f>(PL!R47/PL!R6)*100</f>
        <v>44.811855935068969</v>
      </c>
      <c r="M63" s="166">
        <f>(PL!S47/PL!S6)*100</f>
        <v>40.38786057891835</v>
      </c>
      <c r="N63" s="166">
        <f>(PL!T47/PL!T6)*100</f>
        <v>47.837515176680114</v>
      </c>
      <c r="O63" s="166">
        <f>(PL!U47/PL!U6)*100</f>
        <v>42.29682401049255</v>
      </c>
      <c r="P63" s="166">
        <f>(PL!V47/PL!V6)*100</f>
        <v>41.332137540784395</v>
      </c>
      <c r="Q63" s="166">
        <f>(PL!W47/PL!W6)*100</f>
        <v>39.194505665445917</v>
      </c>
      <c r="R63" s="166">
        <f>(PL!X47/PL!X6)*100</f>
        <v>44.459424544625421</v>
      </c>
      <c r="S63" s="166">
        <f>(PL!Y47/PL!Y6)*100</f>
        <v>43.243857485529816</v>
      </c>
      <c r="T63" s="166">
        <f>(PL!Z47/PL!Z6)*100</f>
        <v>44.446805056378139</v>
      </c>
      <c r="U63" s="166">
        <f>(PL!AA47/PL!AA6)*100</f>
        <v>43.237458542930831</v>
      </c>
      <c r="V63" s="166">
        <f>(PL!AB47/PL!AB6)*100</f>
        <v>45.716275994817906</v>
      </c>
      <c r="W63" s="166">
        <f>(PL!AC47/PL!AC6)*100</f>
        <v>43.383065433655098</v>
      </c>
    </row>
    <row r="64" spans="1:23" x14ac:dyDescent="0.2">
      <c r="A64" s="341"/>
      <c r="B64" s="167"/>
      <c r="C64" s="168" t="s">
        <v>448</v>
      </c>
      <c r="D64" s="205" t="s">
        <v>404</v>
      </c>
      <c r="E64" s="172">
        <f>(PL!K34+PL!K11+PL!K17+PL!K32+PL!K18+PL!K26+PL!K24+PL!K13)/(BS!K18+BS!K19)*100</f>
        <v>323.41361063529871</v>
      </c>
      <c r="F64" s="172">
        <f>(PL!L34+PL!L11+PL!L17+PL!L32+PL!L18+PL!L26+PL!L24+PL!L13)/(BS!L18+BS!L19)*100</f>
        <v>284.83748510360203</v>
      </c>
      <c r="G64" s="172">
        <f>(PL!M34+PL!M11+PL!M17+PL!M32+PL!M18+PL!M26+PL!M24+PL!M13)/(BS!M18+BS!M19)*100</f>
        <v>225.76075255330989</v>
      </c>
      <c r="H64" s="172">
        <f>(PL!N34+PL!N11+PL!N17+PL!N32+PL!N18+PL!N26+PL!N24+PL!N13)/(BS!N18+BS!N19)*100</f>
        <v>346.49764379378473</v>
      </c>
      <c r="I64" s="172">
        <f>(PL!O34+PL!O11+PL!O17+PL!O32+PL!O18+PL!O26+PL!O24+PL!O13)/(BS!O18+BS!O19)*100</f>
        <v>226.35494156924395</v>
      </c>
      <c r="J64" s="172">
        <f>(PL!P34+PL!P11+PL!P17+PL!P32+PL!P18+PL!P26+PL!P24+PL!P13)/(BS!P18+BS!P19)*100</f>
        <v>287.60269335277746</v>
      </c>
      <c r="K64" s="172">
        <f>(PL!Q34+PL!Q11+PL!Q17+PL!Q32+PL!Q18+PL!Q26+PL!Q24+PL!Q13)/(BS!Q18+BS!Q19)*100</f>
        <v>241.30046489571711</v>
      </c>
      <c r="L64" s="172">
        <f>(PL!R34+PL!R11+PL!R17+PL!R32+PL!R18+PL!R26+PL!R24+PL!R13)/(BS!R18+BS!R19)*100</f>
        <v>251.03952869310987</v>
      </c>
      <c r="M64" s="172">
        <f>(PL!S34+PL!S11+PL!S17+PL!S32+PL!S18+PL!S26+PL!S24+PL!S13)/(BS!S18+BS!S19)*100</f>
        <v>209.66891785296392</v>
      </c>
      <c r="N64" s="172">
        <f>(PL!T34+PL!T11+PL!T17+PL!T32+PL!T18+PL!T26+PL!T24+PL!T13)/(BS!T18+BS!T19)*100</f>
        <v>348.80091586092618</v>
      </c>
      <c r="O64" s="172">
        <f>(PL!U34+PL!U11+PL!U17+PL!U32+PL!U18+PL!U26+PL!U24+PL!U13)/(BS!U18+BS!U19)*100</f>
        <v>311.2129155507746</v>
      </c>
      <c r="P64" s="172">
        <f>(PL!V34+PL!V11+PL!V17+PL!V32+PL!V18+PL!V26+PL!V24+PL!V13)/(BS!V18+BS!V19)*100</f>
        <v>283.43374420937334</v>
      </c>
      <c r="Q64" s="172">
        <f>(PL!W34+PL!W11+PL!W17+PL!W32+PL!W18+PL!W26+PL!W24+PL!W13)/(BS!W18+BS!W19)*100</f>
        <v>198.48072930734577</v>
      </c>
      <c r="R64" s="172">
        <f>(PL!X34+PL!X11+PL!X17+PL!X32+PL!X18+PL!X26+PL!X24+PL!X13)/(BS!X18+BS!X19)*100</f>
        <v>253.27954694570874</v>
      </c>
      <c r="S64" s="172">
        <f>(PL!Y34+PL!Y11+PL!Y17+PL!Y32+PL!Y18+PL!Y26+PL!Y24+PL!Y13)/(BS!Y18+BS!Y19)*100</f>
        <v>233.55395489733027</v>
      </c>
      <c r="T64" s="172">
        <f>(PL!Z34+PL!Z11+PL!Z17+PL!Z32+PL!Z18+PL!Z26+PL!Z24+PL!Z13)/(BS!Z18+BS!Z19)*100</f>
        <v>320.31773362046459</v>
      </c>
      <c r="U64" s="172">
        <f>(PL!AA34+PL!AA11+PL!AA17+PL!AA32+PL!AA18+PL!AA26+PL!AA24+PL!AA13)/(BS!AA18+BS!AA19)*100</f>
        <v>249.18916852699255</v>
      </c>
      <c r="V64" s="172">
        <f>(PL!AB34+PL!AB11+PL!AB17+PL!AB32+PL!AB18+PL!AB26+PL!AB24+PL!AB13)/(BS!AB18+BS!AB19)*100</f>
        <v>171.87305925416635</v>
      </c>
      <c r="W64" s="172">
        <f>(PL!AC34+PL!AC11+PL!AC17+PL!AC32+PL!AC18+PL!AC26+PL!AC24+PL!AC13)/(BS!AC18+BS!AC19)*100</f>
        <v>263.19565674937809</v>
      </c>
    </row>
    <row r="65" spans="1:23" x14ac:dyDescent="0.2">
      <c r="A65" s="341"/>
      <c r="B65" s="161" t="s">
        <v>449</v>
      </c>
      <c r="C65" s="162"/>
      <c r="D65" s="203"/>
      <c r="E65" s="155"/>
      <c r="F65" s="155"/>
      <c r="G65" s="155"/>
      <c r="H65" s="155"/>
      <c r="I65" s="155"/>
      <c r="J65" s="155"/>
      <c r="K65" s="155"/>
      <c r="L65" s="155"/>
      <c r="M65" s="155"/>
      <c r="N65" s="155"/>
      <c r="O65" s="155"/>
      <c r="P65" s="155"/>
      <c r="Q65" s="155"/>
      <c r="R65" s="155"/>
      <c r="S65" s="155"/>
      <c r="T65" s="155"/>
      <c r="U65" s="155"/>
      <c r="V65" s="155"/>
      <c r="W65" s="155"/>
    </row>
    <row r="66" spans="1:23" x14ac:dyDescent="0.2">
      <c r="A66" s="341"/>
      <c r="B66" s="167"/>
      <c r="C66" s="168" t="s">
        <v>450</v>
      </c>
      <c r="D66" s="205" t="s">
        <v>404</v>
      </c>
      <c r="E66" s="169">
        <f>(PL!K11+PL!K17)/PL!K47*100</f>
        <v>51.176365457438102</v>
      </c>
      <c r="F66" s="169">
        <f>(PL!L11+PL!L17)/PL!L47*100</f>
        <v>59.433730352847</v>
      </c>
      <c r="G66" s="169">
        <f>(PL!M11+PL!M17)/PL!M47*100</f>
        <v>51.390549363243807</v>
      </c>
      <c r="H66" s="169">
        <f>(PL!N11+PL!N17)/PL!N47*100</f>
        <v>50.567180043603969</v>
      </c>
      <c r="I66" s="169">
        <f>(PL!O11+PL!O17)/PL!O47*100</f>
        <v>51.11635741441485</v>
      </c>
      <c r="J66" s="169">
        <f>(PL!P11+PL!P17)/PL!P47*100</f>
        <v>51.437421027694263</v>
      </c>
      <c r="K66" s="169">
        <f>(PL!Q11+PL!Q17)/PL!Q47*100</f>
        <v>55.939982686635979</v>
      </c>
      <c r="L66" s="169">
        <f>(PL!R11+PL!R17)/PL!R47*100</f>
        <v>48.730872872970451</v>
      </c>
      <c r="M66" s="169">
        <f>(PL!S11+PL!S17)/PL!S47*100</f>
        <v>51.670304333309524</v>
      </c>
      <c r="N66" s="169">
        <f>(PL!T11+PL!T17)/PL!T47*100</f>
        <v>58.405344790538308</v>
      </c>
      <c r="O66" s="169">
        <f>(PL!U11+PL!U17)/PL!U47*100</f>
        <v>52.116439571641372</v>
      </c>
      <c r="P66" s="169">
        <f>(PL!V11+PL!V17)/PL!V47*100</f>
        <v>50.400545339462568</v>
      </c>
      <c r="Q66" s="169">
        <f>(PL!W11+PL!W17)/PL!W47*100</f>
        <v>50.782855428310825</v>
      </c>
      <c r="R66" s="169">
        <f>(PL!X11+PL!X17)/PL!X47*100</f>
        <v>52.210486291656942</v>
      </c>
      <c r="S66" s="169">
        <f>(PL!Y11+PL!Y17)/PL!Y47*100</f>
        <v>53.517645396159288</v>
      </c>
      <c r="T66" s="169">
        <f>(PL!Z11+PL!Z17)/PL!Z47*100</f>
        <v>44.873327485957461</v>
      </c>
      <c r="U66" s="169">
        <f>(PL!AA11+PL!AA17)/PL!AA47*100</f>
        <v>44.72887762840265</v>
      </c>
      <c r="V66" s="169">
        <f>(PL!AB11+PL!AB17)/PL!AB47*100</f>
        <v>46.720837321998829</v>
      </c>
      <c r="W66" s="169">
        <f>(PL!AC11+PL!AC17)/PL!AC47*100</f>
        <v>46.491926395965457</v>
      </c>
    </row>
    <row r="67" spans="1:23" x14ac:dyDescent="0.2">
      <c r="A67" s="341"/>
      <c r="B67" s="161" t="s">
        <v>451</v>
      </c>
      <c r="C67" s="162"/>
      <c r="D67" s="203"/>
      <c r="E67" s="155"/>
      <c r="F67" s="155"/>
      <c r="G67" s="155"/>
      <c r="H67" s="155"/>
      <c r="I67" s="155"/>
      <c r="J67" s="155"/>
      <c r="K67" s="155"/>
      <c r="L67" s="155"/>
      <c r="M67" s="155"/>
      <c r="N67" s="155"/>
      <c r="O67" s="155"/>
      <c r="P67" s="155"/>
      <c r="Q67" s="155"/>
      <c r="R67" s="155"/>
      <c r="S67" s="155"/>
      <c r="T67" s="155"/>
      <c r="U67" s="155"/>
      <c r="V67" s="155"/>
      <c r="W67" s="155"/>
    </row>
    <row r="68" spans="1:23" x14ac:dyDescent="0.2">
      <c r="A68" s="341"/>
      <c r="B68" s="163"/>
      <c r="C68" s="164" t="s">
        <v>452</v>
      </c>
      <c r="D68" s="204" t="s">
        <v>404</v>
      </c>
      <c r="E68" s="166">
        <f>(BS!K33+BS!K34+BS!K38+BS!K39+BS!K40)/BS!K8*100</f>
        <v>35.447880373901</v>
      </c>
      <c r="F68" s="166">
        <f>(BS!L33+BS!L34+BS!L38+BS!L39+BS!L40)/BS!L8*100</f>
        <v>33.539010783079995</v>
      </c>
      <c r="G68" s="166">
        <f>(BS!M33+BS!M34+BS!M38+BS!M39+BS!M40)/BS!M8*100</f>
        <v>34.536738296540257</v>
      </c>
      <c r="H68" s="166">
        <f>(BS!N33+BS!N34+BS!N38+BS!N39+BS!N40)/BS!N8*100</f>
        <v>30.649430918156927</v>
      </c>
      <c r="I68" s="166">
        <f>(BS!O33+BS!O34+BS!O38+BS!O39+BS!O40)/BS!O8*100</f>
        <v>37.851822135920344</v>
      </c>
      <c r="J68" s="166">
        <f>(BS!P33+BS!P34+BS!P38+BS!P39+BS!P40)/BS!P8*100</f>
        <v>41.785369541215303</v>
      </c>
      <c r="K68" s="166">
        <f>(BS!Q33+BS!Q34+BS!Q38+BS!Q39+BS!Q40)/BS!Q8*100</f>
        <v>37.473895363646932</v>
      </c>
      <c r="L68" s="166">
        <f>(BS!R33+BS!R34+BS!R38+BS!R39+BS!R40)/BS!R8*100</f>
        <v>34.817482388528404</v>
      </c>
      <c r="M68" s="166">
        <f>(BS!S33+BS!S34+BS!S38+BS!S39+BS!S40)/BS!S8*100</f>
        <v>36.249350413207502</v>
      </c>
      <c r="N68" s="166">
        <f>(BS!T33+BS!T34+BS!T38+BS!T39+BS!T40)/BS!T8*100</f>
        <v>42.072073668341815</v>
      </c>
      <c r="O68" s="166">
        <f>(BS!U33+BS!U34+BS!U38+BS!U39+BS!U40)/BS!U8*100</f>
        <v>32.622770423624821</v>
      </c>
      <c r="P68" s="166">
        <f>(BS!V33+BS!V34+BS!V38+BS!V39+BS!V40)/BS!V8*100</f>
        <v>31.484544994560697</v>
      </c>
      <c r="Q68" s="166">
        <f>(BS!W33+BS!W34+BS!W38+BS!W39+BS!W40)/BS!W8*100</f>
        <v>32.473354729781725</v>
      </c>
      <c r="R68" s="166">
        <f>(BS!X33+BS!X34+BS!X38+BS!X39+BS!X40)/BS!X8*100</f>
        <v>30.746748626562258</v>
      </c>
      <c r="S68" s="166">
        <f>(BS!Y33+BS!Y34+BS!Y38+BS!Y39+BS!Y40)/BS!Y8*100</f>
        <v>29.237594891731039</v>
      </c>
      <c r="T68" s="166">
        <f>(BS!Z33+BS!Z34+BS!Z38+BS!Z39+BS!Z40)/BS!Z8*100</f>
        <v>30.593940324830697</v>
      </c>
      <c r="U68" s="166">
        <f>(BS!AA33+BS!AA34+BS!AA38+BS!AA39+BS!AA40)/BS!AA8*100</f>
        <v>28.455020026099731</v>
      </c>
      <c r="V68" s="166">
        <f>(BS!AB33+BS!AB34+BS!AB38+BS!AB39+BS!AB40)/BS!AB8*100</f>
        <v>32.85709467861863</v>
      </c>
      <c r="W68" s="166">
        <f>(BS!AC33+BS!AC34+BS!AC38+BS!AC39+BS!AC40)/BS!AC8*100</f>
        <v>33.036101539244171</v>
      </c>
    </row>
    <row r="69" spans="1:23" x14ac:dyDescent="0.2">
      <c r="A69" s="341"/>
      <c r="B69" s="163"/>
      <c r="C69" s="164" t="s">
        <v>453</v>
      </c>
      <c r="D69" s="204" t="s">
        <v>404</v>
      </c>
      <c r="E69" s="166">
        <f>PL!K32/PL!K6*100</f>
        <v>0.560047198562454</v>
      </c>
      <c r="F69" s="166">
        <f>PL!L32/PL!L6*100</f>
        <v>0.49284560043091724</v>
      </c>
      <c r="G69" s="166">
        <f>PL!M32/PL!M6*100</f>
        <v>0.55078835754462563</v>
      </c>
      <c r="H69" s="166">
        <f>PL!N32/PL!N6*100</f>
        <v>0.54492803457281258</v>
      </c>
      <c r="I69" s="166">
        <f>PL!O32/PL!O6*100</f>
        <v>0.62185308096827407</v>
      </c>
      <c r="J69" s="166">
        <f>PL!P32/PL!P6*100</f>
        <v>0.59714895687913572</v>
      </c>
      <c r="K69" s="166">
        <f>PL!Q32/PL!Q6*100</f>
        <v>0.68517954789812496</v>
      </c>
      <c r="L69" s="166">
        <f>PL!R32/PL!R6*100</f>
        <v>0.4911789721112429</v>
      </c>
      <c r="M69" s="166">
        <f>PL!S32/PL!S6*100</f>
        <v>0.67985357880598329</v>
      </c>
      <c r="N69" s="166">
        <f>PL!T32/PL!T6*100</f>
        <v>0.77323582816101843</v>
      </c>
      <c r="O69" s="166">
        <f>PL!U32/PL!U6*100</f>
        <v>0.23302576689314411</v>
      </c>
      <c r="P69" s="166">
        <f>PL!V32/PL!V6*100</f>
        <v>0.3609690673633722</v>
      </c>
      <c r="Q69" s="166">
        <f>PL!W32/PL!W6*100</f>
        <v>0.41024635983560132</v>
      </c>
      <c r="R69" s="166">
        <f>PL!X32/PL!X6*100</f>
        <v>0.29247378440911909</v>
      </c>
      <c r="S69" s="166">
        <f>PL!Y32/PL!Y6*100</f>
        <v>0.31262510012161976</v>
      </c>
      <c r="T69" s="166">
        <f>PL!Z32/PL!Z6*100</f>
        <v>0.24432592212710008</v>
      </c>
      <c r="U69" s="166">
        <f>PL!AA32/PL!AA6*100</f>
        <v>0.26959382841971924</v>
      </c>
      <c r="V69" s="166">
        <f>PL!AB32/PL!AB6*100</f>
        <v>0.36243772698697341</v>
      </c>
      <c r="W69" s="166">
        <f>PL!AC32/PL!AC6*100</f>
        <v>0.30355878595237429</v>
      </c>
    </row>
    <row r="70" spans="1:23" x14ac:dyDescent="0.2">
      <c r="A70" s="341"/>
      <c r="B70" s="163"/>
      <c r="C70" s="164" t="s">
        <v>566</v>
      </c>
      <c r="D70" s="204" t="s">
        <v>254</v>
      </c>
      <c r="E70" s="158">
        <f>PL!K28+PL!K13+PL!K24</f>
        <v>33599.152093770674</v>
      </c>
      <c r="F70" s="158">
        <f>PL!L28+PL!L13+PL!L24</f>
        <v>33735.71187013865</v>
      </c>
      <c r="G70" s="158">
        <f>PL!M28+PL!M13+PL!M24</f>
        <v>32639.902535389629</v>
      </c>
      <c r="H70" s="158">
        <f>PL!N28+PL!N13+PL!N24</f>
        <v>17789.149582699822</v>
      </c>
      <c r="I70" s="158">
        <f>PL!O28+PL!O13+PL!O24</f>
        <v>24241.605029083086</v>
      </c>
      <c r="J70" s="158">
        <f>PL!P28+PL!P13+PL!P24</f>
        <v>38295.732123616544</v>
      </c>
      <c r="K70" s="158">
        <f>PL!Q28+PL!Q13+PL!Q24</f>
        <v>26406.089214655454</v>
      </c>
      <c r="L70" s="158">
        <f>PL!R28+PL!R13+PL!R24</f>
        <v>35725.2169633792</v>
      </c>
      <c r="M70" s="158">
        <f>PL!S28+PL!S13+PL!S24</f>
        <v>32217.843025007682</v>
      </c>
      <c r="N70" s="158">
        <f>PL!T28+PL!T13+PL!T24</f>
        <v>25128.40547760042</v>
      </c>
      <c r="O70" s="158">
        <f>PL!U28+PL!U13+PL!U24</f>
        <v>50425.007808532944</v>
      </c>
      <c r="P70" s="158">
        <f>PL!V28+PL!V13+PL!V24</f>
        <v>49817.739318647575</v>
      </c>
      <c r="Q70" s="158">
        <f>PL!W28+PL!W13+PL!W24</f>
        <v>47885.654164306194</v>
      </c>
      <c r="R70" s="158">
        <f>PL!X28+PL!X13+PL!X24</f>
        <v>52306.116000942995</v>
      </c>
      <c r="S70" s="158">
        <f>PL!Y28+PL!Y13+PL!Y24</f>
        <v>57218.355818107724</v>
      </c>
      <c r="T70" s="158">
        <f>PL!Z28+PL!Z13+PL!Z24</f>
        <v>55848.130657799768</v>
      </c>
      <c r="U70" s="158">
        <f>PL!AA28+PL!AA13+PL!AA24</f>
        <v>44901.322372939569</v>
      </c>
      <c r="V70" s="158">
        <f>PL!AB28+PL!AB13+PL!AB24</f>
        <v>40103.761196595886</v>
      </c>
      <c r="W70" s="158">
        <f>PL!AC28+PL!AC13+PL!AC24</f>
        <v>48443.880982851297</v>
      </c>
    </row>
    <row r="71" spans="1:23" x14ac:dyDescent="0.2">
      <c r="A71" s="342"/>
      <c r="B71" s="167"/>
      <c r="C71" s="168" t="s">
        <v>567</v>
      </c>
      <c r="D71" s="205" t="s">
        <v>441</v>
      </c>
      <c r="E71" s="266">
        <f>(BS!K33+BS!K34+BS!K38+BS!K39+BS!K40-BS!K10)/E70</f>
        <v>4.4835968210366248</v>
      </c>
      <c r="F71" s="266">
        <f>(BS!L33+BS!L34+BS!L38+BS!L39+BS!L40-BS!L10)/F70</f>
        <v>3.9883766972578245</v>
      </c>
      <c r="G71" s="266">
        <f>(BS!M33+BS!M34+BS!M38+BS!M39+BS!M40-BS!M10)/G70</f>
        <v>4.744186280599668</v>
      </c>
      <c r="H71" s="266">
        <f>(BS!N33+BS!N34+BS!N38+BS!N39+BS!N40-BS!N10)/H70</f>
        <v>4.8756078347959564</v>
      </c>
      <c r="I71" s="266">
        <f>(BS!O33+BS!O34+BS!O38+BS!O39+BS!O40-BS!O10)/I70</f>
        <v>4.914831531309531</v>
      </c>
      <c r="J71" s="266">
        <f>(BS!P33+BS!P34+BS!P38+BS!P39+BS!P40-BS!P10)/J70</f>
        <v>4.203164826055624</v>
      </c>
      <c r="K71" s="266">
        <f>(BS!Q33+BS!Q34+BS!Q38+BS!Q39+BS!Q40-BS!Q10)/K70</f>
        <v>4.1151546696254107</v>
      </c>
      <c r="L71" s="266">
        <f>(BS!R33+BS!R34+BS!R38+BS!R39+BS!R40-BS!R10)/L70</f>
        <v>1.93335498453444</v>
      </c>
      <c r="M71" s="266">
        <f>(BS!S33+BS!S34+BS!S38+BS!S39+BS!S40-BS!S10)/M70</f>
        <v>2.6504090095953101</v>
      </c>
      <c r="N71" s="266">
        <f>(BS!T33+BS!T34+BS!T38+BS!T39+BS!T40-BS!T10)/N70</f>
        <v>3.21596146684004</v>
      </c>
      <c r="O71" s="266">
        <f>(BS!U33+BS!U34+BS!U38+BS!U39+BS!U40-BS!U10)/O70</f>
        <v>1.9965192492354826</v>
      </c>
      <c r="P71" s="266">
        <f>(BS!V33+BS!V34+BS!V38+BS!V39+BS!V40-BS!V10)/P70</f>
        <v>1.3639833648356756</v>
      </c>
      <c r="Q71" s="266">
        <f>(BS!W33+BS!W34+BS!W38+BS!W39+BS!W40-BS!W10)/Q70</f>
        <v>2.2196270805269016</v>
      </c>
      <c r="R71" s="266">
        <f>(BS!X33+BS!X34+BS!X38+BS!X39+BS!X40-BS!X10)/R70</f>
        <v>0.54225972254415988</v>
      </c>
      <c r="S71" s="266">
        <f>(BS!Y33+BS!Y34+BS!Y38+BS!Y39+BS!Y40-BS!Y10)/S70</f>
        <v>0.66933909393532443</v>
      </c>
      <c r="T71" s="266">
        <f>(BS!Z33+BS!Z34+BS!Z38+BS!Z39+BS!Z40-BS!Z10)/T70</f>
        <v>1.4388789778108446</v>
      </c>
      <c r="U71" s="266">
        <f>(BS!AA33+BS!AA34+BS!AA38+BS!AA39+BS!AA40-BS!AA10)/U70</f>
        <v>2.4421024768402244</v>
      </c>
      <c r="V71" s="266">
        <f>(BS!AB33+BS!AB34+BS!AB38+BS!AB39+BS!AB40-BS!AB10)/V70</f>
        <v>2.5193331403241639</v>
      </c>
      <c r="W71" s="266">
        <f>(BS!AC33+BS!AC34+BS!AC38+BS!AC39+BS!AC40-BS!AC10)/W70</f>
        <v>1.6384925090064644</v>
      </c>
    </row>
    <row r="72" spans="1:23" x14ac:dyDescent="0.2">
      <c r="B72" s="76" t="s">
        <v>577</v>
      </c>
    </row>
  </sheetData>
  <sheetProtection algorithmName="SHA-512" hashValue="uQaXPDFu4ysPI7/73YuLEWd+eqLSTf3CrlaKVTLae6O8Itp6cUAvE5eS/AFgI7HFeU107hqnOPgOM64rql5YMw==" saltValue="g6d0xw30skkXHNqKTfJ+UQ==" spinCount="100000" sheet="1"/>
  <mergeCells count="4">
    <mergeCell ref="B4:B9"/>
    <mergeCell ref="B10:B15"/>
    <mergeCell ref="A4:A16"/>
    <mergeCell ref="A17:A71"/>
  </mergeCells>
  <phoneticPr fontId="3"/>
  <pageMargins left="0.66" right="0.39" top="0.88" bottom="0.75"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86"/>
  <sheetViews>
    <sheetView topLeftCell="B1" workbookViewId="0">
      <selection activeCell="U3" sqref="U3"/>
    </sheetView>
  </sheetViews>
  <sheetFormatPr defaultRowHeight="10.8" x14ac:dyDescent="0.2"/>
  <cols>
    <col min="1" max="1" width="22.109375" style="76" customWidth="1"/>
    <col min="2" max="2" width="7.109375" style="76" customWidth="1"/>
    <col min="3" max="14" width="10.109375" style="76" customWidth="1"/>
    <col min="15" max="17" width="10" style="76" customWidth="1"/>
    <col min="18" max="20" width="10.109375" style="76" customWidth="1"/>
    <col min="21" max="16384" width="8.88671875" style="76"/>
  </cols>
  <sheetData>
    <row r="1" spans="1:21" ht="12.6" x14ac:dyDescent="0.2">
      <c r="A1" s="252" t="s">
        <v>540</v>
      </c>
      <c r="B1" s="253"/>
      <c r="C1" s="252"/>
      <c r="D1" s="252"/>
      <c r="E1" s="252"/>
      <c r="F1" s="252"/>
      <c r="G1" s="252"/>
      <c r="H1" s="252"/>
      <c r="I1" s="252"/>
      <c r="J1" s="252"/>
      <c r="K1" s="252"/>
      <c r="L1" s="252"/>
      <c r="M1" s="252"/>
      <c r="N1" s="252"/>
      <c r="O1" s="252"/>
      <c r="P1" s="252"/>
      <c r="Q1" s="252"/>
    </row>
    <row r="2" spans="1:21" ht="12.6" x14ac:dyDescent="0.2">
      <c r="A2" s="254" t="str">
        <f>BS!A2</f>
        <v>３１　輸送用機械器具製造業</v>
      </c>
      <c r="B2" s="253"/>
      <c r="C2" s="252"/>
      <c r="D2" s="252"/>
      <c r="E2" s="252"/>
      <c r="F2" s="252"/>
      <c r="G2" s="252"/>
      <c r="H2" s="252"/>
      <c r="I2" s="252"/>
      <c r="J2" s="252"/>
      <c r="K2" s="252"/>
      <c r="L2" s="252"/>
      <c r="M2" s="252"/>
      <c r="N2" s="252"/>
      <c r="O2" s="252"/>
      <c r="P2" s="252"/>
      <c r="Q2" s="252"/>
    </row>
    <row r="3" spans="1:21" ht="12.6" x14ac:dyDescent="0.2">
      <c r="A3" s="255" t="s">
        <v>541</v>
      </c>
      <c r="B3" s="256"/>
      <c r="C3" s="257" t="s">
        <v>534</v>
      </c>
      <c r="D3" s="257" t="s">
        <v>527</v>
      </c>
      <c r="E3" s="257" t="s">
        <v>528</v>
      </c>
      <c r="F3" s="257" t="s">
        <v>529</v>
      </c>
      <c r="G3" s="257" t="s">
        <v>530</v>
      </c>
      <c r="H3" s="257" t="s">
        <v>531</v>
      </c>
      <c r="I3" s="257" t="s">
        <v>510</v>
      </c>
      <c r="J3" s="257" t="s">
        <v>511</v>
      </c>
      <c r="K3" s="257" t="s">
        <v>515</v>
      </c>
      <c r="L3" s="257" t="s">
        <v>517</v>
      </c>
      <c r="M3" s="257" t="s">
        <v>535</v>
      </c>
      <c r="N3" s="257" t="s">
        <v>536</v>
      </c>
      <c r="O3" s="257" t="s">
        <v>539</v>
      </c>
      <c r="P3" s="257" t="s">
        <v>554</v>
      </c>
      <c r="Q3" s="257" t="s">
        <v>557</v>
      </c>
      <c r="R3" s="257" t="s">
        <v>559</v>
      </c>
      <c r="S3" s="257" t="s">
        <v>578</v>
      </c>
      <c r="T3" s="257" t="s">
        <v>576</v>
      </c>
      <c r="U3" s="257" t="s">
        <v>580</v>
      </c>
    </row>
    <row r="4" spans="1:21" ht="12.6" x14ac:dyDescent="0.2">
      <c r="A4" s="255" t="s">
        <v>310</v>
      </c>
      <c r="B4" s="256" t="s">
        <v>254</v>
      </c>
      <c r="C4" s="258">
        <f>PL!K6</f>
        <v>1029049.49522639</v>
      </c>
      <c r="D4" s="258">
        <f>PL!L6</f>
        <v>792640.34494420025</v>
      </c>
      <c r="E4" s="258">
        <f>PL!M6</f>
        <v>833050.73016966193</v>
      </c>
      <c r="F4" s="258">
        <f>PL!N6</f>
        <v>828064.26946642785</v>
      </c>
      <c r="G4" s="258">
        <f>PL!O6</f>
        <v>801705.25557250518</v>
      </c>
      <c r="H4" s="258">
        <f>PL!P6</f>
        <v>921991.9329220308</v>
      </c>
      <c r="I4" s="258">
        <f>PL!Q6</f>
        <v>659762.64689240814</v>
      </c>
      <c r="J4" s="258">
        <f>PL!R6</f>
        <v>597586.81870825472</v>
      </c>
      <c r="K4" s="258">
        <f>PL!S6</f>
        <v>562143.89223713661</v>
      </c>
      <c r="L4" s="258">
        <f>PL!T6</f>
        <v>402169.91237123299</v>
      </c>
      <c r="M4" s="258">
        <f>PL!U6</f>
        <v>719477.8379323727</v>
      </c>
      <c r="N4" s="258">
        <f>PL!V6</f>
        <v>757170.67634382402</v>
      </c>
      <c r="O4" s="258">
        <f>PL!W6</f>
        <v>795826.45982916676</v>
      </c>
      <c r="P4" s="258">
        <f>PL!X6</f>
        <v>760401.3575568971</v>
      </c>
      <c r="Q4" s="258">
        <f>PL!Y6</f>
        <v>761109.14219733421</v>
      </c>
      <c r="R4" s="258">
        <f>PL!Z6</f>
        <v>866085.58623589599</v>
      </c>
      <c r="S4" s="258">
        <f>PL!AA6</f>
        <v>852533.48523351655</v>
      </c>
      <c r="T4" s="258">
        <f>PL!AB6</f>
        <v>882915.58282472275</v>
      </c>
      <c r="U4" s="258">
        <f>PL!AC6</f>
        <v>863588.18974490231</v>
      </c>
    </row>
    <row r="5" spans="1:21" ht="12.6" x14ac:dyDescent="0.2">
      <c r="A5" s="259" t="s">
        <v>69</v>
      </c>
      <c r="B5" s="256" t="s">
        <v>254</v>
      </c>
      <c r="C5" s="258">
        <f>PL!K42</f>
        <v>34273.196899514995</v>
      </c>
      <c r="D5" s="258">
        <f>PL!L42</f>
        <v>11643.895840378827</v>
      </c>
      <c r="E5" s="258">
        <f>PL!M42</f>
        <v>29655.115108928643</v>
      </c>
      <c r="F5" s="258">
        <f>PL!N42</f>
        <v>26495.318308094866</v>
      </c>
      <c r="G5" s="258">
        <f>PL!O42</f>
        <v>21820.961537866504</v>
      </c>
      <c r="H5" s="258">
        <f>PL!P42</f>
        <v>10615.057059120038</v>
      </c>
      <c r="I5" s="258">
        <f>PL!Q42</f>
        <v>-5720.5274381988838</v>
      </c>
      <c r="J5" s="258">
        <f>PL!R42</f>
        <v>15572.303212306466</v>
      </c>
      <c r="K5" s="258">
        <f>PL!S42</f>
        <v>14829.407960750677</v>
      </c>
      <c r="L5" s="258">
        <f>PL!T42</f>
        <v>10929.281830871134</v>
      </c>
      <c r="M5" s="258">
        <f>PL!U42</f>
        <v>24441.410992555953</v>
      </c>
      <c r="N5" s="258">
        <f>PL!V42</f>
        <v>22774.960269996802</v>
      </c>
      <c r="O5" s="258">
        <f>PL!W42</f>
        <v>18698.309246235993</v>
      </c>
      <c r="P5" s="258">
        <f>PL!X42</f>
        <v>23380.273491645799</v>
      </c>
      <c r="Q5" s="258">
        <f>PL!Y42</f>
        <v>29526.198929435017</v>
      </c>
      <c r="R5" s="258">
        <f>PL!Z42</f>
        <v>25452.029889026253</v>
      </c>
      <c r="S5" s="258">
        <f>PL!AA42</f>
        <v>14916.701579670329</v>
      </c>
      <c r="T5" s="258">
        <f>PL!AB42</f>
        <v>6444.6221954783796</v>
      </c>
      <c r="U5" s="258">
        <f>PL!AC42</f>
        <v>19039.015698319257</v>
      </c>
    </row>
    <row r="6" spans="1:21" ht="12.6" x14ac:dyDescent="0.2">
      <c r="A6" s="255" t="s">
        <v>317</v>
      </c>
      <c r="B6" s="256" t="s">
        <v>318</v>
      </c>
      <c r="C6" s="260">
        <f>PL!K5</f>
        <v>48.160412137252997</v>
      </c>
      <c r="D6" s="260">
        <f>PL!L5</f>
        <v>38.315776124450458</v>
      </c>
      <c r="E6" s="260">
        <f>PL!M5</f>
        <v>44.019508482865284</v>
      </c>
      <c r="F6" s="260">
        <f>PL!N5</f>
        <v>43.014104643464172</v>
      </c>
      <c r="G6" s="260">
        <f>PL!O5</f>
        <v>37.965076794494827</v>
      </c>
      <c r="H6" s="260">
        <f>PL!P5</f>
        <v>32.937291479925882</v>
      </c>
      <c r="I6" s="260">
        <f>PL!Q5</f>
        <v>37.163617331832747</v>
      </c>
      <c r="J6" s="260">
        <f>PL!R5</f>
        <v>30.345849549710508</v>
      </c>
      <c r="K6" s="260">
        <f>PL!S5</f>
        <v>31.238261648634641</v>
      </c>
      <c r="L6" s="260">
        <f>PL!T5</f>
        <v>30.078817816632025</v>
      </c>
      <c r="M6" s="260">
        <f>PL!U5</f>
        <v>34.362096789145831</v>
      </c>
      <c r="N6" s="260">
        <f>PL!V5</f>
        <v>35.008334185759139</v>
      </c>
      <c r="O6" s="260">
        <f>PL!W5</f>
        <v>35.220515816685051</v>
      </c>
      <c r="P6" s="260">
        <f>PL!X5</f>
        <v>34.977176696166516</v>
      </c>
      <c r="Q6" s="260">
        <f>PL!Y5</f>
        <v>37.679255544149747</v>
      </c>
      <c r="R6" s="260">
        <f>PL!Z5</f>
        <v>39.554207210656429</v>
      </c>
      <c r="S6" s="260">
        <f>PL!AA5</f>
        <v>38.318938873626372</v>
      </c>
      <c r="T6" s="260">
        <f>PL!AB5</f>
        <v>40.571305768073586</v>
      </c>
      <c r="U6" s="260">
        <f>PL!AC5</f>
        <v>39.521201262690894</v>
      </c>
    </row>
    <row r="7" spans="1:21" ht="12.6" x14ac:dyDescent="0.2">
      <c r="A7" s="259" t="s">
        <v>344</v>
      </c>
      <c r="B7" s="256" t="s">
        <v>254</v>
      </c>
      <c r="C7" s="258">
        <f>BS!K33+BS!K34+BS!K38+BS!K39+BS!K40</f>
        <v>260591.07666131022</v>
      </c>
      <c r="D7" s="258">
        <f>BS!L33+BS!L34+BS!L38+BS!L39+BS!L40</f>
        <v>200565.18430842072</v>
      </c>
      <c r="E7" s="258">
        <f>BS!M33+BS!M34+BS!M38+BS!M39+BS!M40</f>
        <v>239563.12268368731</v>
      </c>
      <c r="F7" s="258">
        <f>BS!N33+BS!N34+BS!N38+BS!N39+BS!N40</f>
        <v>175186.95064432808</v>
      </c>
      <c r="G7" s="258">
        <f>BS!O33+BS!O34+BS!O38+BS!O39+BS!O40</f>
        <v>241031.01242685923</v>
      </c>
      <c r="H7" s="258">
        <f>BS!P33+BS!P34+BS!P38+BS!P39+BS!P40</f>
        <v>268480.8586631426</v>
      </c>
      <c r="I7" s="258">
        <f>BS!Q33+BS!Q34+BS!Q38+BS!Q39+BS!Q40</f>
        <v>228999.2889259434</v>
      </c>
      <c r="J7" s="258">
        <f>BS!R33+BS!R34+BS!R38+BS!R39+BS!R40</f>
        <v>156984.90130966535</v>
      </c>
      <c r="K7" s="258">
        <f>BS!S33+BS!S34+BS!S38+BS!S39+BS!S40</f>
        <v>169004.5396589681</v>
      </c>
      <c r="L7" s="258">
        <f>BS!T33+BS!T34+BS!T38+BS!T39+BS!T40</f>
        <v>152480.2004169242</v>
      </c>
      <c r="M7" s="258">
        <f>BS!U33+BS!U34+BS!U38+BS!U39+BS!U40</f>
        <v>188378.57470020265</v>
      </c>
      <c r="N7" s="258">
        <f>BS!V33+BS!V34+BS!V38+BS!V39+BS!V40</f>
        <v>190742.54577898976</v>
      </c>
      <c r="O7" s="258">
        <f>BS!W33+BS!W34+BS!W38+BS!W39+BS!W40</f>
        <v>193710.44784897027</v>
      </c>
      <c r="P7" s="258">
        <f>BS!X33+BS!X34+BS!X38+BS!X39+BS!X40</f>
        <v>181863.4101061766</v>
      </c>
      <c r="Q7" s="258">
        <f>BS!Y33+BS!Y34+BS!Y38+BS!Y39+BS!Y40</f>
        <v>199879.73152132216</v>
      </c>
      <c r="R7" s="258">
        <f>BS!Z33+BS!Z34+BS!Z38+BS!Z39+BS!Z40</f>
        <v>223632.82679340313</v>
      </c>
      <c r="S7" s="258">
        <f>BS!AA33+BS!AA34+BS!AA38+BS!AA39+BS!AA40</f>
        <v>279761.6334134615</v>
      </c>
      <c r="T7" s="258">
        <f>BS!AB33+BS!AB34+BS!AB38+BS!AB39+BS!AB40</f>
        <v>285613.33688644378</v>
      </c>
      <c r="U7" s="258">
        <f>BS!AC33+BS!AC34+BS!AC38+BS!AC39+BS!AC40</f>
        <v>260414.83312004092</v>
      </c>
    </row>
    <row r="8" spans="1:21" ht="12.6" x14ac:dyDescent="0.2">
      <c r="A8" s="259" t="s">
        <v>486</v>
      </c>
      <c r="B8" s="256" t="s">
        <v>254</v>
      </c>
      <c r="C8" s="258">
        <f>BS!K10</f>
        <v>109946.02514415399</v>
      </c>
      <c r="D8" s="258">
        <f>BS!L10</f>
        <v>66014.457220155557</v>
      </c>
      <c r="E8" s="258">
        <f>BS!M10</f>
        <v>84713.34487518153</v>
      </c>
      <c r="F8" s="258">
        <f>BS!N10</f>
        <v>88454.033564559621</v>
      </c>
      <c r="G8" s="258">
        <f>BS!O10</f>
        <v>121887.60766036999</v>
      </c>
      <c r="H8" s="258">
        <f>BS!P10</f>
        <v>107517.58441310909</v>
      </c>
      <c r="I8" s="258">
        <f>BS!Q10</f>
        <v>120334.14758770882</v>
      </c>
      <c r="J8" s="258">
        <f>BS!R10</f>
        <v>87915.375019941843</v>
      </c>
      <c r="K8" s="258">
        <f>BS!S10</f>
        <v>83614.078235760331</v>
      </c>
      <c r="L8" s="258">
        <f>BS!T10</f>
        <v>71668.216677829056</v>
      </c>
      <c r="M8" s="258">
        <f>BS!U10</f>
        <v>87704.0759676171</v>
      </c>
      <c r="N8" s="258">
        <f>BS!V10</f>
        <v>122791.9780746343</v>
      </c>
      <c r="O8" s="258">
        <f>BS!W10</f>
        <v>87422.153097130446</v>
      </c>
      <c r="P8" s="258">
        <f>BS!X10</f>
        <v>153499.91015614261</v>
      </c>
      <c r="Q8" s="258">
        <f>BS!Y10</f>
        <v>161581.24908156093</v>
      </c>
      <c r="R8" s="258">
        <f>BS!Z10</f>
        <v>143274.12563986171</v>
      </c>
      <c r="S8" s="258">
        <f>BS!AA10</f>
        <v>170108.0028331044</v>
      </c>
      <c r="T8" s="258">
        <f>BS!AB10</f>
        <v>184578.60225221352</v>
      </c>
      <c r="U8" s="258">
        <f>BS!AC10</f>
        <v>181039.89702243835</v>
      </c>
    </row>
    <row r="9" spans="1:21" ht="12.6" x14ac:dyDescent="0.2">
      <c r="A9" s="259" t="s">
        <v>326</v>
      </c>
      <c r="B9" s="256" t="s">
        <v>254</v>
      </c>
      <c r="C9" s="258">
        <f>PL!K13+PL!K24</f>
        <v>33599.152093770674</v>
      </c>
      <c r="D9" s="258">
        <f>PL!L13+PL!L24</f>
        <v>33735.71187013865</v>
      </c>
      <c r="E9" s="258">
        <f>PL!M13+PL!M24</f>
        <v>32639.902535389629</v>
      </c>
      <c r="F9" s="258">
        <f>PL!N13+PL!N24</f>
        <v>17789.149582699822</v>
      </c>
      <c r="G9" s="258">
        <f>PL!O13+PL!O24</f>
        <v>24241.605029083086</v>
      </c>
      <c r="H9" s="258">
        <f>PL!P13+PL!P24</f>
        <v>38295.732123616544</v>
      </c>
      <c r="I9" s="258">
        <f>PL!Q13+PL!Q24</f>
        <v>32126.616652854336</v>
      </c>
      <c r="J9" s="258">
        <f>PL!R13+PL!R24</f>
        <v>20152.913751072734</v>
      </c>
      <c r="K9" s="258">
        <f>PL!S13+PL!S24</f>
        <v>17388.435064257006</v>
      </c>
      <c r="L9" s="258">
        <f>PL!T13+PL!T24</f>
        <v>14199.123646729287</v>
      </c>
      <c r="M9" s="258">
        <f>PL!U13+PL!U24</f>
        <v>25983.596815976995</v>
      </c>
      <c r="N9" s="258">
        <f>PL!V13+PL!V24</f>
        <v>27042.779048650773</v>
      </c>
      <c r="O9" s="258">
        <f>PL!W13+PL!W24</f>
        <v>29187.344918070201</v>
      </c>
      <c r="P9" s="258">
        <f>PL!X13+PL!X24</f>
        <v>28925.842509297196</v>
      </c>
      <c r="Q9" s="258">
        <f>PL!Y13+PL!Y24</f>
        <v>27692.156888672707</v>
      </c>
      <c r="R9" s="258">
        <f>PL!Z13+PL!Z24</f>
        <v>30396.100768773515</v>
      </c>
      <c r="S9" s="258">
        <f>PL!AA13+PL!AA24</f>
        <v>29984.620793269234</v>
      </c>
      <c r="T9" s="258">
        <f>PL!AB13+PL!AB24</f>
        <v>33659.13900111751</v>
      </c>
      <c r="U9" s="258">
        <f>PL!AC13+PL!AC24</f>
        <v>29404.865284532036</v>
      </c>
    </row>
    <row r="10" spans="1:21" ht="12.6" x14ac:dyDescent="0.2">
      <c r="A10" s="255" t="s">
        <v>314</v>
      </c>
      <c r="B10" s="256" t="s">
        <v>254</v>
      </c>
      <c r="C10" s="258">
        <f>BS!K43</f>
        <v>214410.24671519001</v>
      </c>
      <c r="D10" s="258">
        <f>BS!L43</f>
        <v>151693.77747717281</v>
      </c>
      <c r="E10" s="258">
        <f>BS!M43</f>
        <v>234876.05653604114</v>
      </c>
      <c r="F10" s="258">
        <f>BS!N43</f>
        <v>196880.23819661731</v>
      </c>
      <c r="G10" s="258">
        <f>BS!O43</f>
        <v>194715.75434787461</v>
      </c>
      <c r="H10" s="258">
        <f>BS!P43</f>
        <v>213066.16336647802</v>
      </c>
      <c r="I10" s="258">
        <f>BS!Q43</f>
        <v>230511.5034242344</v>
      </c>
      <c r="J10" s="258">
        <f>BS!R43</f>
        <v>163658.89093449863</v>
      </c>
      <c r="K10" s="258">
        <f>BS!S43</f>
        <v>169502.7581893882</v>
      </c>
      <c r="L10" s="258">
        <f>BS!T43</f>
        <v>124469.13049434198</v>
      </c>
      <c r="M10" s="258">
        <f>BS!U43</f>
        <v>213990.93283555479</v>
      </c>
      <c r="N10" s="258">
        <f>BS!V43</f>
        <v>229503.14756122368</v>
      </c>
      <c r="O10" s="258">
        <f>BS!W43</f>
        <v>220457.3063183683</v>
      </c>
      <c r="P10" s="258">
        <f>BS!X43</f>
        <v>247024.11725563827</v>
      </c>
      <c r="Q10" s="258">
        <f>BS!Y43</f>
        <v>284583.30241205147</v>
      </c>
      <c r="R10" s="258">
        <f>BS!Z43</f>
        <v>319656.20687728823</v>
      </c>
      <c r="S10" s="258">
        <f>BS!AA43</f>
        <v>465821.04275412089</v>
      </c>
      <c r="T10" s="258">
        <f>BS!AB43</f>
        <v>370889.41554199264</v>
      </c>
      <c r="U10" s="258">
        <f>BS!AC43</f>
        <v>328240.62742086849</v>
      </c>
    </row>
    <row r="11" spans="1:21" ht="12.6" x14ac:dyDescent="0.2">
      <c r="A11" s="255" t="s">
        <v>542</v>
      </c>
      <c r="B11" s="256" t="s">
        <v>254</v>
      </c>
      <c r="C11" s="258">
        <f>BS!K30</f>
        <v>520728.51876358798</v>
      </c>
      <c r="D11" s="258">
        <f>BS!L30</f>
        <v>446311.88704768347</v>
      </c>
      <c r="E11" s="258">
        <f>BS!M30</f>
        <v>458771.15654686326</v>
      </c>
      <c r="F11" s="258">
        <f>BS!N30</f>
        <v>374702.80721825256</v>
      </c>
      <c r="G11" s="258">
        <f>BS!O30</f>
        <v>442059.43592262862</v>
      </c>
      <c r="H11" s="258">
        <f>BS!P30</f>
        <v>429457.43187975901</v>
      </c>
      <c r="I11" s="258">
        <f>BS!Q30</f>
        <v>380578.66135242622</v>
      </c>
      <c r="J11" s="258">
        <f>BS!R30</f>
        <v>287220.64009497169</v>
      </c>
      <c r="K11" s="258">
        <f>BS!S30</f>
        <v>296725.01619133825</v>
      </c>
      <c r="L11" s="258">
        <f>BS!T30</f>
        <v>237957.02805191869</v>
      </c>
      <c r="M11" s="258">
        <f>BS!U30</f>
        <v>363454.12242493301</v>
      </c>
      <c r="N11" s="258">
        <f>BS!V30</f>
        <v>376325.98483355221</v>
      </c>
      <c r="O11" s="258">
        <f>BS!W30</f>
        <v>376063.90148686041</v>
      </c>
      <c r="P11" s="258">
        <f>BS!X30</f>
        <v>344464.14810541505</v>
      </c>
      <c r="Q11" s="258">
        <f>BS!Y30</f>
        <v>399056.14283469913</v>
      </c>
      <c r="R11" s="258">
        <f>BS!Z30</f>
        <v>411314.77763462864</v>
      </c>
      <c r="S11" s="258">
        <f>BS!AA30</f>
        <v>517350.40873969777</v>
      </c>
      <c r="T11" s="258">
        <f>BS!AB30</f>
        <v>498369.84079773061</v>
      </c>
      <c r="U11" s="258">
        <f>BS!AC30</f>
        <v>460032.87031823228</v>
      </c>
    </row>
    <row r="12" spans="1:21" ht="12.6" x14ac:dyDescent="0.2">
      <c r="A12" s="255" t="s">
        <v>543</v>
      </c>
      <c r="B12" s="256" t="s">
        <v>254</v>
      </c>
      <c r="C12" s="258">
        <f>BS!K11</f>
        <v>174055.865393705</v>
      </c>
      <c r="D12" s="258">
        <f>BS!L11</f>
        <v>123260.14541765302</v>
      </c>
      <c r="E12" s="258">
        <f>BS!M11</f>
        <v>175264.67674798219</v>
      </c>
      <c r="F12" s="258">
        <f>BS!N11</f>
        <v>168605.88338026835</v>
      </c>
      <c r="G12" s="258">
        <f>BS!O11</f>
        <v>121617.92732788215</v>
      </c>
      <c r="H12" s="258">
        <f>BS!P11</f>
        <v>102994.74447046476</v>
      </c>
      <c r="I12" s="258">
        <f>BS!Q11</f>
        <v>105089.59000650214</v>
      </c>
      <c r="J12" s="258">
        <f>BS!R11</f>
        <v>84338.67256966421</v>
      </c>
      <c r="K12" s="258">
        <f>BS!S11</f>
        <v>113339.04409388624</v>
      </c>
      <c r="L12" s="258">
        <f>BS!T11</f>
        <v>62329.855011239255</v>
      </c>
      <c r="M12" s="258">
        <f>BS!U11</f>
        <v>119595.55855720089</v>
      </c>
      <c r="N12" s="258">
        <f>BS!V11</f>
        <v>104211.82996275507</v>
      </c>
      <c r="O12" s="258">
        <f>BS!W11</f>
        <v>110054.01216850527</v>
      </c>
      <c r="P12" s="258">
        <f>BS!X11</f>
        <v>94619.010428851208</v>
      </c>
      <c r="Q12" s="258">
        <f>BS!Y11</f>
        <v>105277.11276361525</v>
      </c>
      <c r="R12" s="258">
        <f>BS!Z11</f>
        <v>119279.71071805501</v>
      </c>
      <c r="S12" s="258">
        <f>BS!AA11</f>
        <v>141684.92736950549</v>
      </c>
      <c r="T12" s="258">
        <f>BS!AB11</f>
        <v>120621.24086650048</v>
      </c>
      <c r="U12" s="258">
        <f>BS!AC11</f>
        <v>115736.53843528709</v>
      </c>
    </row>
    <row r="13" spans="1:21" ht="12.6" x14ac:dyDescent="0.2">
      <c r="A13" s="255" t="s">
        <v>544</v>
      </c>
      <c r="B13" s="256" t="s">
        <v>254</v>
      </c>
      <c r="C13" s="258">
        <f>BS!K13</f>
        <v>68920.219302391502</v>
      </c>
      <c r="D13" s="258">
        <f>BS!L13</f>
        <v>80475.566452485626</v>
      </c>
      <c r="E13" s="258">
        <f>BS!M13</f>
        <v>56758.184392994845</v>
      </c>
      <c r="F13" s="258">
        <f>BS!N13</f>
        <v>54711.74265476421</v>
      </c>
      <c r="G13" s="258">
        <f>BS!O13</f>
        <v>76623.0076659162</v>
      </c>
      <c r="H13" s="258">
        <f>BS!P13</f>
        <v>47468.239723950501</v>
      </c>
      <c r="I13" s="258">
        <f>BS!Q13</f>
        <v>36216.880684050389</v>
      </c>
      <c r="J13" s="258">
        <f>BS!R13</f>
        <v>37900.133132947187</v>
      </c>
      <c r="K13" s="258">
        <f>BS!S13</f>
        <v>36304.967483782493</v>
      </c>
      <c r="L13" s="258">
        <f>BS!T13</f>
        <v>27166.304696607163</v>
      </c>
      <c r="M13" s="258">
        <f>BS!U13</f>
        <v>41096.459134022873</v>
      </c>
      <c r="N13" s="258">
        <f>BS!V13</f>
        <v>62941.236519117694</v>
      </c>
      <c r="O13" s="258">
        <f>BS!W13</f>
        <v>48011.053494214502</v>
      </c>
      <c r="P13" s="258">
        <f>BS!X13</f>
        <v>34652.967485929184</v>
      </c>
      <c r="Q13" s="258">
        <f>BS!Y13</f>
        <v>36730.901113667285</v>
      </c>
      <c r="R13" s="258">
        <f>BS!Z13</f>
        <v>73120.282322182189</v>
      </c>
      <c r="S13" s="258">
        <f>BS!AA13</f>
        <v>82215.256782280223</v>
      </c>
      <c r="T13" s="258">
        <f>BS!AB13</f>
        <v>72573.449239233232</v>
      </c>
      <c r="U13" s="258">
        <f>BS!AC13</f>
        <v>81584.396041293396</v>
      </c>
    </row>
    <row r="14" spans="1:21" ht="12.6" x14ac:dyDescent="0.2">
      <c r="A14" s="255" t="s">
        <v>545</v>
      </c>
      <c r="B14" s="256" t="s">
        <v>254</v>
      </c>
      <c r="C14" s="258">
        <f>BS!K32</f>
        <v>156883.35381415999</v>
      </c>
      <c r="D14" s="258">
        <f>BS!L32</f>
        <v>102072.62428136624</v>
      </c>
      <c r="E14" s="258">
        <f>BS!M32</f>
        <v>99880.546237067436</v>
      </c>
      <c r="F14" s="258">
        <f>BS!N32</f>
        <v>144808.7835209677</v>
      </c>
      <c r="G14" s="258">
        <f>BS!O32</f>
        <v>108571.86835556627</v>
      </c>
      <c r="H14" s="258">
        <f>BS!P32</f>
        <v>107137.44109218111</v>
      </c>
      <c r="I14" s="258">
        <f>BS!Q32</f>
        <v>93784.378428831129</v>
      </c>
      <c r="J14" s="258">
        <f>BS!R32</f>
        <v>59785.603658693013</v>
      </c>
      <c r="K14" s="258">
        <f>BS!S32</f>
        <v>77418.736803886582</v>
      </c>
      <c r="L14" s="258">
        <f>BS!T32</f>
        <v>39894.394255890045</v>
      </c>
      <c r="M14" s="258">
        <f>BS!U32</f>
        <v>65742.434996712182</v>
      </c>
      <c r="N14" s="258">
        <f>BS!V32</f>
        <v>88588.231435859678</v>
      </c>
      <c r="O14" s="258">
        <f>BS!W32</f>
        <v>93769.943817416817</v>
      </c>
      <c r="P14" s="258">
        <f>BS!X32</f>
        <v>78013.99335862197</v>
      </c>
      <c r="Q14" s="258">
        <f>BS!Y32</f>
        <v>88557.217452120283</v>
      </c>
      <c r="R14" s="258">
        <f>BS!Z32</f>
        <v>101155.4127949588</v>
      </c>
      <c r="S14" s="258">
        <f>BS!AA32</f>
        <v>125537.50506524724</v>
      </c>
      <c r="T14" s="258">
        <f>BS!AB32</f>
        <v>105592.24198401099</v>
      </c>
      <c r="U14" s="258">
        <f>BS!AC32</f>
        <v>102662.84608821773</v>
      </c>
    </row>
    <row r="15" spans="1:21" ht="12.6" x14ac:dyDescent="0.2">
      <c r="A15" s="252" t="s">
        <v>546</v>
      </c>
      <c r="B15" s="252"/>
      <c r="C15" s="252"/>
      <c r="D15" s="252"/>
      <c r="E15" s="252"/>
      <c r="F15" s="252"/>
      <c r="G15" s="252"/>
      <c r="H15" s="252"/>
      <c r="I15" s="252"/>
      <c r="J15" s="252"/>
      <c r="K15" s="252"/>
      <c r="L15" s="252"/>
      <c r="M15" s="252"/>
      <c r="N15" s="252"/>
      <c r="O15" s="252"/>
      <c r="P15" s="252"/>
      <c r="Q15" s="252"/>
      <c r="R15" s="252"/>
      <c r="S15" s="252"/>
      <c r="T15" s="252"/>
      <c r="U15" s="252"/>
    </row>
    <row r="16" spans="1:21" ht="12.6" x14ac:dyDescent="0.2">
      <c r="A16" s="255" t="s">
        <v>547</v>
      </c>
      <c r="B16" s="256" t="s">
        <v>110</v>
      </c>
      <c r="C16" s="261"/>
      <c r="D16" s="262">
        <f>D4/C4-1</f>
        <v>-0.22973545138388107</v>
      </c>
      <c r="E16" s="262">
        <f t="shared" ref="E16:M16" si="0">E4/D4-1</f>
        <v>5.0981993893215893E-2</v>
      </c>
      <c r="F16" s="262">
        <f t="shared" si="0"/>
        <v>-5.9857827652567419E-3</v>
      </c>
      <c r="G16" s="262">
        <f t="shared" si="0"/>
        <v>-3.183208703221474E-2</v>
      </c>
      <c r="H16" s="262">
        <f t="shared" si="0"/>
        <v>0.15003852913952498</v>
      </c>
      <c r="I16" s="262">
        <f t="shared" si="0"/>
        <v>-0.28441603084156086</v>
      </c>
      <c r="J16" s="262">
        <f t="shared" si="0"/>
        <v>-9.4239691314765839E-2</v>
      </c>
      <c r="K16" s="262">
        <f t="shared" si="0"/>
        <v>-5.9310087440903825E-2</v>
      </c>
      <c r="L16" s="262">
        <f t="shared" si="0"/>
        <v>-0.28457834742144572</v>
      </c>
      <c r="M16" s="262">
        <f t="shared" si="0"/>
        <v>0.78898971753073543</v>
      </c>
      <c r="N16" s="262">
        <f t="shared" ref="N16:R16" si="1">N4/M4-1</f>
        <v>5.2389158392665225E-2</v>
      </c>
      <c r="O16" s="262">
        <f t="shared" si="1"/>
        <v>5.1052932572615228E-2</v>
      </c>
      <c r="P16" s="262">
        <f t="shared" si="1"/>
        <v>-4.451360197281462E-2</v>
      </c>
      <c r="Q16" s="262">
        <f t="shared" si="1"/>
        <v>9.3080402001266549E-4</v>
      </c>
      <c r="R16" s="262">
        <f t="shared" si="1"/>
        <v>0.13792561174011531</v>
      </c>
      <c r="S16" s="262">
        <f>S4/R4-1</f>
        <v>-1.5647530934302156E-2</v>
      </c>
      <c r="T16" s="262">
        <f>T4/S4-1</f>
        <v>3.5637424356281144E-2</v>
      </c>
      <c r="U16" s="262">
        <f>U4/T4-1</f>
        <v>-2.1890420166768454E-2</v>
      </c>
    </row>
    <row r="17" spans="1:21" ht="12.6" x14ac:dyDescent="0.2">
      <c r="A17" s="255" t="s">
        <v>548</v>
      </c>
      <c r="B17" s="256" t="s">
        <v>110</v>
      </c>
      <c r="C17" s="262">
        <f>C5/C4</f>
        <v>3.3305683602687083E-2</v>
      </c>
      <c r="D17" s="262">
        <f t="shared" ref="D17:M17" si="2">D5/D4</f>
        <v>1.4690011572901359E-2</v>
      </c>
      <c r="E17" s="262">
        <f t="shared" si="2"/>
        <v>3.5598210330947053E-2</v>
      </c>
      <c r="F17" s="262">
        <f t="shared" si="2"/>
        <v>3.1996693113165491E-2</v>
      </c>
      <c r="G17" s="262">
        <f t="shared" si="2"/>
        <v>2.721818447140396E-2</v>
      </c>
      <c r="H17" s="262">
        <f t="shared" si="2"/>
        <v>1.1513177805664934E-2</v>
      </c>
      <c r="I17" s="262">
        <f t="shared" si="2"/>
        <v>-8.6705839821995378E-3</v>
      </c>
      <c r="J17" s="262">
        <f t="shared" si="2"/>
        <v>2.6058645747855682E-2</v>
      </c>
      <c r="K17" s="262">
        <f t="shared" si="2"/>
        <v>2.6380092651607057E-2</v>
      </c>
      <c r="L17" s="262">
        <f t="shared" si="2"/>
        <v>2.7175781913746415E-2</v>
      </c>
      <c r="M17" s="262">
        <f t="shared" si="2"/>
        <v>3.3971040807588185E-2</v>
      </c>
      <c r="N17" s="262">
        <f>N5/N4</f>
        <v>3.0079031031644058E-2</v>
      </c>
      <c r="O17" s="262">
        <f>O5/O4</f>
        <v>2.3495460618700462E-2</v>
      </c>
      <c r="P17" s="262">
        <f t="shared" ref="P17:Q17" si="3">P5/P4</f>
        <v>3.0747280050583508E-2</v>
      </c>
      <c r="Q17" s="262">
        <f t="shared" si="3"/>
        <v>3.8793646393725359E-2</v>
      </c>
      <c r="R17" s="262">
        <f>R5/R4</f>
        <v>2.9387430403551223E-2</v>
      </c>
      <c r="S17" s="262">
        <f>S5/S4</f>
        <v>1.7496909902118989E-2</v>
      </c>
      <c r="T17" s="262">
        <f>T5/T4</f>
        <v>7.2992507107644648E-3</v>
      </c>
      <c r="U17" s="262">
        <f>U5/U4</f>
        <v>2.204640582676709E-2</v>
      </c>
    </row>
    <row r="18" spans="1:21" ht="12.6" x14ac:dyDescent="0.2">
      <c r="A18" s="255" t="s">
        <v>549</v>
      </c>
      <c r="B18" s="256" t="s">
        <v>254</v>
      </c>
      <c r="C18" s="263">
        <f>C5/C6</f>
        <v>711.64666950605317</v>
      </c>
      <c r="D18" s="263">
        <f t="shared" ref="D18:M18" si="4">D5/D6</f>
        <v>303.892991820372</v>
      </c>
      <c r="E18" s="263">
        <f t="shared" si="4"/>
        <v>673.68119570149179</v>
      </c>
      <c r="F18" s="263">
        <f t="shared" si="4"/>
        <v>615.96814644195388</v>
      </c>
      <c r="G18" s="263">
        <f t="shared" si="4"/>
        <v>574.76405634534842</v>
      </c>
      <c r="H18" s="263">
        <f t="shared" si="4"/>
        <v>322.28081248239675</v>
      </c>
      <c r="I18" s="263">
        <f t="shared" si="4"/>
        <v>-153.92816547217345</v>
      </c>
      <c r="J18" s="263">
        <f t="shared" si="4"/>
        <v>513.16089163353217</v>
      </c>
      <c r="K18" s="263">
        <f t="shared" si="4"/>
        <v>474.7193722733557</v>
      </c>
      <c r="L18" s="263">
        <f t="shared" si="4"/>
        <v>363.35476671652327</v>
      </c>
      <c r="M18" s="263">
        <f t="shared" si="4"/>
        <v>711.28985936261063</v>
      </c>
      <c r="N18" s="263">
        <f>N5/N6</f>
        <v>650.55823990795056</v>
      </c>
      <c r="O18" s="263">
        <f>O5/O6</f>
        <v>530.89254409437194</v>
      </c>
      <c r="P18" s="263">
        <f t="shared" ref="P18:R18" si="5">P5/P6</f>
        <v>668.44370243891831</v>
      </c>
      <c r="Q18" s="263">
        <f t="shared" si="5"/>
        <v>783.61948777991154</v>
      </c>
      <c r="R18" s="263">
        <f t="shared" si="5"/>
        <v>643.47212809688517</v>
      </c>
      <c r="S18" s="263">
        <f t="shared" ref="S18:T18" si="6">S5/S6</f>
        <v>389.27752224206262</v>
      </c>
      <c r="T18" s="263">
        <f t="shared" si="6"/>
        <v>158.84680252391058</v>
      </c>
      <c r="U18" s="263">
        <f>U5/U6</f>
        <v>481.74182691892554</v>
      </c>
    </row>
    <row r="19" spans="1:21" ht="12.6" x14ac:dyDescent="0.2">
      <c r="A19" s="255" t="s">
        <v>550</v>
      </c>
      <c r="B19" s="256" t="s">
        <v>441</v>
      </c>
      <c r="C19" s="264">
        <f>(C7-C8)/(C5+C9)</f>
        <v>2.2195349616094608</v>
      </c>
      <c r="D19" s="264">
        <f t="shared" ref="D19:M19" si="7">(D7-D8)/(D5+D9)</f>
        <v>2.9650041918956656</v>
      </c>
      <c r="E19" s="264">
        <f t="shared" si="7"/>
        <v>2.485748999906241</v>
      </c>
      <c r="F19" s="264">
        <f t="shared" si="7"/>
        <v>1.9585403463275539</v>
      </c>
      <c r="G19" s="264">
        <f t="shared" si="7"/>
        <v>2.5865559313400475</v>
      </c>
      <c r="H19" s="264">
        <f t="shared" si="7"/>
        <v>3.2909563910051705</v>
      </c>
      <c r="I19" s="264">
        <f t="shared" si="7"/>
        <v>4.1151546696254107</v>
      </c>
      <c r="J19" s="264">
        <f t="shared" si="7"/>
        <v>1.93335498453444</v>
      </c>
      <c r="K19" s="264">
        <f t="shared" si="7"/>
        <v>2.6504090095953097</v>
      </c>
      <c r="L19" s="264">
        <f t="shared" si="7"/>
        <v>3.21596146684004</v>
      </c>
      <c r="M19" s="264">
        <f t="shared" si="7"/>
        <v>1.9965192492354826</v>
      </c>
      <c r="N19" s="264">
        <f>(N7-N8)/(N5+N9)</f>
        <v>1.3639833648356756</v>
      </c>
      <c r="O19" s="264">
        <f>(O7-O8)/(O5+O9)</f>
        <v>2.2196270805269016</v>
      </c>
      <c r="P19" s="264">
        <f t="shared" ref="P19:Q19" si="8">(P7-P8)/(P5+P9)</f>
        <v>0.54225972254415988</v>
      </c>
      <c r="Q19" s="264">
        <f t="shared" si="8"/>
        <v>0.66933909393532443</v>
      </c>
      <c r="R19" s="264">
        <f>(R7-R8)/(R5+R9)</f>
        <v>1.4388789778108446</v>
      </c>
      <c r="S19" s="264">
        <f>(S7-S8)/(S5+S9)</f>
        <v>2.4421024768402249</v>
      </c>
      <c r="T19" s="264">
        <f>(T7-T8)/(T5+T9)</f>
        <v>2.5193331403241634</v>
      </c>
      <c r="U19" s="264">
        <f>(U7-U8)/(U5+U9)</f>
        <v>1.6384925090064646</v>
      </c>
    </row>
    <row r="20" spans="1:21" ht="12.6" x14ac:dyDescent="0.2">
      <c r="A20" s="255" t="s">
        <v>551</v>
      </c>
      <c r="B20" s="256" t="s">
        <v>552</v>
      </c>
      <c r="C20" s="264">
        <f>(C12+C13-C14)/(C4/12)</f>
        <v>1.0039485713522012</v>
      </c>
      <c r="D20" s="264">
        <f t="shared" ref="D20:M20" si="9">(D12+D13-D14)/(D4/12)</f>
        <v>1.5391054200643177</v>
      </c>
      <c r="E20" s="264">
        <f t="shared" si="9"/>
        <v>1.9034948550179707</v>
      </c>
      <c r="F20" s="264">
        <f t="shared" si="9"/>
        <v>1.1377210017476478</v>
      </c>
      <c r="G20" s="264">
        <f t="shared" si="9"/>
        <v>1.3421750601976319</v>
      </c>
      <c r="H20" s="264">
        <f t="shared" si="9"/>
        <v>0.56389486573824121</v>
      </c>
      <c r="I20" s="264">
        <f t="shared" si="9"/>
        <v>0.86434888338510862</v>
      </c>
      <c r="J20" s="264">
        <f t="shared" si="9"/>
        <v>1.2541080242482736</v>
      </c>
      <c r="K20" s="264">
        <f t="shared" si="9"/>
        <v>1.5417819338678735</v>
      </c>
      <c r="L20" s="264">
        <f t="shared" si="9"/>
        <v>1.480024156740106</v>
      </c>
      <c r="M20" s="264">
        <f t="shared" si="9"/>
        <v>1.5836415414942029</v>
      </c>
      <c r="N20" s="264">
        <f t="shared" ref="N20:R20" si="10">(N12+N13-N14)/(N4/12)</f>
        <v>1.245132768617746</v>
      </c>
      <c r="O20" s="264">
        <f t="shared" si="10"/>
        <v>0.96948455610442463</v>
      </c>
      <c r="P20" s="264">
        <f t="shared" si="10"/>
        <v>0.80890941153780949</v>
      </c>
      <c r="Q20" s="264">
        <f t="shared" si="10"/>
        <v>0.84273006529679484</v>
      </c>
      <c r="R20" s="264">
        <f t="shared" si="10"/>
        <v>1.2642341361458855</v>
      </c>
      <c r="S20" s="264">
        <f t="shared" ref="S20:T20" si="11">(S12+S13-S14)/(S4/12)</f>
        <v>1.384522918434286</v>
      </c>
      <c r="T20" s="264">
        <f t="shared" si="11"/>
        <v>1.1906340740951262</v>
      </c>
      <c r="U20" s="264">
        <f>(U12+U13-U14)/(U4/12)</f>
        <v>1.3153225972160281</v>
      </c>
    </row>
    <row r="21" spans="1:21" ht="12.6" x14ac:dyDescent="0.2">
      <c r="A21" s="255" t="s">
        <v>553</v>
      </c>
      <c r="B21" s="256" t="s">
        <v>110</v>
      </c>
      <c r="C21" s="262">
        <f>C10/(C10+C11)</f>
        <v>0.29165955705729901</v>
      </c>
      <c r="D21" s="262">
        <f t="shared" ref="D21:U21" si="12">D10/(D10+D11)</f>
        <v>0.25366612136977112</v>
      </c>
      <c r="E21" s="262">
        <f t="shared" si="12"/>
        <v>0.33861025043571946</v>
      </c>
      <c r="F21" s="262">
        <f t="shared" si="12"/>
        <v>0.34444730258525513</v>
      </c>
      <c r="G21" s="262">
        <f t="shared" si="12"/>
        <v>0.30578414065591814</v>
      </c>
      <c r="H21" s="262">
        <f t="shared" si="12"/>
        <v>0.3316083097070136</v>
      </c>
      <c r="I21" s="262">
        <f t="shared" si="12"/>
        <v>0.3772135712714032</v>
      </c>
      <c r="J21" s="262">
        <f t="shared" si="12"/>
        <v>0.36297698092620129</v>
      </c>
      <c r="K21" s="262">
        <f t="shared" si="12"/>
        <v>0.36356212028451673</v>
      </c>
      <c r="L21" s="262">
        <f t="shared" si="12"/>
        <v>0.34343307611570906</v>
      </c>
      <c r="M21" s="262">
        <f t="shared" si="12"/>
        <v>0.37058232793944801</v>
      </c>
      <c r="N21" s="262">
        <f>N10/(N10+N11)</f>
        <v>0.37882487864857706</v>
      </c>
      <c r="O21" s="262">
        <f>O10/(O10+O11)</f>
        <v>0.36957161528169885</v>
      </c>
      <c r="P21" s="262">
        <f>P10/(P10+P11)</f>
        <v>0.41763147592598654</v>
      </c>
      <c r="Q21" s="262">
        <f>Q10/(Q10+Q11)</f>
        <v>0.41627689038530374</v>
      </c>
      <c r="R21" s="262">
        <f t="shared" ref="R21:S21" si="13">R10/(R10+R11)</f>
        <v>0.43730355055163883</v>
      </c>
      <c r="S21" s="262">
        <f t="shared" si="13"/>
        <v>0.47379431333808369</v>
      </c>
      <c r="T21" s="262">
        <f t="shared" ref="T21" si="14">T10/(T10+T11)</f>
        <v>0.42667295497517477</v>
      </c>
      <c r="U21" s="262">
        <f t="shared" si="12"/>
        <v>0.41640449458508638</v>
      </c>
    </row>
    <row r="23" spans="1:21" x14ac:dyDescent="0.2">
      <c r="A23" s="286"/>
      <c r="B23" s="287"/>
      <c r="C23" s="287"/>
      <c r="D23" s="287"/>
      <c r="E23" s="287"/>
      <c r="F23" s="287"/>
      <c r="G23" s="287"/>
      <c r="H23" s="287"/>
      <c r="I23" s="288"/>
      <c r="J23" s="286"/>
      <c r="K23" s="287"/>
      <c r="L23" s="287"/>
      <c r="M23" s="287"/>
      <c r="N23" s="287"/>
      <c r="O23" s="287"/>
      <c r="P23" s="287"/>
      <c r="Q23" s="287"/>
      <c r="R23" s="287"/>
      <c r="S23" s="287"/>
      <c r="T23" s="287"/>
      <c r="U23" s="288"/>
    </row>
    <row r="24" spans="1:21" x14ac:dyDescent="0.2">
      <c r="A24" s="289"/>
      <c r="B24" s="290"/>
      <c r="C24" s="290"/>
      <c r="D24" s="290"/>
      <c r="E24" s="290"/>
      <c r="F24" s="290"/>
      <c r="G24" s="290"/>
      <c r="H24" s="290"/>
      <c r="I24" s="291"/>
      <c r="J24" s="289"/>
      <c r="K24" s="290"/>
      <c r="L24" s="290"/>
      <c r="M24" s="290"/>
      <c r="N24" s="290"/>
      <c r="O24" s="290"/>
      <c r="P24" s="290"/>
      <c r="Q24" s="290"/>
      <c r="R24" s="290"/>
      <c r="S24" s="290"/>
      <c r="T24" s="290"/>
      <c r="U24" s="291"/>
    </row>
    <row r="25" spans="1:21" x14ac:dyDescent="0.2">
      <c r="A25" s="289"/>
      <c r="B25" s="290"/>
      <c r="C25" s="290"/>
      <c r="D25" s="290"/>
      <c r="E25" s="290"/>
      <c r="F25" s="290"/>
      <c r="G25" s="290"/>
      <c r="H25" s="290"/>
      <c r="I25" s="291"/>
      <c r="J25" s="289"/>
      <c r="K25" s="290"/>
      <c r="L25" s="290"/>
      <c r="M25" s="290"/>
      <c r="N25" s="290"/>
      <c r="O25" s="290"/>
      <c r="P25" s="290"/>
      <c r="Q25" s="290"/>
      <c r="R25" s="290"/>
      <c r="S25" s="290"/>
      <c r="T25" s="290"/>
      <c r="U25" s="291"/>
    </row>
    <row r="26" spans="1:21" x14ac:dyDescent="0.2">
      <c r="A26" s="289"/>
      <c r="B26" s="290"/>
      <c r="C26" s="290"/>
      <c r="D26" s="290"/>
      <c r="E26" s="290"/>
      <c r="F26" s="290"/>
      <c r="G26" s="290"/>
      <c r="H26" s="290"/>
      <c r="I26" s="291"/>
      <c r="J26" s="289"/>
      <c r="K26" s="290"/>
      <c r="L26" s="290"/>
      <c r="M26" s="290"/>
      <c r="N26" s="290"/>
      <c r="O26" s="290"/>
      <c r="P26" s="290"/>
      <c r="Q26" s="290"/>
      <c r="R26" s="290"/>
      <c r="S26" s="290"/>
      <c r="T26" s="290"/>
      <c r="U26" s="291"/>
    </row>
    <row r="27" spans="1:21" x14ac:dyDescent="0.2">
      <c r="A27" s="289"/>
      <c r="B27" s="290"/>
      <c r="C27" s="290"/>
      <c r="D27" s="290"/>
      <c r="E27" s="290"/>
      <c r="F27" s="290"/>
      <c r="G27" s="290"/>
      <c r="H27" s="290"/>
      <c r="I27" s="291"/>
      <c r="J27" s="289"/>
      <c r="K27" s="290"/>
      <c r="L27" s="290"/>
      <c r="M27" s="290"/>
      <c r="N27" s="290"/>
      <c r="O27" s="290"/>
      <c r="P27" s="290"/>
      <c r="Q27" s="290"/>
      <c r="R27" s="290"/>
      <c r="S27" s="290"/>
      <c r="T27" s="290"/>
      <c r="U27" s="291"/>
    </row>
    <row r="28" spans="1:21" x14ac:dyDescent="0.2">
      <c r="A28" s="289"/>
      <c r="B28" s="290"/>
      <c r="C28" s="290"/>
      <c r="D28" s="290"/>
      <c r="E28" s="290"/>
      <c r="F28" s="290"/>
      <c r="G28" s="290"/>
      <c r="H28" s="290"/>
      <c r="I28" s="291"/>
      <c r="J28" s="289"/>
      <c r="K28" s="290"/>
      <c r="L28" s="290"/>
      <c r="M28" s="290"/>
      <c r="N28" s="290"/>
      <c r="O28" s="290"/>
      <c r="P28" s="290"/>
      <c r="Q28" s="290"/>
      <c r="R28" s="290"/>
      <c r="S28" s="290"/>
      <c r="T28" s="290"/>
      <c r="U28" s="291"/>
    </row>
    <row r="29" spans="1:21" x14ac:dyDescent="0.2">
      <c r="A29" s="289"/>
      <c r="B29" s="290"/>
      <c r="C29" s="290"/>
      <c r="D29" s="290"/>
      <c r="E29" s="290"/>
      <c r="F29" s="290"/>
      <c r="G29" s="290"/>
      <c r="H29" s="290"/>
      <c r="I29" s="291"/>
      <c r="J29" s="289"/>
      <c r="K29" s="290"/>
      <c r="L29" s="290"/>
      <c r="M29" s="290"/>
      <c r="N29" s="290"/>
      <c r="O29" s="290"/>
      <c r="P29" s="290"/>
      <c r="Q29" s="290"/>
      <c r="R29" s="290"/>
      <c r="S29" s="290"/>
      <c r="T29" s="290"/>
      <c r="U29" s="291"/>
    </row>
    <row r="30" spans="1:21" x14ac:dyDescent="0.2">
      <c r="A30" s="289"/>
      <c r="B30" s="290"/>
      <c r="C30" s="290"/>
      <c r="D30" s="290"/>
      <c r="E30" s="290"/>
      <c r="F30" s="290"/>
      <c r="G30" s="290"/>
      <c r="H30" s="290"/>
      <c r="I30" s="291"/>
      <c r="J30" s="289"/>
      <c r="K30" s="290"/>
      <c r="L30" s="290"/>
      <c r="M30" s="290"/>
      <c r="N30" s="290"/>
      <c r="O30" s="290"/>
      <c r="P30" s="290"/>
      <c r="Q30" s="290"/>
      <c r="R30" s="290"/>
      <c r="S30" s="290"/>
      <c r="T30" s="290"/>
      <c r="U30" s="291"/>
    </row>
    <row r="31" spans="1:21" x14ac:dyDescent="0.2">
      <c r="A31" s="289"/>
      <c r="B31" s="290"/>
      <c r="C31" s="290"/>
      <c r="D31" s="290"/>
      <c r="E31" s="290"/>
      <c r="F31" s="290"/>
      <c r="G31" s="290"/>
      <c r="H31" s="290"/>
      <c r="I31" s="291"/>
      <c r="J31" s="289"/>
      <c r="K31" s="290"/>
      <c r="L31" s="290"/>
      <c r="M31" s="290"/>
      <c r="N31" s="290"/>
      <c r="O31" s="290"/>
      <c r="P31" s="290"/>
      <c r="Q31" s="290"/>
      <c r="R31" s="290"/>
      <c r="S31" s="290"/>
      <c r="T31" s="290"/>
      <c r="U31" s="291"/>
    </row>
    <row r="32" spans="1:21" x14ac:dyDescent="0.2">
      <c r="A32" s="289"/>
      <c r="B32" s="290"/>
      <c r="C32" s="290"/>
      <c r="D32" s="290"/>
      <c r="E32" s="290"/>
      <c r="F32" s="290"/>
      <c r="G32" s="290"/>
      <c r="H32" s="290"/>
      <c r="I32" s="291"/>
      <c r="J32" s="289"/>
      <c r="K32" s="290"/>
      <c r="L32" s="290"/>
      <c r="M32" s="290"/>
      <c r="N32" s="290"/>
      <c r="O32" s="290"/>
      <c r="P32" s="290"/>
      <c r="Q32" s="290"/>
      <c r="R32" s="290"/>
      <c r="S32" s="290"/>
      <c r="T32" s="290"/>
      <c r="U32" s="291"/>
    </row>
    <row r="33" spans="1:21" x14ac:dyDescent="0.2">
      <c r="A33" s="289"/>
      <c r="B33" s="290"/>
      <c r="C33" s="290"/>
      <c r="D33" s="290"/>
      <c r="E33" s="290"/>
      <c r="F33" s="290"/>
      <c r="G33" s="290"/>
      <c r="H33" s="290"/>
      <c r="I33" s="291"/>
      <c r="J33" s="289"/>
      <c r="K33" s="290"/>
      <c r="L33" s="290"/>
      <c r="M33" s="290"/>
      <c r="N33" s="290"/>
      <c r="O33" s="290"/>
      <c r="P33" s="290"/>
      <c r="Q33" s="290"/>
      <c r="R33" s="290"/>
      <c r="S33" s="290"/>
      <c r="T33" s="290"/>
      <c r="U33" s="291"/>
    </row>
    <row r="34" spans="1:21" x14ac:dyDescent="0.2">
      <c r="A34" s="289"/>
      <c r="B34" s="290"/>
      <c r="C34" s="290"/>
      <c r="D34" s="290"/>
      <c r="E34" s="290"/>
      <c r="F34" s="290"/>
      <c r="G34" s="290"/>
      <c r="H34" s="290"/>
      <c r="I34" s="291"/>
      <c r="J34" s="289"/>
      <c r="K34" s="290"/>
      <c r="L34" s="290"/>
      <c r="M34" s="290"/>
      <c r="N34" s="290"/>
      <c r="O34" s="290"/>
      <c r="P34" s="290"/>
      <c r="Q34" s="290"/>
      <c r="R34" s="290"/>
      <c r="S34" s="290"/>
      <c r="T34" s="290"/>
      <c r="U34" s="291"/>
    </row>
    <row r="35" spans="1:21" x14ac:dyDescent="0.2">
      <c r="A35" s="289"/>
      <c r="B35" s="290"/>
      <c r="C35" s="290"/>
      <c r="D35" s="290"/>
      <c r="E35" s="290"/>
      <c r="F35" s="290"/>
      <c r="G35" s="290"/>
      <c r="H35" s="290"/>
      <c r="I35" s="291"/>
      <c r="J35" s="289"/>
      <c r="K35" s="290"/>
      <c r="L35" s="290"/>
      <c r="M35" s="290"/>
      <c r="N35" s="290"/>
      <c r="O35" s="290"/>
      <c r="P35" s="290"/>
      <c r="Q35" s="290"/>
      <c r="R35" s="290"/>
      <c r="S35" s="290"/>
      <c r="T35" s="290"/>
      <c r="U35" s="291"/>
    </row>
    <row r="36" spans="1:21" x14ac:dyDescent="0.2">
      <c r="A36" s="289"/>
      <c r="B36" s="290"/>
      <c r="C36" s="290"/>
      <c r="D36" s="290"/>
      <c r="E36" s="290"/>
      <c r="F36" s="290"/>
      <c r="G36" s="290"/>
      <c r="H36" s="290"/>
      <c r="I36" s="291"/>
      <c r="J36" s="289"/>
      <c r="K36" s="290"/>
      <c r="L36" s="290"/>
      <c r="M36" s="290"/>
      <c r="N36" s="290"/>
      <c r="O36" s="290"/>
      <c r="P36" s="290"/>
      <c r="Q36" s="290"/>
      <c r="R36" s="290"/>
      <c r="S36" s="290"/>
      <c r="T36" s="290"/>
      <c r="U36" s="291"/>
    </row>
    <row r="37" spans="1:21" x14ac:dyDescent="0.2">
      <c r="A37" s="289"/>
      <c r="B37" s="290"/>
      <c r="C37" s="290"/>
      <c r="D37" s="290"/>
      <c r="E37" s="290"/>
      <c r="F37" s="290"/>
      <c r="G37" s="290"/>
      <c r="H37" s="290"/>
      <c r="I37" s="291"/>
      <c r="J37" s="289"/>
      <c r="K37" s="290"/>
      <c r="L37" s="290"/>
      <c r="M37" s="290"/>
      <c r="N37" s="290"/>
      <c r="O37" s="290"/>
      <c r="P37" s="290"/>
      <c r="Q37" s="290"/>
      <c r="R37" s="290"/>
      <c r="S37" s="290"/>
      <c r="T37" s="290"/>
      <c r="U37" s="291"/>
    </row>
    <row r="38" spans="1:21" x14ac:dyDescent="0.2">
      <c r="A38" s="289"/>
      <c r="B38" s="290"/>
      <c r="C38" s="290"/>
      <c r="D38" s="290"/>
      <c r="E38" s="290"/>
      <c r="F38" s="290"/>
      <c r="G38" s="290"/>
      <c r="H38" s="290"/>
      <c r="I38" s="291"/>
      <c r="J38" s="289"/>
      <c r="K38" s="290"/>
      <c r="L38" s="290"/>
      <c r="M38" s="290"/>
      <c r="N38" s="290"/>
      <c r="O38" s="290"/>
      <c r="P38" s="290"/>
      <c r="Q38" s="290"/>
      <c r="R38" s="290"/>
      <c r="S38" s="290"/>
      <c r="T38" s="290"/>
      <c r="U38" s="291"/>
    </row>
    <row r="39" spans="1:21" x14ac:dyDescent="0.2">
      <c r="A39" s="289"/>
      <c r="B39" s="290"/>
      <c r="C39" s="290"/>
      <c r="D39" s="290"/>
      <c r="E39" s="290"/>
      <c r="F39" s="290"/>
      <c r="G39" s="290"/>
      <c r="H39" s="290"/>
      <c r="I39" s="291"/>
      <c r="J39" s="289"/>
      <c r="K39" s="290"/>
      <c r="L39" s="290"/>
      <c r="M39" s="290"/>
      <c r="N39" s="290"/>
      <c r="O39" s="290"/>
      <c r="P39" s="290"/>
      <c r="Q39" s="290"/>
      <c r="R39" s="290"/>
      <c r="S39" s="290"/>
      <c r="T39" s="290"/>
      <c r="U39" s="291"/>
    </row>
    <row r="40" spans="1:21" x14ac:dyDescent="0.2">
      <c r="A40" s="289"/>
      <c r="B40" s="290"/>
      <c r="C40" s="290"/>
      <c r="D40" s="290"/>
      <c r="E40" s="290"/>
      <c r="F40" s="290"/>
      <c r="G40" s="290"/>
      <c r="H40" s="290"/>
      <c r="I40" s="291"/>
      <c r="J40" s="289"/>
      <c r="K40" s="290"/>
      <c r="L40" s="290"/>
      <c r="M40" s="290"/>
      <c r="N40" s="290"/>
      <c r="O40" s="290"/>
      <c r="P40" s="290"/>
      <c r="Q40" s="290"/>
      <c r="R40" s="290"/>
      <c r="S40" s="290"/>
      <c r="T40" s="290"/>
      <c r="U40" s="291"/>
    </row>
    <row r="41" spans="1:21" x14ac:dyDescent="0.2">
      <c r="A41" s="289"/>
      <c r="B41" s="290"/>
      <c r="C41" s="290"/>
      <c r="D41" s="290"/>
      <c r="E41" s="290"/>
      <c r="F41" s="290"/>
      <c r="G41" s="290"/>
      <c r="H41" s="290"/>
      <c r="I41" s="291"/>
      <c r="J41" s="289"/>
      <c r="K41" s="290"/>
      <c r="L41" s="290"/>
      <c r="M41" s="290"/>
      <c r="N41" s="290"/>
      <c r="O41" s="290"/>
      <c r="P41" s="290"/>
      <c r="Q41" s="290"/>
      <c r="R41" s="290"/>
      <c r="S41" s="290"/>
      <c r="T41" s="290"/>
      <c r="U41" s="291"/>
    </row>
    <row r="42" spans="1:21" x14ac:dyDescent="0.2">
      <c r="A42" s="289"/>
      <c r="B42" s="290"/>
      <c r="C42" s="290"/>
      <c r="D42" s="290"/>
      <c r="E42" s="290"/>
      <c r="F42" s="290"/>
      <c r="G42" s="290"/>
      <c r="H42" s="290"/>
      <c r="I42" s="291"/>
      <c r="J42" s="289"/>
      <c r="K42" s="290"/>
      <c r="L42" s="290"/>
      <c r="M42" s="290"/>
      <c r="N42" s="290"/>
      <c r="O42" s="290"/>
      <c r="P42" s="290"/>
      <c r="Q42" s="290"/>
      <c r="R42" s="290"/>
      <c r="S42" s="290"/>
      <c r="T42" s="290"/>
      <c r="U42" s="291"/>
    </row>
    <row r="43" spans="1:21" x14ac:dyDescent="0.2">
      <c r="A43" s="292"/>
      <c r="B43" s="293"/>
      <c r="C43" s="293"/>
      <c r="D43" s="293"/>
      <c r="E43" s="293"/>
      <c r="F43" s="293"/>
      <c r="G43" s="293"/>
      <c r="H43" s="293"/>
      <c r="I43" s="294"/>
      <c r="J43" s="292"/>
      <c r="K43" s="293"/>
      <c r="L43" s="293"/>
      <c r="M43" s="293"/>
      <c r="N43" s="293"/>
      <c r="O43" s="293"/>
      <c r="P43" s="293"/>
      <c r="Q43" s="293"/>
      <c r="R43" s="293"/>
      <c r="S43" s="293"/>
      <c r="T43" s="293"/>
      <c r="U43" s="294"/>
    </row>
    <row r="44" spans="1:21" x14ac:dyDescent="0.2">
      <c r="A44" s="286"/>
      <c r="B44" s="287"/>
      <c r="C44" s="287"/>
      <c r="D44" s="287"/>
      <c r="E44" s="287"/>
      <c r="F44" s="287"/>
      <c r="G44" s="287"/>
      <c r="H44" s="287"/>
      <c r="I44" s="288"/>
      <c r="J44" s="286"/>
      <c r="K44" s="287"/>
      <c r="L44" s="287"/>
      <c r="M44" s="287"/>
      <c r="N44" s="287"/>
      <c r="O44" s="287"/>
      <c r="P44" s="287"/>
      <c r="Q44" s="287"/>
      <c r="R44" s="287"/>
      <c r="S44" s="287"/>
      <c r="T44" s="287"/>
      <c r="U44" s="288"/>
    </row>
    <row r="45" spans="1:21" x14ac:dyDescent="0.2">
      <c r="A45" s="289"/>
      <c r="B45" s="290"/>
      <c r="C45" s="290"/>
      <c r="D45" s="290"/>
      <c r="E45" s="290"/>
      <c r="F45" s="290"/>
      <c r="G45" s="290"/>
      <c r="H45" s="290"/>
      <c r="I45" s="291"/>
      <c r="J45" s="289"/>
      <c r="K45" s="290"/>
      <c r="L45" s="290"/>
      <c r="M45" s="290"/>
      <c r="N45" s="290"/>
      <c r="O45" s="290"/>
      <c r="P45" s="290"/>
      <c r="Q45" s="290"/>
      <c r="R45" s="290"/>
      <c r="S45" s="290"/>
      <c r="T45" s="290"/>
      <c r="U45" s="291"/>
    </row>
    <row r="46" spans="1:21" x14ac:dyDescent="0.2">
      <c r="A46" s="289"/>
      <c r="B46" s="290"/>
      <c r="C46" s="290"/>
      <c r="D46" s="290"/>
      <c r="E46" s="290"/>
      <c r="F46" s="290"/>
      <c r="G46" s="290"/>
      <c r="H46" s="290"/>
      <c r="I46" s="291"/>
      <c r="J46" s="289"/>
      <c r="K46" s="290"/>
      <c r="L46" s="290"/>
      <c r="M46" s="290"/>
      <c r="N46" s="290"/>
      <c r="O46" s="290"/>
      <c r="P46" s="290"/>
      <c r="Q46" s="290"/>
      <c r="R46" s="290"/>
      <c r="S46" s="290"/>
      <c r="T46" s="290"/>
      <c r="U46" s="291"/>
    </row>
    <row r="47" spans="1:21" x14ac:dyDescent="0.2">
      <c r="A47" s="289"/>
      <c r="B47" s="290"/>
      <c r="C47" s="290"/>
      <c r="D47" s="290"/>
      <c r="E47" s="290"/>
      <c r="F47" s="290"/>
      <c r="G47" s="290"/>
      <c r="H47" s="290"/>
      <c r="I47" s="291"/>
      <c r="J47" s="289"/>
      <c r="K47" s="290"/>
      <c r="L47" s="290"/>
      <c r="M47" s="290"/>
      <c r="N47" s="290"/>
      <c r="O47" s="290"/>
      <c r="P47" s="290"/>
      <c r="Q47" s="290"/>
      <c r="R47" s="290"/>
      <c r="S47" s="290"/>
      <c r="T47" s="290"/>
      <c r="U47" s="291"/>
    </row>
    <row r="48" spans="1:21" x14ac:dyDescent="0.2">
      <c r="A48" s="289"/>
      <c r="B48" s="290"/>
      <c r="C48" s="290"/>
      <c r="D48" s="290"/>
      <c r="E48" s="290"/>
      <c r="F48" s="290"/>
      <c r="G48" s="290"/>
      <c r="H48" s="290"/>
      <c r="I48" s="291"/>
      <c r="J48" s="289"/>
      <c r="K48" s="290"/>
      <c r="L48" s="290"/>
      <c r="M48" s="290"/>
      <c r="N48" s="290"/>
      <c r="O48" s="290"/>
      <c r="P48" s="290"/>
      <c r="Q48" s="290"/>
      <c r="R48" s="290"/>
      <c r="S48" s="290"/>
      <c r="T48" s="290"/>
      <c r="U48" s="291"/>
    </row>
    <row r="49" spans="1:21" x14ac:dyDescent="0.2">
      <c r="A49" s="289"/>
      <c r="B49" s="290"/>
      <c r="C49" s="290"/>
      <c r="D49" s="290"/>
      <c r="E49" s="290"/>
      <c r="F49" s="290"/>
      <c r="G49" s="290"/>
      <c r="H49" s="290"/>
      <c r="I49" s="291"/>
      <c r="J49" s="289"/>
      <c r="K49" s="290"/>
      <c r="L49" s="290"/>
      <c r="M49" s="290"/>
      <c r="N49" s="290"/>
      <c r="O49" s="290"/>
      <c r="P49" s="290"/>
      <c r="Q49" s="290"/>
      <c r="R49" s="290"/>
      <c r="S49" s="290"/>
      <c r="T49" s="290"/>
      <c r="U49" s="291"/>
    </row>
    <row r="50" spans="1:21" x14ac:dyDescent="0.2">
      <c r="A50" s="289"/>
      <c r="B50" s="290"/>
      <c r="C50" s="290"/>
      <c r="D50" s="290"/>
      <c r="E50" s="290"/>
      <c r="F50" s="290"/>
      <c r="G50" s="290"/>
      <c r="H50" s="290"/>
      <c r="I50" s="291"/>
      <c r="J50" s="289"/>
      <c r="K50" s="290"/>
      <c r="L50" s="290"/>
      <c r="M50" s="290"/>
      <c r="N50" s="290"/>
      <c r="O50" s="290"/>
      <c r="P50" s="290"/>
      <c r="Q50" s="290"/>
      <c r="R50" s="290"/>
      <c r="S50" s="290"/>
      <c r="T50" s="290"/>
      <c r="U50" s="291"/>
    </row>
    <row r="51" spans="1:21" x14ac:dyDescent="0.2">
      <c r="A51" s="289"/>
      <c r="B51" s="290"/>
      <c r="C51" s="290"/>
      <c r="D51" s="290"/>
      <c r="E51" s="290"/>
      <c r="F51" s="290"/>
      <c r="G51" s="290"/>
      <c r="H51" s="290"/>
      <c r="I51" s="291"/>
      <c r="J51" s="289"/>
      <c r="K51" s="290"/>
      <c r="L51" s="290"/>
      <c r="M51" s="290"/>
      <c r="N51" s="290"/>
      <c r="O51" s="290"/>
      <c r="P51" s="290"/>
      <c r="Q51" s="290"/>
      <c r="R51" s="290"/>
      <c r="S51" s="290"/>
      <c r="T51" s="290"/>
      <c r="U51" s="291"/>
    </row>
    <row r="52" spans="1:21" x14ac:dyDescent="0.2">
      <c r="A52" s="289"/>
      <c r="B52" s="290"/>
      <c r="C52" s="290"/>
      <c r="D52" s="290"/>
      <c r="E52" s="290"/>
      <c r="F52" s="290"/>
      <c r="G52" s="290"/>
      <c r="H52" s="290"/>
      <c r="I52" s="291"/>
      <c r="J52" s="289"/>
      <c r="K52" s="290"/>
      <c r="L52" s="290"/>
      <c r="M52" s="290"/>
      <c r="N52" s="290"/>
      <c r="O52" s="290"/>
      <c r="P52" s="290"/>
      <c r="Q52" s="290"/>
      <c r="R52" s="290"/>
      <c r="S52" s="290"/>
      <c r="T52" s="290"/>
      <c r="U52" s="291"/>
    </row>
    <row r="53" spans="1:21" x14ac:dyDescent="0.2">
      <c r="A53" s="289"/>
      <c r="B53" s="290"/>
      <c r="C53" s="290"/>
      <c r="D53" s="290"/>
      <c r="E53" s="290"/>
      <c r="F53" s="290"/>
      <c r="G53" s="290"/>
      <c r="H53" s="290"/>
      <c r="I53" s="291"/>
      <c r="J53" s="289"/>
      <c r="K53" s="290"/>
      <c r="L53" s="290"/>
      <c r="M53" s="290"/>
      <c r="N53" s="290"/>
      <c r="O53" s="290"/>
      <c r="P53" s="290"/>
      <c r="Q53" s="290"/>
      <c r="R53" s="290"/>
      <c r="S53" s="290"/>
      <c r="T53" s="290"/>
      <c r="U53" s="291"/>
    </row>
    <row r="54" spans="1:21" x14ac:dyDescent="0.2">
      <c r="A54" s="289"/>
      <c r="B54" s="290"/>
      <c r="C54" s="290"/>
      <c r="D54" s="290"/>
      <c r="E54" s="290"/>
      <c r="F54" s="290"/>
      <c r="G54" s="290"/>
      <c r="H54" s="290"/>
      <c r="I54" s="291"/>
      <c r="J54" s="289"/>
      <c r="K54" s="290"/>
      <c r="L54" s="290"/>
      <c r="M54" s="290"/>
      <c r="N54" s="290"/>
      <c r="O54" s="290"/>
      <c r="P54" s="290"/>
      <c r="Q54" s="290"/>
      <c r="R54" s="290"/>
      <c r="S54" s="290"/>
      <c r="T54" s="290"/>
      <c r="U54" s="291"/>
    </row>
    <row r="55" spans="1:21" x14ac:dyDescent="0.2">
      <c r="A55" s="289"/>
      <c r="B55" s="290"/>
      <c r="C55" s="290"/>
      <c r="D55" s="290"/>
      <c r="E55" s="290"/>
      <c r="F55" s="290"/>
      <c r="G55" s="290"/>
      <c r="H55" s="290"/>
      <c r="I55" s="291"/>
      <c r="J55" s="289"/>
      <c r="K55" s="290"/>
      <c r="L55" s="290"/>
      <c r="M55" s="290"/>
      <c r="N55" s="290"/>
      <c r="O55" s="290"/>
      <c r="P55" s="290"/>
      <c r="Q55" s="290"/>
      <c r="R55" s="290"/>
      <c r="S55" s="290"/>
      <c r="T55" s="290"/>
      <c r="U55" s="291"/>
    </row>
    <row r="56" spans="1:21" x14ac:dyDescent="0.2">
      <c r="A56" s="289"/>
      <c r="B56" s="290"/>
      <c r="C56" s="290"/>
      <c r="D56" s="290"/>
      <c r="E56" s="290"/>
      <c r="F56" s="290"/>
      <c r="G56" s="290"/>
      <c r="H56" s="290"/>
      <c r="I56" s="291"/>
      <c r="J56" s="289"/>
      <c r="K56" s="290"/>
      <c r="L56" s="290"/>
      <c r="M56" s="290"/>
      <c r="N56" s="290"/>
      <c r="O56" s="290"/>
      <c r="P56" s="290"/>
      <c r="Q56" s="290"/>
      <c r="R56" s="290"/>
      <c r="S56" s="290"/>
      <c r="T56" s="290"/>
      <c r="U56" s="291"/>
    </row>
    <row r="57" spans="1:21" x14ac:dyDescent="0.2">
      <c r="A57" s="289"/>
      <c r="B57" s="290"/>
      <c r="C57" s="290"/>
      <c r="D57" s="290"/>
      <c r="E57" s="290"/>
      <c r="F57" s="290"/>
      <c r="G57" s="290"/>
      <c r="H57" s="290"/>
      <c r="I57" s="291"/>
      <c r="J57" s="289"/>
      <c r="K57" s="290"/>
      <c r="L57" s="290"/>
      <c r="M57" s="290"/>
      <c r="N57" s="290"/>
      <c r="O57" s="290"/>
      <c r="P57" s="290"/>
      <c r="Q57" s="290"/>
      <c r="R57" s="290"/>
      <c r="S57" s="290"/>
      <c r="T57" s="290"/>
      <c r="U57" s="291"/>
    </row>
    <row r="58" spans="1:21" x14ac:dyDescent="0.2">
      <c r="A58" s="289"/>
      <c r="B58" s="290"/>
      <c r="C58" s="290"/>
      <c r="D58" s="290"/>
      <c r="E58" s="290"/>
      <c r="F58" s="290"/>
      <c r="G58" s="290"/>
      <c r="H58" s="290"/>
      <c r="I58" s="291"/>
      <c r="J58" s="289"/>
      <c r="K58" s="290"/>
      <c r="L58" s="290"/>
      <c r="M58" s="290"/>
      <c r="N58" s="290"/>
      <c r="O58" s="290"/>
      <c r="P58" s="290"/>
      <c r="Q58" s="290"/>
      <c r="R58" s="290"/>
      <c r="S58" s="290"/>
      <c r="T58" s="290"/>
      <c r="U58" s="291"/>
    </row>
    <row r="59" spans="1:21" x14ac:dyDescent="0.2">
      <c r="A59" s="289"/>
      <c r="B59" s="290"/>
      <c r="C59" s="290"/>
      <c r="D59" s="290"/>
      <c r="E59" s="290"/>
      <c r="F59" s="290"/>
      <c r="G59" s="290"/>
      <c r="H59" s="290"/>
      <c r="I59" s="291"/>
      <c r="J59" s="289"/>
      <c r="K59" s="290"/>
      <c r="L59" s="290"/>
      <c r="M59" s="290"/>
      <c r="N59" s="290"/>
      <c r="O59" s="290"/>
      <c r="P59" s="290"/>
      <c r="Q59" s="290"/>
      <c r="R59" s="290"/>
      <c r="S59" s="290"/>
      <c r="T59" s="290"/>
      <c r="U59" s="291"/>
    </row>
    <row r="60" spans="1:21" x14ac:dyDescent="0.2">
      <c r="A60" s="289"/>
      <c r="B60" s="290"/>
      <c r="C60" s="290"/>
      <c r="D60" s="290"/>
      <c r="E60" s="290"/>
      <c r="F60" s="290"/>
      <c r="G60" s="290"/>
      <c r="H60" s="290"/>
      <c r="I60" s="291"/>
      <c r="J60" s="289"/>
      <c r="K60" s="290"/>
      <c r="L60" s="290"/>
      <c r="M60" s="290"/>
      <c r="N60" s="290"/>
      <c r="O60" s="290"/>
      <c r="P60" s="290"/>
      <c r="Q60" s="290"/>
      <c r="R60" s="290"/>
      <c r="S60" s="290"/>
      <c r="T60" s="290"/>
      <c r="U60" s="291"/>
    </row>
    <row r="61" spans="1:21" x14ac:dyDescent="0.2">
      <c r="A61" s="289"/>
      <c r="B61" s="290"/>
      <c r="C61" s="290"/>
      <c r="D61" s="290"/>
      <c r="E61" s="290"/>
      <c r="F61" s="290"/>
      <c r="G61" s="290"/>
      <c r="H61" s="290"/>
      <c r="I61" s="291"/>
      <c r="J61" s="289"/>
      <c r="K61" s="290"/>
      <c r="L61" s="290"/>
      <c r="M61" s="290"/>
      <c r="N61" s="290"/>
      <c r="O61" s="290"/>
      <c r="P61" s="290"/>
      <c r="Q61" s="290"/>
      <c r="R61" s="290"/>
      <c r="S61" s="290"/>
      <c r="T61" s="290"/>
      <c r="U61" s="291"/>
    </row>
    <row r="62" spans="1:21" x14ac:dyDescent="0.2">
      <c r="A62" s="289"/>
      <c r="B62" s="290"/>
      <c r="C62" s="290"/>
      <c r="D62" s="290"/>
      <c r="E62" s="290"/>
      <c r="F62" s="290"/>
      <c r="G62" s="290"/>
      <c r="H62" s="290"/>
      <c r="I62" s="291"/>
      <c r="J62" s="289"/>
      <c r="K62" s="290"/>
      <c r="L62" s="290"/>
      <c r="M62" s="290"/>
      <c r="N62" s="290"/>
      <c r="O62" s="290"/>
      <c r="P62" s="290"/>
      <c r="Q62" s="290"/>
      <c r="R62" s="290"/>
      <c r="S62" s="290"/>
      <c r="T62" s="290"/>
      <c r="U62" s="291"/>
    </row>
    <row r="63" spans="1:21" x14ac:dyDescent="0.2">
      <c r="A63" s="289"/>
      <c r="B63" s="290"/>
      <c r="C63" s="290"/>
      <c r="D63" s="290"/>
      <c r="E63" s="290"/>
      <c r="F63" s="290"/>
      <c r="G63" s="290"/>
      <c r="H63" s="290"/>
      <c r="I63" s="291"/>
      <c r="J63" s="289"/>
      <c r="K63" s="290"/>
      <c r="L63" s="290"/>
      <c r="M63" s="290"/>
      <c r="N63" s="290"/>
      <c r="O63" s="290"/>
      <c r="P63" s="290"/>
      <c r="Q63" s="290"/>
      <c r="R63" s="290"/>
      <c r="S63" s="290"/>
      <c r="T63" s="290"/>
      <c r="U63" s="291"/>
    </row>
    <row r="64" spans="1:21" x14ac:dyDescent="0.2">
      <c r="A64" s="292"/>
      <c r="B64" s="293"/>
      <c r="C64" s="293"/>
      <c r="D64" s="293"/>
      <c r="E64" s="293"/>
      <c r="F64" s="293"/>
      <c r="G64" s="293"/>
      <c r="H64" s="293"/>
      <c r="I64" s="294"/>
      <c r="J64" s="292"/>
      <c r="K64" s="293"/>
      <c r="L64" s="293"/>
      <c r="M64" s="293"/>
      <c r="N64" s="293"/>
      <c r="O64" s="293"/>
      <c r="P64" s="293"/>
      <c r="Q64" s="293"/>
      <c r="R64" s="293"/>
      <c r="S64" s="293"/>
      <c r="T64" s="293"/>
      <c r="U64" s="294"/>
    </row>
    <row r="65" spans="1:21" x14ac:dyDescent="0.2">
      <c r="A65" s="286"/>
      <c r="B65" s="287"/>
      <c r="C65" s="287"/>
      <c r="D65" s="287"/>
      <c r="E65" s="287"/>
      <c r="F65" s="287"/>
      <c r="G65" s="287"/>
      <c r="H65" s="287"/>
      <c r="I65" s="288"/>
      <c r="J65" s="286"/>
      <c r="K65" s="287"/>
      <c r="L65" s="287"/>
      <c r="M65" s="287"/>
      <c r="N65" s="287"/>
      <c r="O65" s="287"/>
      <c r="P65" s="287"/>
      <c r="Q65" s="287"/>
      <c r="R65" s="287"/>
      <c r="S65" s="287"/>
      <c r="T65" s="287"/>
      <c r="U65" s="288"/>
    </row>
    <row r="66" spans="1:21" x14ac:dyDescent="0.2">
      <c r="A66" s="289"/>
      <c r="B66" s="290"/>
      <c r="C66" s="290"/>
      <c r="D66" s="290"/>
      <c r="E66" s="290"/>
      <c r="F66" s="290"/>
      <c r="G66" s="290"/>
      <c r="H66" s="290"/>
      <c r="I66" s="291"/>
      <c r="J66" s="289"/>
      <c r="K66" s="290"/>
      <c r="L66" s="290"/>
      <c r="M66" s="290"/>
      <c r="N66" s="290"/>
      <c r="O66" s="290"/>
      <c r="P66" s="290"/>
      <c r="Q66" s="290"/>
      <c r="R66" s="290"/>
      <c r="S66" s="290"/>
      <c r="T66" s="290"/>
      <c r="U66" s="291"/>
    </row>
    <row r="67" spans="1:21" x14ac:dyDescent="0.2">
      <c r="A67" s="289"/>
      <c r="B67" s="290"/>
      <c r="C67" s="290"/>
      <c r="D67" s="290"/>
      <c r="E67" s="290"/>
      <c r="F67" s="290"/>
      <c r="G67" s="290"/>
      <c r="H67" s="290"/>
      <c r="I67" s="291"/>
      <c r="J67" s="289"/>
      <c r="K67" s="290"/>
      <c r="L67" s="290"/>
      <c r="M67" s="290"/>
      <c r="N67" s="290"/>
      <c r="O67" s="290"/>
      <c r="P67" s="290"/>
      <c r="Q67" s="290"/>
      <c r="R67" s="290"/>
      <c r="S67" s="290"/>
      <c r="T67" s="290"/>
      <c r="U67" s="291"/>
    </row>
    <row r="68" spans="1:21" x14ac:dyDescent="0.2">
      <c r="A68" s="289"/>
      <c r="B68" s="290"/>
      <c r="C68" s="290"/>
      <c r="D68" s="290"/>
      <c r="E68" s="290"/>
      <c r="F68" s="290"/>
      <c r="G68" s="290"/>
      <c r="H68" s="290"/>
      <c r="I68" s="291"/>
      <c r="J68" s="289"/>
      <c r="K68" s="290"/>
      <c r="L68" s="290"/>
      <c r="M68" s="290"/>
      <c r="N68" s="290"/>
      <c r="O68" s="290"/>
      <c r="P68" s="290"/>
      <c r="Q68" s="290"/>
      <c r="R68" s="290"/>
      <c r="S68" s="290"/>
      <c r="T68" s="290"/>
      <c r="U68" s="291"/>
    </row>
    <row r="69" spans="1:21" x14ac:dyDescent="0.2">
      <c r="A69" s="289"/>
      <c r="B69" s="290"/>
      <c r="C69" s="290"/>
      <c r="D69" s="290"/>
      <c r="E69" s="290"/>
      <c r="F69" s="290"/>
      <c r="G69" s="290"/>
      <c r="H69" s="290"/>
      <c r="I69" s="291"/>
      <c r="J69" s="289"/>
      <c r="K69" s="290"/>
      <c r="L69" s="290"/>
      <c r="M69" s="290"/>
      <c r="N69" s="290"/>
      <c r="O69" s="290"/>
      <c r="P69" s="290"/>
      <c r="Q69" s="290"/>
      <c r="R69" s="290"/>
      <c r="S69" s="290"/>
      <c r="T69" s="290"/>
      <c r="U69" s="291"/>
    </row>
    <row r="70" spans="1:21" x14ac:dyDescent="0.2">
      <c r="A70" s="289"/>
      <c r="B70" s="290"/>
      <c r="C70" s="290"/>
      <c r="D70" s="290"/>
      <c r="E70" s="290"/>
      <c r="F70" s="290"/>
      <c r="G70" s="290"/>
      <c r="H70" s="290"/>
      <c r="I70" s="291"/>
      <c r="J70" s="289"/>
      <c r="K70" s="290"/>
      <c r="L70" s="290"/>
      <c r="M70" s="290"/>
      <c r="N70" s="290"/>
      <c r="O70" s="290"/>
      <c r="P70" s="290"/>
      <c r="Q70" s="290"/>
      <c r="R70" s="290"/>
      <c r="S70" s="290"/>
      <c r="T70" s="290"/>
      <c r="U70" s="291"/>
    </row>
    <row r="71" spans="1:21" x14ac:dyDescent="0.2">
      <c r="A71" s="289"/>
      <c r="B71" s="290"/>
      <c r="C71" s="290"/>
      <c r="D71" s="290"/>
      <c r="E71" s="290"/>
      <c r="F71" s="290"/>
      <c r="G71" s="290"/>
      <c r="H71" s="290"/>
      <c r="I71" s="291"/>
      <c r="J71" s="289"/>
      <c r="K71" s="290"/>
      <c r="L71" s="290"/>
      <c r="M71" s="290"/>
      <c r="N71" s="290"/>
      <c r="O71" s="290"/>
      <c r="P71" s="290"/>
      <c r="Q71" s="290"/>
      <c r="R71" s="290"/>
      <c r="S71" s="290"/>
      <c r="T71" s="290"/>
      <c r="U71" s="291"/>
    </row>
    <row r="72" spans="1:21" x14ac:dyDescent="0.2">
      <c r="A72" s="289"/>
      <c r="B72" s="290"/>
      <c r="C72" s="290"/>
      <c r="D72" s="290"/>
      <c r="E72" s="290"/>
      <c r="F72" s="290"/>
      <c r="G72" s="290"/>
      <c r="H72" s="290"/>
      <c r="I72" s="291"/>
      <c r="J72" s="289"/>
      <c r="K72" s="290"/>
      <c r="L72" s="290"/>
      <c r="M72" s="290"/>
      <c r="N72" s="290"/>
      <c r="O72" s="290"/>
      <c r="P72" s="290"/>
      <c r="Q72" s="290"/>
      <c r="R72" s="290"/>
      <c r="S72" s="290"/>
      <c r="T72" s="290"/>
      <c r="U72" s="291"/>
    </row>
    <row r="73" spans="1:21" x14ac:dyDescent="0.2">
      <c r="A73" s="289"/>
      <c r="B73" s="290"/>
      <c r="C73" s="290"/>
      <c r="D73" s="290"/>
      <c r="E73" s="290"/>
      <c r="F73" s="290"/>
      <c r="G73" s="290"/>
      <c r="H73" s="290"/>
      <c r="I73" s="291"/>
      <c r="J73" s="289"/>
      <c r="K73" s="290"/>
      <c r="L73" s="290"/>
      <c r="M73" s="290"/>
      <c r="N73" s="290"/>
      <c r="O73" s="290"/>
      <c r="P73" s="290"/>
      <c r="Q73" s="290"/>
      <c r="R73" s="290"/>
      <c r="S73" s="290"/>
      <c r="T73" s="290"/>
      <c r="U73" s="291"/>
    </row>
    <row r="74" spans="1:21" x14ac:dyDescent="0.2">
      <c r="A74" s="289"/>
      <c r="B74" s="290"/>
      <c r="C74" s="290"/>
      <c r="D74" s="290"/>
      <c r="E74" s="290"/>
      <c r="F74" s="290"/>
      <c r="G74" s="290"/>
      <c r="H74" s="290"/>
      <c r="I74" s="291"/>
      <c r="J74" s="289"/>
      <c r="K74" s="290"/>
      <c r="L74" s="290"/>
      <c r="M74" s="290"/>
      <c r="N74" s="290"/>
      <c r="O74" s="290"/>
      <c r="P74" s="290"/>
      <c r="Q74" s="290"/>
      <c r="R74" s="290"/>
      <c r="S74" s="290"/>
      <c r="T74" s="290"/>
      <c r="U74" s="291"/>
    </row>
    <row r="75" spans="1:21" x14ac:dyDescent="0.2">
      <c r="A75" s="289"/>
      <c r="B75" s="290"/>
      <c r="C75" s="290"/>
      <c r="D75" s="290"/>
      <c r="E75" s="290"/>
      <c r="F75" s="290"/>
      <c r="G75" s="290"/>
      <c r="H75" s="290"/>
      <c r="I75" s="291"/>
      <c r="J75" s="289"/>
      <c r="K75" s="290"/>
      <c r="L75" s="290"/>
      <c r="M75" s="290"/>
      <c r="N75" s="290"/>
      <c r="O75" s="290"/>
      <c r="P75" s="290"/>
      <c r="Q75" s="290"/>
      <c r="R75" s="290"/>
      <c r="S75" s="290"/>
      <c r="T75" s="290"/>
      <c r="U75" s="291"/>
    </row>
    <row r="76" spans="1:21" x14ac:dyDescent="0.2">
      <c r="A76" s="289"/>
      <c r="B76" s="290"/>
      <c r="C76" s="290"/>
      <c r="D76" s="290"/>
      <c r="E76" s="290"/>
      <c r="F76" s="290"/>
      <c r="G76" s="290"/>
      <c r="H76" s="290"/>
      <c r="I76" s="291"/>
      <c r="J76" s="289"/>
      <c r="K76" s="290"/>
      <c r="L76" s="290"/>
      <c r="M76" s="290"/>
      <c r="N76" s="290"/>
      <c r="O76" s="290"/>
      <c r="P76" s="290"/>
      <c r="Q76" s="290"/>
      <c r="R76" s="290"/>
      <c r="S76" s="290"/>
      <c r="T76" s="290"/>
      <c r="U76" s="291"/>
    </row>
    <row r="77" spans="1:21" x14ac:dyDescent="0.2">
      <c r="A77" s="289"/>
      <c r="B77" s="290"/>
      <c r="C77" s="290"/>
      <c r="D77" s="290"/>
      <c r="E77" s="290"/>
      <c r="F77" s="290"/>
      <c r="G77" s="290"/>
      <c r="H77" s="290"/>
      <c r="I77" s="291"/>
      <c r="J77" s="289"/>
      <c r="K77" s="290"/>
      <c r="L77" s="290"/>
      <c r="M77" s="290"/>
      <c r="N77" s="290"/>
      <c r="O77" s="290"/>
      <c r="P77" s="290"/>
      <c r="Q77" s="290"/>
      <c r="R77" s="290"/>
      <c r="S77" s="290"/>
      <c r="T77" s="290"/>
      <c r="U77" s="291"/>
    </row>
    <row r="78" spans="1:21" x14ac:dyDescent="0.2">
      <c r="A78" s="289"/>
      <c r="B78" s="290"/>
      <c r="C78" s="290"/>
      <c r="D78" s="290"/>
      <c r="E78" s="290"/>
      <c r="F78" s="290"/>
      <c r="G78" s="290"/>
      <c r="H78" s="290"/>
      <c r="I78" s="291"/>
      <c r="J78" s="289"/>
      <c r="K78" s="290"/>
      <c r="L78" s="290"/>
      <c r="M78" s="290"/>
      <c r="N78" s="290"/>
      <c r="O78" s="290"/>
      <c r="P78" s="290"/>
      <c r="Q78" s="290"/>
      <c r="R78" s="290"/>
      <c r="S78" s="290"/>
      <c r="T78" s="290"/>
      <c r="U78" s="291"/>
    </row>
    <row r="79" spans="1:21" x14ac:dyDescent="0.2">
      <c r="A79" s="289"/>
      <c r="B79" s="290"/>
      <c r="C79" s="290"/>
      <c r="D79" s="290"/>
      <c r="E79" s="290"/>
      <c r="F79" s="290"/>
      <c r="G79" s="290"/>
      <c r="H79" s="290"/>
      <c r="I79" s="291"/>
      <c r="J79" s="289"/>
      <c r="K79" s="290"/>
      <c r="L79" s="290"/>
      <c r="M79" s="290"/>
      <c r="N79" s="290"/>
      <c r="O79" s="290"/>
      <c r="P79" s="290"/>
      <c r="Q79" s="290"/>
      <c r="R79" s="290"/>
      <c r="S79" s="290"/>
      <c r="T79" s="290"/>
      <c r="U79" s="291"/>
    </row>
    <row r="80" spans="1:21" x14ac:dyDescent="0.2">
      <c r="A80" s="289"/>
      <c r="B80" s="290"/>
      <c r="C80" s="290"/>
      <c r="D80" s="290"/>
      <c r="E80" s="290"/>
      <c r="F80" s="290"/>
      <c r="G80" s="290"/>
      <c r="H80" s="290"/>
      <c r="I80" s="291"/>
      <c r="J80" s="289"/>
      <c r="K80" s="290"/>
      <c r="L80" s="290"/>
      <c r="M80" s="290"/>
      <c r="N80" s="290"/>
      <c r="O80" s="290"/>
      <c r="P80" s="290"/>
      <c r="Q80" s="290"/>
      <c r="R80" s="290"/>
      <c r="S80" s="290"/>
      <c r="T80" s="290"/>
      <c r="U80" s="291"/>
    </row>
    <row r="81" spans="1:21" x14ac:dyDescent="0.2">
      <c r="A81" s="289"/>
      <c r="B81" s="290"/>
      <c r="C81" s="290"/>
      <c r="D81" s="290"/>
      <c r="E81" s="290"/>
      <c r="F81" s="290"/>
      <c r="G81" s="290"/>
      <c r="H81" s="290"/>
      <c r="I81" s="291"/>
      <c r="J81" s="289"/>
      <c r="K81" s="290"/>
      <c r="L81" s="290"/>
      <c r="M81" s="290"/>
      <c r="N81" s="290"/>
      <c r="O81" s="290"/>
      <c r="P81" s="290"/>
      <c r="Q81" s="290"/>
      <c r="R81" s="290"/>
      <c r="S81" s="290"/>
      <c r="T81" s="290"/>
      <c r="U81" s="291"/>
    </row>
    <row r="82" spans="1:21" x14ac:dyDescent="0.2">
      <c r="A82" s="289"/>
      <c r="B82" s="290"/>
      <c r="C82" s="290"/>
      <c r="D82" s="290"/>
      <c r="E82" s="290"/>
      <c r="F82" s="290"/>
      <c r="G82" s="290"/>
      <c r="H82" s="290"/>
      <c r="I82" s="291"/>
      <c r="J82" s="289"/>
      <c r="K82" s="290"/>
      <c r="L82" s="290"/>
      <c r="M82" s="290"/>
      <c r="N82" s="290"/>
      <c r="O82" s="290"/>
      <c r="P82" s="290"/>
      <c r="Q82" s="290"/>
      <c r="R82" s="290"/>
      <c r="S82" s="290"/>
      <c r="T82" s="290"/>
      <c r="U82" s="291"/>
    </row>
    <row r="83" spans="1:21" x14ac:dyDescent="0.2">
      <c r="A83" s="289"/>
      <c r="B83" s="290"/>
      <c r="C83" s="290"/>
      <c r="D83" s="290"/>
      <c r="E83" s="290"/>
      <c r="F83" s="290"/>
      <c r="G83" s="290"/>
      <c r="H83" s="290"/>
      <c r="I83" s="291"/>
      <c r="J83" s="289"/>
      <c r="K83" s="290"/>
      <c r="L83" s="290"/>
      <c r="M83" s="290"/>
      <c r="N83" s="290"/>
      <c r="O83" s="290"/>
      <c r="P83" s="290"/>
      <c r="Q83" s="290"/>
      <c r="R83" s="290"/>
      <c r="S83" s="290"/>
      <c r="T83" s="290"/>
      <c r="U83" s="291"/>
    </row>
    <row r="84" spans="1:21" x14ac:dyDescent="0.2">
      <c r="A84" s="289"/>
      <c r="B84" s="290"/>
      <c r="C84" s="290"/>
      <c r="D84" s="290"/>
      <c r="E84" s="290"/>
      <c r="F84" s="290"/>
      <c r="G84" s="290"/>
      <c r="H84" s="290"/>
      <c r="I84" s="291"/>
      <c r="J84" s="289"/>
      <c r="K84" s="290"/>
      <c r="L84" s="290"/>
      <c r="M84" s="290"/>
      <c r="N84" s="290"/>
      <c r="O84" s="290"/>
      <c r="P84" s="290"/>
      <c r="Q84" s="290"/>
      <c r="R84" s="290"/>
      <c r="S84" s="290"/>
      <c r="T84" s="290"/>
      <c r="U84" s="291"/>
    </row>
    <row r="85" spans="1:21" x14ac:dyDescent="0.2">
      <c r="A85" s="292"/>
      <c r="B85" s="293"/>
      <c r="C85" s="293"/>
      <c r="D85" s="293"/>
      <c r="E85" s="293"/>
      <c r="F85" s="293"/>
      <c r="G85" s="293"/>
      <c r="H85" s="293"/>
      <c r="I85" s="294"/>
      <c r="J85" s="292"/>
      <c r="K85" s="293"/>
      <c r="L85" s="293"/>
      <c r="M85" s="293"/>
      <c r="N85" s="293"/>
      <c r="O85" s="293"/>
      <c r="P85" s="293"/>
      <c r="Q85" s="293"/>
      <c r="R85" s="293"/>
      <c r="S85" s="293"/>
      <c r="T85" s="293"/>
      <c r="U85" s="294"/>
    </row>
    <row r="86" spans="1:21" x14ac:dyDescent="0.2">
      <c r="A86" s="76" t="s">
        <v>582</v>
      </c>
    </row>
  </sheetData>
  <sheetProtection algorithmName="SHA-512" hashValue="DdiSIyxOV78SBPk9uxRs5WwqMDgB3c1YPwZU7ZhBYJs0G+a+CLAyl3XQQdLaVDZaLqOQoGAdqJjl5er7+/7SyQ==" saltValue="mcE8ulfhPRTDO4BfDz/Clg==" spinCount="100000" sheet="1" objects="1" scenarios="1"/>
  <mergeCells count="6">
    <mergeCell ref="J23:U43"/>
    <mergeCell ref="A23:I43"/>
    <mergeCell ref="J44:U64"/>
    <mergeCell ref="A44:I64"/>
    <mergeCell ref="J65:U85"/>
    <mergeCell ref="A65:I85"/>
  </mergeCells>
  <phoneticPr fontId="3"/>
  <pageMargins left="0.7" right="0.7" top="0.75" bottom="0.75" header="0.3" footer="0.3"/>
  <pageSetup paperSize="9" orientation="portrait" horizontalDpi="4294967293" vertic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81"/>
  <sheetViews>
    <sheetView tabSelected="1" zoomScaleNormal="100" workbookViewId="0">
      <selection activeCell="A2" sqref="A2:J2"/>
    </sheetView>
  </sheetViews>
  <sheetFormatPr defaultColWidth="9" defaultRowHeight="13.2" x14ac:dyDescent="0.2"/>
  <cols>
    <col min="1" max="3" width="1.88671875" customWidth="1"/>
    <col min="4" max="9" width="2.88671875" customWidth="1"/>
    <col min="10" max="10" width="16.77734375" customWidth="1"/>
    <col min="11" max="28" width="10.44140625" customWidth="1"/>
    <col min="29" max="29" width="10.44140625" style="1" customWidth="1"/>
  </cols>
  <sheetData>
    <row r="1" spans="1:29" ht="21" customHeight="1" x14ac:dyDescent="0.2">
      <c r="A1" s="344" t="s">
        <v>66</v>
      </c>
      <c r="B1" s="344"/>
      <c r="C1" s="344"/>
      <c r="D1" s="344"/>
      <c r="E1" s="344"/>
      <c r="F1" s="344"/>
      <c r="G1" s="344"/>
      <c r="H1" s="344"/>
      <c r="I1" s="344"/>
      <c r="J1" s="344"/>
      <c r="K1" s="207"/>
      <c r="L1" s="207"/>
      <c r="M1" s="207"/>
      <c r="N1" s="207"/>
      <c r="O1" s="207"/>
      <c r="P1" s="207"/>
      <c r="Q1" s="207"/>
      <c r="R1" s="207"/>
      <c r="S1" s="207"/>
      <c r="T1" s="207"/>
      <c r="U1" s="207"/>
      <c r="V1" s="207"/>
      <c r="W1" s="207"/>
      <c r="X1" s="207"/>
      <c r="Y1" s="207"/>
      <c r="Z1" s="207"/>
      <c r="AA1" s="207"/>
      <c r="AB1" s="207"/>
      <c r="AC1" s="207"/>
    </row>
    <row r="2" spans="1:29" ht="21" customHeight="1" x14ac:dyDescent="0.2">
      <c r="A2" s="345" t="str">
        <f>BS!A2</f>
        <v>３１　輸送用機械器具製造業</v>
      </c>
      <c r="B2" s="345"/>
      <c r="C2" s="345"/>
      <c r="D2" s="345"/>
      <c r="E2" s="345"/>
      <c r="F2" s="345"/>
      <c r="G2" s="345"/>
      <c r="H2" s="345"/>
      <c r="I2" s="345"/>
      <c r="J2" s="345"/>
      <c r="K2" s="4"/>
      <c r="L2" s="4"/>
      <c r="M2" s="4"/>
      <c r="N2" s="4"/>
      <c r="O2" s="4"/>
      <c r="P2" s="4"/>
      <c r="Q2" s="4"/>
      <c r="R2" s="4"/>
      <c r="S2" s="4"/>
      <c r="T2" s="4"/>
      <c r="U2" s="4"/>
      <c r="V2" s="4"/>
      <c r="W2" s="4"/>
      <c r="X2" s="4"/>
      <c r="Y2" s="4"/>
      <c r="Z2" s="4"/>
      <c r="AA2" s="4"/>
      <c r="AB2" s="4"/>
      <c r="AC2" s="72" t="s">
        <v>67</v>
      </c>
    </row>
    <row r="3" spans="1:29" s="31" customFormat="1" ht="18" customHeight="1" x14ac:dyDescent="0.2">
      <c r="A3" s="350"/>
      <c r="B3" s="351"/>
      <c r="C3" s="351"/>
      <c r="D3" s="351"/>
      <c r="E3" s="351"/>
      <c r="F3" s="351"/>
      <c r="G3" s="351"/>
      <c r="H3" s="351"/>
      <c r="I3" s="351"/>
      <c r="J3" s="352"/>
      <c r="K3" s="67" t="s">
        <v>532</v>
      </c>
      <c r="L3" s="67" t="s">
        <v>519</v>
      </c>
      <c r="M3" s="67" t="s">
        <v>520</v>
      </c>
      <c r="N3" s="67" t="s">
        <v>521</v>
      </c>
      <c r="O3" s="67" t="s">
        <v>522</v>
      </c>
      <c r="P3" s="67" t="s">
        <v>359</v>
      </c>
      <c r="Q3" s="67" t="s">
        <v>506</v>
      </c>
      <c r="R3" s="67" t="s">
        <v>511</v>
      </c>
      <c r="S3" s="67" t="s">
        <v>515</v>
      </c>
      <c r="T3" s="67" t="s">
        <v>517</v>
      </c>
      <c r="U3" s="67" t="s">
        <v>535</v>
      </c>
      <c r="V3" s="67" t="s">
        <v>536</v>
      </c>
      <c r="W3" s="67" t="s">
        <v>539</v>
      </c>
      <c r="X3" s="67" t="s">
        <v>554</v>
      </c>
      <c r="Y3" s="67" t="s">
        <v>557</v>
      </c>
      <c r="Z3" s="67" t="s">
        <v>559</v>
      </c>
      <c r="AA3" s="67" t="s">
        <v>563</v>
      </c>
      <c r="AB3" s="67" t="s">
        <v>576</v>
      </c>
      <c r="AC3" s="67" t="s">
        <v>580</v>
      </c>
    </row>
    <row r="4" spans="1:29" s="31" customFormat="1" ht="18" customHeight="1" x14ac:dyDescent="0.2">
      <c r="A4" s="346" t="s">
        <v>33</v>
      </c>
      <c r="B4" s="347"/>
      <c r="C4" s="347"/>
      <c r="D4" s="347"/>
      <c r="E4" s="347"/>
      <c r="F4" s="347"/>
      <c r="G4" s="347"/>
      <c r="H4" s="347"/>
      <c r="I4" s="347"/>
      <c r="J4" s="347"/>
      <c r="K4" s="68">
        <v>10579</v>
      </c>
      <c r="L4" s="68">
        <v>11828</v>
      </c>
      <c r="M4" s="68">
        <v>11618.683207354299</v>
      </c>
      <c r="N4" s="68">
        <v>11058.6963983154</v>
      </c>
      <c r="O4" s="68">
        <v>11776.705542006801</v>
      </c>
      <c r="P4" s="68">
        <v>11708.6800163281</v>
      </c>
      <c r="Q4" s="68">
        <v>10625.4896589041</v>
      </c>
      <c r="R4" s="68">
        <v>10620.15324027526</v>
      </c>
      <c r="S4" s="68">
        <v>10221.368727999998</v>
      </c>
      <c r="T4" s="68">
        <v>12467.898173074704</v>
      </c>
      <c r="U4" s="68">
        <v>12753.464825999994</v>
      </c>
      <c r="V4" s="68">
        <v>13053.492344999973</v>
      </c>
      <c r="W4" s="68">
        <v>13368.710625000054</v>
      </c>
      <c r="X4" s="68">
        <v>13699.888032999976</v>
      </c>
      <c r="Y4" s="68">
        <v>10948.023456000023</v>
      </c>
      <c r="Z4" s="68">
        <v>11564</v>
      </c>
      <c r="AA4" s="68">
        <v>11648</v>
      </c>
      <c r="AB4" s="68">
        <v>11633</v>
      </c>
      <c r="AC4" s="68">
        <v>11721</v>
      </c>
    </row>
    <row r="5" spans="1:29" s="31" customFormat="1" ht="18" customHeight="1" x14ac:dyDescent="0.2">
      <c r="A5" s="363" t="s">
        <v>34</v>
      </c>
      <c r="B5" s="364"/>
      <c r="C5" s="364"/>
      <c r="D5" s="364"/>
      <c r="E5" s="364"/>
      <c r="F5" s="364"/>
      <c r="G5" s="364"/>
      <c r="H5" s="364"/>
      <c r="I5" s="364"/>
      <c r="J5" s="364"/>
      <c r="K5" s="251">
        <v>48.160412137252997</v>
      </c>
      <c r="L5" s="251">
        <v>38.315776124450458</v>
      </c>
      <c r="M5" s="251">
        <v>44.019508482865284</v>
      </c>
      <c r="N5" s="251">
        <v>43.014104643464172</v>
      </c>
      <c r="O5" s="251">
        <v>37.965076794494827</v>
      </c>
      <c r="P5" s="251">
        <v>32.937291479925882</v>
      </c>
      <c r="Q5" s="251">
        <v>37.163617331832747</v>
      </c>
      <c r="R5" s="251">
        <v>30.345849549710508</v>
      </c>
      <c r="S5" s="251">
        <v>31.238261648634641</v>
      </c>
      <c r="T5" s="251">
        <v>30.078817816632025</v>
      </c>
      <c r="U5" s="251">
        <v>34.362096789145831</v>
      </c>
      <c r="V5" s="251">
        <v>35.008334185759139</v>
      </c>
      <c r="W5" s="251">
        <v>35.220515816685051</v>
      </c>
      <c r="X5" s="251">
        <v>34.977176696166516</v>
      </c>
      <c r="Y5" s="251">
        <v>37.679255544149747</v>
      </c>
      <c r="Z5" s="251">
        <v>39.554207210656429</v>
      </c>
      <c r="AA5" s="251">
        <v>38.318938873626372</v>
      </c>
      <c r="AB5" s="251">
        <v>40.571305768073586</v>
      </c>
      <c r="AC5" s="251">
        <v>39.521201262690894</v>
      </c>
    </row>
    <row r="6" spans="1:29" s="31" customFormat="1" ht="18" customHeight="1" x14ac:dyDescent="0.2">
      <c r="A6" s="359" t="s">
        <v>514</v>
      </c>
      <c r="B6" s="360"/>
      <c r="C6" s="360"/>
      <c r="D6" s="360"/>
      <c r="E6" s="360"/>
      <c r="F6" s="360"/>
      <c r="G6" s="360"/>
      <c r="H6" s="360"/>
      <c r="I6" s="360"/>
      <c r="J6" s="360"/>
      <c r="K6" s="71">
        <v>1029049.49522639</v>
      </c>
      <c r="L6" s="71">
        <v>792640.34494420025</v>
      </c>
      <c r="M6" s="71">
        <v>833050.73016966193</v>
      </c>
      <c r="N6" s="71">
        <v>828064.26946642785</v>
      </c>
      <c r="O6" s="71">
        <v>801705.25557250518</v>
      </c>
      <c r="P6" s="71">
        <v>921991.9329220308</v>
      </c>
      <c r="Q6" s="71">
        <v>659762.64689240814</v>
      </c>
      <c r="R6" s="71">
        <v>597586.81870825472</v>
      </c>
      <c r="S6" s="71">
        <v>562143.89223713661</v>
      </c>
      <c r="T6" s="71">
        <v>402169.91237123299</v>
      </c>
      <c r="U6" s="71">
        <v>719477.8379323727</v>
      </c>
      <c r="V6" s="71">
        <v>757170.67634382402</v>
      </c>
      <c r="W6" s="71">
        <v>795826.45982916676</v>
      </c>
      <c r="X6" s="71">
        <v>760401.3575568971</v>
      </c>
      <c r="Y6" s="71">
        <v>761109.14219733421</v>
      </c>
      <c r="Z6" s="71">
        <v>866085.58623589599</v>
      </c>
      <c r="AA6" s="71">
        <v>852533.48523351655</v>
      </c>
      <c r="AB6" s="71">
        <v>882915.58282472275</v>
      </c>
      <c r="AC6" s="71">
        <v>863588.18974490231</v>
      </c>
    </row>
    <row r="7" spans="1:29" s="31" customFormat="1" ht="18" customHeight="1" x14ac:dyDescent="0.2">
      <c r="A7" s="366" t="s">
        <v>35</v>
      </c>
      <c r="B7" s="367"/>
      <c r="C7" s="367"/>
      <c r="D7" s="367"/>
      <c r="E7" s="367"/>
      <c r="F7" s="367"/>
      <c r="G7" s="367"/>
      <c r="H7" s="367"/>
      <c r="I7" s="367"/>
      <c r="J7" s="367"/>
      <c r="K7" s="211">
        <v>994776.29832687497</v>
      </c>
      <c r="L7" s="211">
        <v>780996.44910382142</v>
      </c>
      <c r="M7" s="211">
        <v>803395.61506073328</v>
      </c>
      <c r="N7" s="211">
        <v>801568.95115833299</v>
      </c>
      <c r="O7" s="211">
        <v>779884.29403463867</v>
      </c>
      <c r="P7" s="211">
        <v>911376.87586291076</v>
      </c>
      <c r="Q7" s="211"/>
      <c r="R7" s="211"/>
      <c r="S7" s="211"/>
      <c r="T7" s="211"/>
      <c r="U7" s="211"/>
      <c r="V7" s="211"/>
      <c r="W7" s="211"/>
      <c r="X7" s="211"/>
      <c r="Y7" s="211"/>
      <c r="Z7" s="211"/>
      <c r="AA7" s="211"/>
      <c r="AB7" s="211"/>
      <c r="AC7" s="211"/>
    </row>
    <row r="8" spans="1:29" s="31" customFormat="1" ht="18" customHeight="1" x14ac:dyDescent="0.2">
      <c r="A8" s="212"/>
      <c r="B8" s="366" t="s">
        <v>36</v>
      </c>
      <c r="C8" s="367"/>
      <c r="D8" s="367"/>
      <c r="E8" s="367"/>
      <c r="F8" s="367"/>
      <c r="G8" s="367"/>
      <c r="H8" s="367"/>
      <c r="I8" s="367"/>
      <c r="J8" s="372"/>
      <c r="K8" s="211">
        <v>873571.61735513702</v>
      </c>
      <c r="L8" s="211">
        <v>676442.76293540746</v>
      </c>
      <c r="M8" s="211">
        <v>694866.08539973677</v>
      </c>
      <c r="N8" s="211">
        <v>706207.65427789825</v>
      </c>
      <c r="O8" s="211">
        <v>683512.41337758675</v>
      </c>
      <c r="P8" s="211">
        <v>820534.9164988806</v>
      </c>
      <c r="Q8" s="211">
        <v>582113.39616007288</v>
      </c>
      <c r="R8" s="211">
        <v>520465.75804587931</v>
      </c>
      <c r="S8" s="211">
        <v>474297.79445550137</v>
      </c>
      <c r="T8" s="211">
        <v>323430.599883141</v>
      </c>
      <c r="U8" s="211">
        <v>618087.65353597165</v>
      </c>
      <c r="V8" s="211">
        <v>651900.40427322756</v>
      </c>
      <c r="W8" s="211">
        <v>696542.5176750042</v>
      </c>
      <c r="X8" s="211">
        <v>660537.08366062073</v>
      </c>
      <c r="Y8" s="211">
        <v>645346.93757567578</v>
      </c>
      <c r="Z8" s="211">
        <v>742395.31598342699</v>
      </c>
      <c r="AA8" s="211">
        <v>743444.1875</v>
      </c>
      <c r="AB8" s="211">
        <v>777119.97266397323</v>
      </c>
      <c r="AC8" s="211">
        <v>743707.46344168577</v>
      </c>
    </row>
    <row r="9" spans="1:29" s="31" customFormat="1" ht="18" customHeight="1" x14ac:dyDescent="0.2">
      <c r="A9" s="212"/>
      <c r="B9" s="73"/>
      <c r="C9" s="346" t="s">
        <v>37</v>
      </c>
      <c r="D9" s="347"/>
      <c r="E9" s="347"/>
      <c r="F9" s="347"/>
      <c r="G9" s="347"/>
      <c r="H9" s="347"/>
      <c r="I9" s="347"/>
      <c r="J9" s="347"/>
      <c r="K9" s="68">
        <v>86357.270063332995</v>
      </c>
      <c r="L9" s="68">
        <v>23192.932025701724</v>
      </c>
      <c r="M9" s="68">
        <v>59529.522278247685</v>
      </c>
      <c r="N9" s="68">
        <v>54221.9757341777</v>
      </c>
      <c r="O9" s="68">
        <v>103982.99424933376</v>
      </c>
      <c r="P9" s="68">
        <v>138117.54496410722</v>
      </c>
      <c r="Q9" s="68">
        <v>17491.643108191882</v>
      </c>
      <c r="R9" s="68">
        <v>32785.763786916083</v>
      </c>
      <c r="S9" s="68">
        <v>65909.063816025387</v>
      </c>
      <c r="T9" s="68">
        <v>62186.79098167739</v>
      </c>
      <c r="U9" s="68">
        <v>77057.576512245985</v>
      </c>
      <c r="V9" s="68">
        <v>112364.9297392947</v>
      </c>
      <c r="W9" s="68">
        <v>84775.045879166297</v>
      </c>
      <c r="X9" s="68">
        <v>70437.788969277943</v>
      </c>
      <c r="Y9" s="68">
        <v>26666.459131321248</v>
      </c>
      <c r="Z9" s="68">
        <v>378604.35297796933</v>
      </c>
      <c r="AA9" s="68">
        <v>388855.87328296708</v>
      </c>
      <c r="AB9" s="68">
        <v>381046.91910942999</v>
      </c>
      <c r="AC9" s="68">
        <v>374398.91212353902</v>
      </c>
    </row>
    <row r="10" spans="1:29" s="31" customFormat="1" ht="18" customHeight="1" x14ac:dyDescent="0.2">
      <c r="A10" s="212"/>
      <c r="B10" s="73"/>
      <c r="C10" s="355" t="s">
        <v>38</v>
      </c>
      <c r="D10" s="356"/>
      <c r="E10" s="356"/>
      <c r="F10" s="356"/>
      <c r="G10" s="356"/>
      <c r="H10" s="356"/>
      <c r="I10" s="356"/>
      <c r="J10" s="356"/>
      <c r="K10" s="69">
        <v>388007.78050855501</v>
      </c>
      <c r="L10" s="69">
        <v>376928.47480554617</v>
      </c>
      <c r="M10" s="69">
        <v>314178.82565347641</v>
      </c>
      <c r="N10" s="69">
        <v>378549.72264643281</v>
      </c>
      <c r="O10" s="69">
        <v>176543.02894487613</v>
      </c>
      <c r="P10" s="69">
        <v>314206.29062660766</v>
      </c>
      <c r="Q10" s="69">
        <v>293069.63349538611</v>
      </c>
      <c r="R10" s="69">
        <v>209864.41364425528</v>
      </c>
      <c r="S10" s="69">
        <v>225759.94588543609</v>
      </c>
      <c r="T10" s="69">
        <v>95432.049271276206</v>
      </c>
      <c r="U10" s="69">
        <v>260180.98181898546</v>
      </c>
      <c r="V10" s="69">
        <v>242796.99299236806</v>
      </c>
      <c r="W10" s="69">
        <v>303276.30072795431</v>
      </c>
      <c r="X10" s="69">
        <v>256717.3547163647</v>
      </c>
      <c r="Y10" s="69">
        <v>294217.77297512477</v>
      </c>
      <c r="Z10" s="69"/>
      <c r="AA10" s="69"/>
      <c r="AB10" s="69"/>
      <c r="AC10" s="69"/>
    </row>
    <row r="11" spans="1:29" s="31" customFormat="1" ht="18" customHeight="1" x14ac:dyDescent="0.2">
      <c r="A11" s="212"/>
      <c r="B11" s="73"/>
      <c r="C11" s="355" t="s">
        <v>39</v>
      </c>
      <c r="D11" s="356"/>
      <c r="E11" s="356"/>
      <c r="F11" s="356"/>
      <c r="G11" s="356"/>
      <c r="H11" s="356"/>
      <c r="I11" s="356"/>
      <c r="J11" s="356"/>
      <c r="K11" s="69">
        <v>137162.65715095901</v>
      </c>
      <c r="L11" s="69">
        <v>128993.40547852554</v>
      </c>
      <c r="M11" s="69">
        <v>127541.1053253698</v>
      </c>
      <c r="N11" s="69">
        <v>112843.29613741506</v>
      </c>
      <c r="O11" s="69">
        <v>121916.13944048724</v>
      </c>
      <c r="P11" s="69">
        <v>139434.43524004586</v>
      </c>
      <c r="Q11" s="69">
        <v>106019.61015973987</v>
      </c>
      <c r="R11" s="69">
        <v>99103.683381898809</v>
      </c>
      <c r="S11" s="69">
        <v>82925.943851633885</v>
      </c>
      <c r="T11" s="69">
        <v>80763.039433665443</v>
      </c>
      <c r="U11" s="69">
        <v>121717.24253141368</v>
      </c>
      <c r="V11" s="69">
        <v>116445.00086087281</v>
      </c>
      <c r="W11" s="69">
        <v>120359.06756642203</v>
      </c>
      <c r="X11" s="69">
        <v>138099.75933832154</v>
      </c>
      <c r="Y11" s="69">
        <v>133732.21641852899</v>
      </c>
      <c r="Z11" s="69">
        <v>126718.19251794524</v>
      </c>
      <c r="AA11" s="69">
        <v>121756.42101648351</v>
      </c>
      <c r="AB11" s="69">
        <v>141320.18481904926</v>
      </c>
      <c r="AC11" s="69">
        <v>125946.55251258425</v>
      </c>
    </row>
    <row r="12" spans="1:29" s="31" customFormat="1" ht="18" customHeight="1" x14ac:dyDescent="0.2">
      <c r="A12" s="212"/>
      <c r="B12" s="73"/>
      <c r="C12" s="355" t="s">
        <v>40</v>
      </c>
      <c r="D12" s="356"/>
      <c r="E12" s="356"/>
      <c r="F12" s="356"/>
      <c r="G12" s="356"/>
      <c r="H12" s="356"/>
      <c r="I12" s="356"/>
      <c r="J12" s="356"/>
      <c r="K12" s="69">
        <v>161428.76925985501</v>
      </c>
      <c r="L12" s="69">
        <v>85395.924923909362</v>
      </c>
      <c r="M12" s="69">
        <v>113051.42826694991</v>
      </c>
      <c r="N12" s="69">
        <v>75372.40129115709</v>
      </c>
      <c r="O12" s="69">
        <v>188363.62523740163</v>
      </c>
      <c r="P12" s="69">
        <v>112607.58480310949</v>
      </c>
      <c r="Q12" s="69">
        <v>84496.273098870108</v>
      </c>
      <c r="R12" s="69">
        <v>87146.896990578578</v>
      </c>
      <c r="S12" s="69">
        <v>43436.991086035399</v>
      </c>
      <c r="T12" s="69">
        <v>52162.979251649733</v>
      </c>
      <c r="U12" s="69">
        <v>77923.00469638886</v>
      </c>
      <c r="V12" s="69">
        <v>89053.928247244432</v>
      </c>
      <c r="W12" s="69">
        <v>95854.866337185667</v>
      </c>
      <c r="X12" s="69">
        <v>95176.146071938361</v>
      </c>
      <c r="Y12" s="69">
        <v>111091.95732973446</v>
      </c>
      <c r="Z12" s="69">
        <v>102533.86112226818</v>
      </c>
      <c r="AA12" s="69">
        <v>95063.799708104401</v>
      </c>
      <c r="AB12" s="69">
        <v>98232.539069887396</v>
      </c>
      <c r="AC12" s="69">
        <v>114538.24818701476</v>
      </c>
    </row>
    <row r="13" spans="1:29" s="31" customFormat="1" ht="18" customHeight="1" x14ac:dyDescent="0.2">
      <c r="A13" s="212"/>
      <c r="B13" s="73"/>
      <c r="C13" s="355" t="s">
        <v>41</v>
      </c>
      <c r="D13" s="356"/>
      <c r="E13" s="356"/>
      <c r="F13" s="356"/>
      <c r="G13" s="356"/>
      <c r="H13" s="356"/>
      <c r="I13" s="356"/>
      <c r="J13" s="356"/>
      <c r="K13" s="69">
        <v>27181.688250307201</v>
      </c>
      <c r="L13" s="69">
        <v>27714.406493067298</v>
      </c>
      <c r="M13" s="69">
        <v>28214.960730269479</v>
      </c>
      <c r="N13" s="69">
        <v>14159.969411818547</v>
      </c>
      <c r="O13" s="69">
        <v>20204.743668359744</v>
      </c>
      <c r="P13" s="69">
        <v>34627.793388376907</v>
      </c>
      <c r="Q13" s="69">
        <v>27831.486323671274</v>
      </c>
      <c r="R13" s="69">
        <v>17146.464968741944</v>
      </c>
      <c r="S13" s="69">
        <v>14587.807674738573</v>
      </c>
      <c r="T13" s="69">
        <v>9323.861594846132</v>
      </c>
      <c r="U13" s="69">
        <v>22728.984484827146</v>
      </c>
      <c r="V13" s="69">
        <v>23541.393370501311</v>
      </c>
      <c r="W13" s="69">
        <v>25648.522862147925</v>
      </c>
      <c r="X13" s="69">
        <v>25593.675912197818</v>
      </c>
      <c r="Y13" s="69">
        <v>24233.800073829469</v>
      </c>
      <c r="Z13" s="69">
        <v>26331.419438925313</v>
      </c>
      <c r="AA13" s="69">
        <v>25726.844608516487</v>
      </c>
      <c r="AB13" s="69">
        <v>29120.677211381411</v>
      </c>
      <c r="AC13" s="69">
        <v>25052.897875607883</v>
      </c>
    </row>
    <row r="14" spans="1:29" s="31" customFormat="1" ht="18" customHeight="1" x14ac:dyDescent="0.2">
      <c r="A14" s="212"/>
      <c r="B14" s="73"/>
      <c r="C14" s="363" t="s">
        <v>42</v>
      </c>
      <c r="D14" s="364"/>
      <c r="E14" s="364"/>
      <c r="F14" s="364"/>
      <c r="G14" s="364"/>
      <c r="H14" s="364"/>
      <c r="I14" s="364"/>
      <c r="J14" s="364"/>
      <c r="K14" s="70">
        <v>73433.452122128801</v>
      </c>
      <c r="L14" s="70">
        <v>34217.703753804526</v>
      </c>
      <c r="M14" s="70">
        <v>52350.243145424058</v>
      </c>
      <c r="N14" s="70">
        <v>71060.289056897615</v>
      </c>
      <c r="O14" s="70">
        <v>72501.881837129476</v>
      </c>
      <c r="P14" s="70">
        <v>81541.267476632987</v>
      </c>
      <c r="Q14" s="70">
        <v>53204.749974213337</v>
      </c>
      <c r="R14" s="70">
        <v>74418.535273488524</v>
      </c>
      <c r="S14" s="70">
        <v>41678.04214163182</v>
      </c>
      <c r="T14" s="70">
        <v>23561.879350025902</v>
      </c>
      <c r="U14" s="70">
        <v>58479.863492110293</v>
      </c>
      <c r="V14" s="70">
        <v>67698.159062946157</v>
      </c>
      <c r="W14" s="70">
        <v>66628.714302127555</v>
      </c>
      <c r="X14" s="70">
        <v>74512.35865252027</v>
      </c>
      <c r="Y14" s="70">
        <v>55404.731647136403</v>
      </c>
      <c r="Z14" s="70">
        <v>108207.48992631887</v>
      </c>
      <c r="AA14" s="70">
        <v>112041.24888392864</v>
      </c>
      <c r="AB14" s="70">
        <v>127399.65245422523</v>
      </c>
      <c r="AC14" s="70">
        <v>103770.85274293995</v>
      </c>
    </row>
    <row r="15" spans="1:29" s="31" customFormat="1" ht="18" customHeight="1" x14ac:dyDescent="0.2">
      <c r="A15" s="366" t="s">
        <v>392</v>
      </c>
      <c r="B15" s="367"/>
      <c r="C15" s="367"/>
      <c r="D15" s="367"/>
      <c r="E15" s="367"/>
      <c r="F15" s="367"/>
      <c r="G15" s="367"/>
      <c r="H15" s="367"/>
      <c r="I15" s="367"/>
      <c r="J15" s="367"/>
      <c r="K15" s="211"/>
      <c r="L15" s="211"/>
      <c r="M15" s="211"/>
      <c r="N15" s="211"/>
      <c r="O15" s="211"/>
      <c r="P15" s="211"/>
      <c r="Q15" s="211">
        <v>77649.25073233564</v>
      </c>
      <c r="R15" s="211">
        <v>77121.06066237537</v>
      </c>
      <c r="S15" s="211">
        <v>87846.097781635166</v>
      </c>
      <c r="T15" s="211">
        <v>78739.312488092022</v>
      </c>
      <c r="U15" s="211">
        <v>101390.18439640115</v>
      </c>
      <c r="V15" s="211">
        <v>105270.2720705965</v>
      </c>
      <c r="W15" s="211">
        <v>99283.942154162607</v>
      </c>
      <c r="X15" s="211">
        <v>99864.273896276325</v>
      </c>
      <c r="Y15" s="211">
        <v>115762.20462165831</v>
      </c>
      <c r="Z15" s="211">
        <v>123690.27025246824</v>
      </c>
      <c r="AA15" s="211">
        <v>109089.29764766483</v>
      </c>
      <c r="AB15" s="211">
        <v>105795.61016074961</v>
      </c>
      <c r="AC15" s="211">
        <v>119880.72630321645</v>
      </c>
    </row>
    <row r="16" spans="1:29" s="31" customFormat="1" ht="18" customHeight="1" x14ac:dyDescent="0.2">
      <c r="A16" s="73"/>
      <c r="B16" s="366" t="s">
        <v>43</v>
      </c>
      <c r="C16" s="367"/>
      <c r="D16" s="367"/>
      <c r="E16" s="367"/>
      <c r="F16" s="367"/>
      <c r="G16" s="367"/>
      <c r="H16" s="367"/>
      <c r="I16" s="367"/>
      <c r="J16" s="367"/>
      <c r="K16" s="211">
        <v>121204.680971736</v>
      </c>
      <c r="L16" s="211">
        <v>104553.68616841393</v>
      </c>
      <c r="M16" s="211">
        <v>108529.52966099646</v>
      </c>
      <c r="N16" s="211">
        <v>95361.296880434806</v>
      </c>
      <c r="O16" s="211">
        <v>96371.880657051806</v>
      </c>
      <c r="P16" s="211">
        <v>90841.959364027658</v>
      </c>
      <c r="Q16" s="211">
        <v>83369.778170534584</v>
      </c>
      <c r="R16" s="211">
        <v>61548.757450068901</v>
      </c>
      <c r="S16" s="211">
        <v>73016.68982088448</v>
      </c>
      <c r="T16" s="211">
        <v>67810.030657220894</v>
      </c>
      <c r="U16" s="211">
        <v>76948.773403845189</v>
      </c>
      <c r="V16" s="211">
        <v>82495.311800599695</v>
      </c>
      <c r="W16" s="211">
        <v>80585.632907926614</v>
      </c>
      <c r="X16" s="211">
        <v>76484.00040463054</v>
      </c>
      <c r="Y16" s="211">
        <v>86236.005692223305</v>
      </c>
      <c r="Z16" s="211">
        <v>98238.240363441859</v>
      </c>
      <c r="AA16" s="211">
        <v>94172.596067994498</v>
      </c>
      <c r="AB16" s="211">
        <v>99350.987965271212</v>
      </c>
      <c r="AC16" s="211">
        <v>100841.71060489719</v>
      </c>
    </row>
    <row r="17" spans="1:29" s="31" customFormat="1" ht="18" customHeight="1" x14ac:dyDescent="0.2">
      <c r="A17" s="212"/>
      <c r="B17" s="73"/>
      <c r="C17" s="346" t="s">
        <v>44</v>
      </c>
      <c r="D17" s="347"/>
      <c r="E17" s="347"/>
      <c r="F17" s="347"/>
      <c r="G17" s="347"/>
      <c r="H17" s="347"/>
      <c r="I17" s="347"/>
      <c r="J17" s="347"/>
      <c r="K17" s="68">
        <v>64091.304471121999</v>
      </c>
      <c r="L17" s="68">
        <v>53541.258031788981</v>
      </c>
      <c r="M17" s="68">
        <v>50419.718315538659</v>
      </c>
      <c r="N17" s="68">
        <v>48931.312118454269</v>
      </c>
      <c r="O17" s="68">
        <v>48207.07583660676</v>
      </c>
      <c r="P17" s="68">
        <v>44228.283912730738</v>
      </c>
      <c r="Q17" s="68">
        <v>42056.375378966732</v>
      </c>
      <c r="R17" s="68">
        <v>31392.596473210535</v>
      </c>
      <c r="S17" s="68">
        <v>34385.225612323884</v>
      </c>
      <c r="T17" s="68">
        <v>31601.88954103065</v>
      </c>
      <c r="U17" s="68">
        <v>36881.564985991696</v>
      </c>
      <c r="V17" s="68">
        <v>41285.937789207972</v>
      </c>
      <c r="W17" s="68">
        <v>38042.940460746868</v>
      </c>
      <c r="X17" s="68">
        <v>38408.267066235698</v>
      </c>
      <c r="Y17" s="68">
        <v>42411.990122093688</v>
      </c>
      <c r="Z17" s="68">
        <v>46020.502429076121</v>
      </c>
      <c r="AA17" s="68">
        <v>43120.399982829666</v>
      </c>
      <c r="AB17" s="68">
        <v>47261.992349350985</v>
      </c>
      <c r="AC17" s="68">
        <v>48235.928333759912</v>
      </c>
    </row>
    <row r="18" spans="1:29" s="31" customFormat="1" ht="18" customHeight="1" x14ac:dyDescent="0.2">
      <c r="A18" s="212"/>
      <c r="B18" s="73"/>
      <c r="C18" s="355" t="s">
        <v>45</v>
      </c>
      <c r="D18" s="356"/>
      <c r="E18" s="356"/>
      <c r="F18" s="356"/>
      <c r="G18" s="356"/>
      <c r="H18" s="356"/>
      <c r="I18" s="356"/>
      <c r="J18" s="356"/>
      <c r="K18" s="69">
        <v>4622.3263068342903</v>
      </c>
      <c r="L18" s="69">
        <v>3429.1511667230302</v>
      </c>
      <c r="M18" s="69">
        <v>3537.1057591859781</v>
      </c>
      <c r="N18" s="69">
        <v>2967.8498637551384</v>
      </c>
      <c r="O18" s="69">
        <v>2263.6214802062009</v>
      </c>
      <c r="P18" s="69">
        <v>2917.4181208176328</v>
      </c>
      <c r="Q18" s="69">
        <v>2696.6018629036625</v>
      </c>
      <c r="R18" s="69">
        <v>2147.4406603604225</v>
      </c>
      <c r="S18" s="69">
        <v>2530.5491262675951</v>
      </c>
      <c r="T18" s="69">
        <v>3146.9390683349097</v>
      </c>
      <c r="U18" s="69">
        <v>2127.7934178474998</v>
      </c>
      <c r="V18" s="69">
        <v>2384.7851079975812</v>
      </c>
      <c r="W18" s="69">
        <v>2325.2375385554205</v>
      </c>
      <c r="X18" s="69">
        <v>2223.2768782989006</v>
      </c>
      <c r="Y18" s="69">
        <v>2934.7529018041391</v>
      </c>
      <c r="Z18" s="69">
        <v>2798.0687458357456</v>
      </c>
      <c r="AA18" s="69">
        <v>2606.1969436813188</v>
      </c>
      <c r="AB18" s="69">
        <v>3559.4213014699562</v>
      </c>
      <c r="AC18" s="69">
        <v>2750.8972783892159</v>
      </c>
    </row>
    <row r="19" spans="1:29" s="31" customFormat="1" ht="18" customHeight="1" x14ac:dyDescent="0.2">
      <c r="A19" s="212"/>
      <c r="B19" s="73"/>
      <c r="C19" s="355" t="s">
        <v>46</v>
      </c>
      <c r="D19" s="356"/>
      <c r="E19" s="356"/>
      <c r="F19" s="356"/>
      <c r="G19" s="356"/>
      <c r="H19" s="356"/>
      <c r="I19" s="356"/>
      <c r="J19" s="356"/>
      <c r="K19" s="69">
        <v>1517.94593061726</v>
      </c>
      <c r="L19" s="69">
        <v>1892.035847142374</v>
      </c>
      <c r="M19" s="69">
        <v>1100.4045773379203</v>
      </c>
      <c r="N19" s="69">
        <v>1212.8089694530267</v>
      </c>
      <c r="O19" s="69">
        <v>1766.2558376112013</v>
      </c>
      <c r="P19" s="69">
        <v>1383.5550125445375</v>
      </c>
      <c r="Q19" s="69">
        <v>696.96620649538852</v>
      </c>
      <c r="R19" s="69">
        <v>1758.9893766027606</v>
      </c>
      <c r="S19" s="69">
        <v>1048.7299794491726</v>
      </c>
      <c r="T19" s="69">
        <v>1256.6794319869807</v>
      </c>
      <c r="U19" s="69">
        <v>724.81000371135315</v>
      </c>
      <c r="V19" s="69">
        <v>957.67636555724698</v>
      </c>
      <c r="W19" s="69">
        <v>1050.5200224235191</v>
      </c>
      <c r="X19" s="69">
        <v>1017.4430666319552</v>
      </c>
      <c r="Y19" s="69">
        <v>1277.7828679695315</v>
      </c>
      <c r="Z19" s="69"/>
      <c r="AA19" s="69"/>
      <c r="AB19" s="69"/>
      <c r="AC19" s="69"/>
    </row>
    <row r="20" spans="1:29" s="31" customFormat="1" ht="18" customHeight="1" x14ac:dyDescent="0.2">
      <c r="A20" s="212"/>
      <c r="B20" s="73"/>
      <c r="C20" s="355" t="s">
        <v>47</v>
      </c>
      <c r="D20" s="356"/>
      <c r="E20" s="356"/>
      <c r="F20" s="356"/>
      <c r="G20" s="356"/>
      <c r="H20" s="356"/>
      <c r="I20" s="356"/>
      <c r="J20" s="356"/>
      <c r="K20" s="69">
        <v>10616.0194725399</v>
      </c>
      <c r="L20" s="69">
        <v>6144.0649306729802</v>
      </c>
      <c r="M20" s="69">
        <v>10864.80728000622</v>
      </c>
      <c r="N20" s="69">
        <v>11236.291850016847</v>
      </c>
      <c r="O20" s="69">
        <v>6457.7103985958674</v>
      </c>
      <c r="P20" s="69">
        <v>7189.040982512658</v>
      </c>
      <c r="Q20" s="69">
        <v>5088.2103335099628</v>
      </c>
      <c r="R20" s="69">
        <v>3445.339377984857</v>
      </c>
      <c r="S20" s="69">
        <v>4931.8509388466209</v>
      </c>
      <c r="T20" s="69">
        <v>2283.6693104493311</v>
      </c>
      <c r="U20" s="69">
        <v>5867.7603396883651</v>
      </c>
      <c r="V20" s="69">
        <v>6142.8374690653718</v>
      </c>
      <c r="W20" s="69">
        <v>5107.7949483235243</v>
      </c>
      <c r="X20" s="69">
        <v>3962.3559818615699</v>
      </c>
      <c r="Y20" s="69">
        <v>5399.8335238304626</v>
      </c>
      <c r="Z20" s="69">
        <v>7108.7054678669274</v>
      </c>
      <c r="AA20" s="69">
        <v>6194.677197802198</v>
      </c>
      <c r="AB20" s="69">
        <v>8220.4798418292794</v>
      </c>
      <c r="AC20" s="69">
        <v>7933.4657452435795</v>
      </c>
    </row>
    <row r="21" spans="1:29" s="31" customFormat="1" ht="18" customHeight="1" x14ac:dyDescent="0.2">
      <c r="A21" s="212"/>
      <c r="B21" s="73"/>
      <c r="C21" s="355" t="s">
        <v>48</v>
      </c>
      <c r="D21" s="356"/>
      <c r="E21" s="356"/>
      <c r="F21" s="356"/>
      <c r="G21" s="356"/>
      <c r="H21" s="356"/>
      <c r="I21" s="356"/>
      <c r="J21" s="356"/>
      <c r="K21" s="69">
        <v>1719.2352774364301</v>
      </c>
      <c r="L21" s="69">
        <v>1685.5765979032803</v>
      </c>
      <c r="M21" s="69">
        <v>106.13720291431865</v>
      </c>
      <c r="N21" s="69">
        <v>282.24574018356913</v>
      </c>
      <c r="O21" s="69">
        <v>1637.9172756294054</v>
      </c>
      <c r="P21" s="69">
        <v>366.42393202320955</v>
      </c>
      <c r="Q21" s="69">
        <v>806.08398524284075</v>
      </c>
      <c r="R21" s="69">
        <v>876.16564726744753</v>
      </c>
      <c r="S21" s="69">
        <v>259.84933603660124</v>
      </c>
      <c r="T21" s="69">
        <v>396.31444164011742</v>
      </c>
      <c r="U21" s="69">
        <v>1337.5113968951516</v>
      </c>
      <c r="V21" s="69">
        <v>328.65117026247418</v>
      </c>
      <c r="W21" s="69">
        <v>711.24904499128604</v>
      </c>
      <c r="X21" s="69">
        <v>745.40218813515821</v>
      </c>
      <c r="Y21" s="69">
        <v>795.17217161878341</v>
      </c>
      <c r="Z21" s="69"/>
      <c r="AA21" s="69"/>
      <c r="AB21" s="69"/>
      <c r="AC21" s="69"/>
    </row>
    <row r="22" spans="1:29" s="31" customFormat="1" ht="18" customHeight="1" x14ac:dyDescent="0.2">
      <c r="A22" s="212"/>
      <c r="B22" s="73"/>
      <c r="C22" s="355" t="s">
        <v>49</v>
      </c>
      <c r="D22" s="356"/>
      <c r="E22" s="356"/>
      <c r="F22" s="356"/>
      <c r="G22" s="356"/>
      <c r="H22" s="356"/>
      <c r="I22" s="356"/>
      <c r="J22" s="356"/>
      <c r="K22" s="69">
        <v>1014.1270441440599</v>
      </c>
      <c r="L22" s="69">
        <v>190.98748731822792</v>
      </c>
      <c r="M22" s="69">
        <v>425.78624673039116</v>
      </c>
      <c r="N22" s="69">
        <v>435.98041975531515</v>
      </c>
      <c r="O22" s="69">
        <v>700.89149076916044</v>
      </c>
      <c r="P22" s="69">
        <v>252.82387518416132</v>
      </c>
      <c r="Q22" s="69">
        <v>133.0302968702581</v>
      </c>
      <c r="R22" s="69">
        <v>122.77738512522238</v>
      </c>
      <c r="S22" s="69">
        <v>307.4619974086736</v>
      </c>
      <c r="T22" s="69">
        <v>250.05860121146972</v>
      </c>
      <c r="U22" s="69">
        <v>323.83699650864054</v>
      </c>
      <c r="V22" s="69">
        <v>309.78725018208934</v>
      </c>
      <c r="W22" s="69">
        <v>841.13331026610194</v>
      </c>
      <c r="X22" s="69">
        <v>449.23298454343342</v>
      </c>
      <c r="Y22" s="69">
        <v>328.56980324387189</v>
      </c>
      <c r="Z22" s="69">
        <v>471.27077517025032</v>
      </c>
      <c r="AA22" s="69">
        <v>583.28657280219784</v>
      </c>
      <c r="AB22" s="69">
        <v>413.79626923407545</v>
      </c>
      <c r="AC22" s="69">
        <v>868.52845320365168</v>
      </c>
    </row>
    <row r="23" spans="1:29" s="31" customFormat="1" ht="18" customHeight="1" x14ac:dyDescent="0.2">
      <c r="A23" s="212"/>
      <c r="B23" s="73"/>
      <c r="C23" s="355" t="s">
        <v>50</v>
      </c>
      <c r="D23" s="356"/>
      <c r="E23" s="356"/>
      <c r="F23" s="356"/>
      <c r="G23" s="356"/>
      <c r="H23" s="356"/>
      <c r="I23" s="356"/>
      <c r="J23" s="356"/>
      <c r="K23" s="69">
        <v>1774.88609509405</v>
      </c>
      <c r="L23" s="69">
        <v>2407.5921542103483</v>
      </c>
      <c r="M23" s="69">
        <v>1860.1473025716132</v>
      </c>
      <c r="N23" s="69">
        <v>1781.3610590014373</v>
      </c>
      <c r="O23" s="69">
        <v>1818.6372875850011</v>
      </c>
      <c r="P23" s="69">
        <v>1919.8604164185397</v>
      </c>
      <c r="Q23" s="69">
        <v>1356.3918672889913</v>
      </c>
      <c r="R23" s="69">
        <v>1235.3070491093081</v>
      </c>
      <c r="S23" s="69">
        <v>1206.660782460594</v>
      </c>
      <c r="T23" s="69">
        <v>1549.2961029562996</v>
      </c>
      <c r="U23" s="69">
        <v>1503.4848376998261</v>
      </c>
      <c r="V23" s="69">
        <v>1517.9899080141927</v>
      </c>
      <c r="W23" s="69">
        <v>2079.8359689332574</v>
      </c>
      <c r="X23" s="69">
        <v>1642.9379954938277</v>
      </c>
      <c r="Y23" s="69">
        <v>1664.054174543857</v>
      </c>
      <c r="Z23" s="69">
        <v>1534.9608581086165</v>
      </c>
      <c r="AA23" s="69">
        <v>1643.0195741758241</v>
      </c>
      <c r="AB23" s="69">
        <v>1128.4698701968539</v>
      </c>
      <c r="AC23" s="69">
        <v>1072.9302107328726</v>
      </c>
    </row>
    <row r="24" spans="1:29" s="31" customFormat="1" ht="18" customHeight="1" x14ac:dyDescent="0.2">
      <c r="A24" s="212"/>
      <c r="B24" s="73"/>
      <c r="C24" s="355" t="s">
        <v>41</v>
      </c>
      <c r="D24" s="356"/>
      <c r="E24" s="356"/>
      <c r="F24" s="356"/>
      <c r="G24" s="356"/>
      <c r="H24" s="356"/>
      <c r="I24" s="356"/>
      <c r="J24" s="356"/>
      <c r="K24" s="69">
        <v>6417.4638434634699</v>
      </c>
      <c r="L24" s="69">
        <v>6021.3053770713559</v>
      </c>
      <c r="M24" s="69">
        <v>4424.9418051201501</v>
      </c>
      <c r="N24" s="69">
        <v>3629.1801708812727</v>
      </c>
      <c r="O24" s="69">
        <v>4036.8613607233428</v>
      </c>
      <c r="P24" s="69">
        <v>3667.9387352396366</v>
      </c>
      <c r="Q24" s="69">
        <v>4295.1303291830636</v>
      </c>
      <c r="R24" s="69">
        <v>3006.4487823307895</v>
      </c>
      <c r="S24" s="69">
        <v>2800.6273895184318</v>
      </c>
      <c r="T24" s="69">
        <v>4875.2620518831554</v>
      </c>
      <c r="U24" s="69">
        <v>3254.6123311498486</v>
      </c>
      <c r="V24" s="69">
        <v>3501.385678149461</v>
      </c>
      <c r="W24" s="69">
        <v>3538.8220559222773</v>
      </c>
      <c r="X24" s="69">
        <v>3332.1665970993799</v>
      </c>
      <c r="Y24" s="69">
        <v>3458.3568148432378</v>
      </c>
      <c r="Z24" s="69">
        <v>4064.6813298481998</v>
      </c>
      <c r="AA24" s="69">
        <v>4257.7761847527472</v>
      </c>
      <c r="AB24" s="69">
        <v>4538.4617897360959</v>
      </c>
      <c r="AC24" s="69">
        <v>4351.9674089241535</v>
      </c>
    </row>
    <row r="25" spans="1:29" s="31" customFormat="1" ht="18" customHeight="1" x14ac:dyDescent="0.2">
      <c r="A25" s="212"/>
      <c r="B25" s="73"/>
      <c r="C25" s="355" t="s">
        <v>51</v>
      </c>
      <c r="D25" s="356"/>
      <c r="E25" s="356"/>
      <c r="F25" s="356"/>
      <c r="G25" s="356"/>
      <c r="H25" s="356"/>
      <c r="I25" s="356"/>
      <c r="J25" s="356"/>
      <c r="K25" s="69"/>
      <c r="L25" s="69">
        <v>623.18227933716605</v>
      </c>
      <c r="M25" s="69">
        <v>199.4439180484575</v>
      </c>
      <c r="N25" s="69">
        <v>163.53648019901004</v>
      </c>
      <c r="O25" s="69">
        <v>410.20738871884242</v>
      </c>
      <c r="P25" s="69">
        <v>322.29890466070822</v>
      </c>
      <c r="Q25" s="69">
        <v>283.67501302672855</v>
      </c>
      <c r="R25" s="69">
        <v>68.497599442682755</v>
      </c>
      <c r="S25" s="69">
        <v>192.84275245941754</v>
      </c>
      <c r="T25" s="69">
        <v>209.38149977806461</v>
      </c>
      <c r="U25" s="69">
        <v>187.29959018051034</v>
      </c>
      <c r="V25" s="69">
        <v>121.81600804638695</v>
      </c>
      <c r="W25" s="69">
        <v>121.05628293026113</v>
      </c>
      <c r="X25" s="69">
        <v>1354.5410268440448</v>
      </c>
      <c r="Y25" s="69">
        <v>316.97901006785855</v>
      </c>
      <c r="Z25" s="69">
        <v>275.17309683766314</v>
      </c>
      <c r="AA25" s="69">
        <v>190.40693681318683</v>
      </c>
      <c r="AB25" s="69">
        <v>170.25797300782259</v>
      </c>
      <c r="AC25" s="69">
        <v>154.05613855473084</v>
      </c>
    </row>
    <row r="26" spans="1:29" s="31" customFormat="1" ht="18" customHeight="1" x14ac:dyDescent="0.2">
      <c r="A26" s="212"/>
      <c r="B26" s="73"/>
      <c r="C26" s="355" t="s">
        <v>52</v>
      </c>
      <c r="D26" s="356"/>
      <c r="E26" s="356"/>
      <c r="F26" s="356"/>
      <c r="G26" s="356"/>
      <c r="H26" s="356"/>
      <c r="I26" s="356"/>
      <c r="J26" s="356"/>
      <c r="K26" s="69">
        <v>4175.5052462425601</v>
      </c>
      <c r="L26" s="69">
        <v>3528.1535339871493</v>
      </c>
      <c r="M26" s="69">
        <v>3342.5094558012634</v>
      </c>
      <c r="N26" s="69">
        <v>2720.8751666193302</v>
      </c>
      <c r="O26" s="69">
        <v>3879.6441867498047</v>
      </c>
      <c r="P26" s="69">
        <v>3879.39186159363</v>
      </c>
      <c r="Q26" s="69">
        <v>3168.0333329104428</v>
      </c>
      <c r="R26" s="69">
        <v>2114.3224880405314</v>
      </c>
      <c r="S26" s="69">
        <v>2488.7587270277086</v>
      </c>
      <c r="T26" s="69">
        <v>2316.5850214426323</v>
      </c>
      <c r="U26" s="69">
        <v>2756.4099526970299</v>
      </c>
      <c r="V26" s="69">
        <v>2895.017462343209</v>
      </c>
      <c r="W26" s="69">
        <v>2928.1238464636949</v>
      </c>
      <c r="X26" s="69">
        <v>3210.8288066440255</v>
      </c>
      <c r="Y26" s="69">
        <v>3749.4075217008735</v>
      </c>
      <c r="Z26" s="69">
        <v>3855.0274519877316</v>
      </c>
      <c r="AA26" s="69">
        <v>3277.9550137362639</v>
      </c>
      <c r="AB26" s="69">
        <v>3194.4837101349603</v>
      </c>
      <c r="AC26" s="69">
        <v>3261.4337513864007</v>
      </c>
    </row>
    <row r="27" spans="1:29" s="31" customFormat="1" ht="18" customHeight="1" x14ac:dyDescent="0.2">
      <c r="A27" s="214"/>
      <c r="B27" s="74"/>
      <c r="C27" s="348" t="s">
        <v>53</v>
      </c>
      <c r="D27" s="349"/>
      <c r="E27" s="349"/>
      <c r="F27" s="349"/>
      <c r="G27" s="349"/>
      <c r="H27" s="349"/>
      <c r="I27" s="349"/>
      <c r="J27" s="349"/>
      <c r="K27" s="210">
        <v>25255.867284242398</v>
      </c>
      <c r="L27" s="210">
        <v>25090.463307406153</v>
      </c>
      <c r="M27" s="210">
        <v>32248.527797741288</v>
      </c>
      <c r="N27" s="210">
        <v>21999.855042115541</v>
      </c>
      <c r="O27" s="210">
        <v>25193.058113856394</v>
      </c>
      <c r="P27" s="210">
        <v>24714.92361030238</v>
      </c>
      <c r="Q27" s="210">
        <v>22789.279564136508</v>
      </c>
      <c r="R27" s="210">
        <v>15380.872610594339</v>
      </c>
      <c r="S27" s="210">
        <v>22864.133179085842</v>
      </c>
      <c r="T27" s="210">
        <v>19923.955586507353</v>
      </c>
      <c r="U27" s="210">
        <v>21983.689551475276</v>
      </c>
      <c r="V27" s="210">
        <v>23049.427591773674</v>
      </c>
      <c r="W27" s="210">
        <v>23838.919428370296</v>
      </c>
      <c r="X27" s="210">
        <v>20137.547812842557</v>
      </c>
      <c r="Y27" s="210">
        <v>23899.106780506976</v>
      </c>
      <c r="Z27" s="210">
        <v>32109.850208710603</v>
      </c>
      <c r="AA27" s="210">
        <v>32298.877661401086</v>
      </c>
      <c r="AB27" s="210">
        <v>30863.624860311189</v>
      </c>
      <c r="AC27" s="210">
        <v>32212.503284702674</v>
      </c>
    </row>
    <row r="28" spans="1:29" s="31" customFormat="1" ht="18" customHeight="1" x14ac:dyDescent="0.2">
      <c r="A28" s="359" t="s">
        <v>69</v>
      </c>
      <c r="B28" s="360"/>
      <c r="C28" s="360"/>
      <c r="D28" s="360"/>
      <c r="E28" s="360"/>
      <c r="F28" s="360"/>
      <c r="G28" s="360"/>
      <c r="H28" s="360"/>
      <c r="I28" s="360"/>
      <c r="J28" s="360"/>
      <c r="K28" s="71"/>
      <c r="L28" s="71"/>
      <c r="M28" s="71"/>
      <c r="N28" s="71"/>
      <c r="O28" s="71"/>
      <c r="P28" s="71"/>
      <c r="Q28" s="71">
        <v>-5720.5274381988838</v>
      </c>
      <c r="R28" s="71">
        <v>15572.303212306466</v>
      </c>
      <c r="S28" s="71">
        <v>14829.407960750677</v>
      </c>
      <c r="T28" s="71">
        <v>10929.281830871134</v>
      </c>
      <c r="U28" s="71">
        <v>24441.410992555953</v>
      </c>
      <c r="V28" s="71">
        <v>22774.960269996802</v>
      </c>
      <c r="W28" s="71">
        <v>18698.309246235993</v>
      </c>
      <c r="X28" s="71">
        <v>23380.273491645799</v>
      </c>
      <c r="Y28" s="71">
        <v>29526.198929435017</v>
      </c>
      <c r="Z28" s="71">
        <v>25452.029889026253</v>
      </c>
      <c r="AA28" s="71">
        <v>14916.701579670329</v>
      </c>
      <c r="AB28" s="71">
        <v>6444.6221954783796</v>
      </c>
      <c r="AC28" s="71">
        <v>19039.015698319257</v>
      </c>
    </row>
    <row r="29" spans="1:29" s="31" customFormat="1" ht="18" customHeight="1" x14ac:dyDescent="0.2">
      <c r="A29" s="357" t="s">
        <v>54</v>
      </c>
      <c r="B29" s="358"/>
      <c r="C29" s="358"/>
      <c r="D29" s="358"/>
      <c r="E29" s="358"/>
      <c r="F29" s="358"/>
      <c r="G29" s="358"/>
      <c r="H29" s="358"/>
      <c r="I29" s="358"/>
      <c r="J29" s="358"/>
      <c r="K29" s="188">
        <v>2407.0384724454102</v>
      </c>
      <c r="L29" s="188">
        <v>11796.161650321272</v>
      </c>
      <c r="M29" s="188">
        <v>5598.1371490849433</v>
      </c>
      <c r="N29" s="188">
        <v>2776.4025130119608</v>
      </c>
      <c r="O29" s="188">
        <v>7786.7427031027446</v>
      </c>
      <c r="P29" s="188">
        <v>3089.9719228885774</v>
      </c>
      <c r="Q29" s="188">
        <v>8077.9934984168613</v>
      </c>
      <c r="R29" s="188">
        <v>3025.8806532345661</v>
      </c>
      <c r="S29" s="188">
        <v>5771.7020497712074</v>
      </c>
      <c r="T29" s="188">
        <v>4279.5414234849113</v>
      </c>
      <c r="U29" s="188">
        <v>2227.8202648717211</v>
      </c>
      <c r="V29" s="188">
        <v>6134.5398474860285</v>
      </c>
      <c r="W29" s="188">
        <v>6969.2110531232574</v>
      </c>
      <c r="X29" s="188">
        <v>4231.552986126514</v>
      </c>
      <c r="Y29" s="188">
        <v>5245.8625971234305</v>
      </c>
      <c r="Z29" s="188">
        <v>7756.6673661720424</v>
      </c>
      <c r="AA29" s="188">
        <v>10444.963856456043</v>
      </c>
      <c r="AB29" s="188">
        <v>15604.907848362418</v>
      </c>
      <c r="AC29" s="188">
        <v>12625.212780479482</v>
      </c>
    </row>
    <row r="30" spans="1:29" s="31" customFormat="1" ht="18" customHeight="1" x14ac:dyDescent="0.2">
      <c r="A30" s="212"/>
      <c r="B30" s="359" t="s">
        <v>55</v>
      </c>
      <c r="C30" s="360"/>
      <c r="D30" s="360"/>
      <c r="E30" s="360"/>
      <c r="F30" s="360"/>
      <c r="G30" s="360"/>
      <c r="H30" s="360"/>
      <c r="I30" s="360"/>
      <c r="J30" s="360"/>
      <c r="K30" s="71">
        <v>11706.708573589201</v>
      </c>
      <c r="L30" s="71">
        <v>18312.817044301657</v>
      </c>
      <c r="M30" s="71">
        <v>15870.317776606298</v>
      </c>
      <c r="N30" s="71">
        <v>8762.4170159556306</v>
      </c>
      <c r="O30" s="71">
        <v>16617.504654797711</v>
      </c>
      <c r="P30" s="71">
        <v>11719.467402855005</v>
      </c>
      <c r="Q30" s="71">
        <v>14404.454891943666</v>
      </c>
      <c r="R30" s="71">
        <v>9644.9986777607246</v>
      </c>
      <c r="S30" s="71">
        <v>10674.111133471</v>
      </c>
      <c r="T30" s="71">
        <v>8467.388811671537</v>
      </c>
      <c r="U30" s="71">
        <v>9151.8681019417509</v>
      </c>
      <c r="V30" s="71">
        <v>11058.746538500076</v>
      </c>
      <c r="W30" s="71">
        <v>11439.034262362195</v>
      </c>
      <c r="X30" s="71">
        <v>8749.1199839279634</v>
      </c>
      <c r="Y30" s="71">
        <v>9320.1234902680262</v>
      </c>
      <c r="Z30" s="71">
        <v>12801.808749544352</v>
      </c>
      <c r="AA30" s="71">
        <v>14934.450635302199</v>
      </c>
      <c r="AB30" s="71">
        <v>23174.723201237855</v>
      </c>
      <c r="AC30" s="71">
        <v>17012.746267383329</v>
      </c>
    </row>
    <row r="31" spans="1:29" s="31" customFormat="1" ht="18" customHeight="1" x14ac:dyDescent="0.2">
      <c r="A31" s="212"/>
      <c r="B31" s="357" t="s">
        <v>56</v>
      </c>
      <c r="C31" s="358"/>
      <c r="D31" s="358"/>
      <c r="E31" s="358"/>
      <c r="F31" s="358"/>
      <c r="G31" s="358"/>
      <c r="H31" s="358"/>
      <c r="I31" s="358"/>
      <c r="J31" s="358"/>
      <c r="K31" s="188">
        <v>9299.6701011437799</v>
      </c>
      <c r="L31" s="188">
        <v>6516.6553939803853</v>
      </c>
      <c r="M31" s="188">
        <v>10272.180627521309</v>
      </c>
      <c r="N31" s="188">
        <v>5986.014502943668</v>
      </c>
      <c r="O31" s="188">
        <v>8830.7619516949744</v>
      </c>
      <c r="P31" s="188">
        <v>8629.4954799664629</v>
      </c>
      <c r="Q31" s="188">
        <v>6326.4613935268444</v>
      </c>
      <c r="R31" s="188">
        <v>6619.1180245261594</v>
      </c>
      <c r="S31" s="188">
        <v>4902.4090836997884</v>
      </c>
      <c r="T31" s="188">
        <v>4187.8473881866203</v>
      </c>
      <c r="U31" s="188">
        <v>6924.0478370700393</v>
      </c>
      <c r="V31" s="188">
        <v>4924.2066910140702</v>
      </c>
      <c r="W31" s="188">
        <v>4469.8232092389208</v>
      </c>
      <c r="X31" s="188">
        <v>4517.5669978014503</v>
      </c>
      <c r="Y31" s="188">
        <v>4074.2608931445925</v>
      </c>
      <c r="Z31" s="188">
        <v>5045.1413833723</v>
      </c>
      <c r="AA31" s="188">
        <v>4489.4867788461543</v>
      </c>
      <c r="AB31" s="188">
        <v>7569.8152669130914</v>
      </c>
      <c r="AC31" s="188">
        <v>4387.533486903847</v>
      </c>
    </row>
    <row r="32" spans="1:29" s="31" customFormat="1" ht="18" customHeight="1" x14ac:dyDescent="0.2">
      <c r="A32" s="212"/>
      <c r="B32" s="73"/>
      <c r="C32" s="346" t="s">
        <v>57</v>
      </c>
      <c r="D32" s="347"/>
      <c r="E32" s="347"/>
      <c r="F32" s="347"/>
      <c r="G32" s="347"/>
      <c r="H32" s="347"/>
      <c r="I32" s="347"/>
      <c r="J32" s="347"/>
      <c r="K32" s="68">
        <v>5763.1628698364702</v>
      </c>
      <c r="L32" s="68">
        <v>3906.4930672979372</v>
      </c>
      <c r="M32" s="68">
        <v>4588.3464342149919</v>
      </c>
      <c r="N32" s="68">
        <v>4512.354348603124</v>
      </c>
      <c r="O32" s="68">
        <v>4985.428832062199</v>
      </c>
      <c r="P32" s="68">
        <v>5505.6652099536877</v>
      </c>
      <c r="Q32" s="68">
        <v>4520.5587211781049</v>
      </c>
      <c r="R32" s="68">
        <v>2935.220793603482</v>
      </c>
      <c r="S32" s="68">
        <v>3821.7553694134235</v>
      </c>
      <c r="T32" s="68">
        <v>3109.7218525381454</v>
      </c>
      <c r="U32" s="68">
        <v>1676.568749468124</v>
      </c>
      <c r="V32" s="68">
        <v>2733.1519287472388</v>
      </c>
      <c r="W32" s="68">
        <v>3264.8490820576903</v>
      </c>
      <c r="X32" s="68">
        <v>2223.974627144974</v>
      </c>
      <c r="Y32" s="68">
        <v>2379.4182178292176</v>
      </c>
      <c r="Z32" s="68">
        <v>2116.0715949807536</v>
      </c>
      <c r="AA32" s="68">
        <v>2298.377661401099</v>
      </c>
      <c r="AB32" s="68">
        <v>3200.0191696037136</v>
      </c>
      <c r="AC32" s="68">
        <v>2621.4978244177119</v>
      </c>
    </row>
    <row r="33" spans="1:29" s="31" customFormat="1" ht="18" customHeight="1" x14ac:dyDescent="0.2">
      <c r="A33" s="212"/>
      <c r="B33" s="73"/>
      <c r="C33" s="363" t="s">
        <v>58</v>
      </c>
      <c r="D33" s="364"/>
      <c r="E33" s="364"/>
      <c r="F33" s="364"/>
      <c r="G33" s="364"/>
      <c r="H33" s="364"/>
      <c r="I33" s="364"/>
      <c r="J33" s="364"/>
      <c r="K33" s="210">
        <v>3536.5072313073101</v>
      </c>
      <c r="L33" s="210">
        <v>2610.1623266824486</v>
      </c>
      <c r="M33" s="210">
        <v>5683.8341933063621</v>
      </c>
      <c r="N33" s="210">
        <v>1473.6601543405448</v>
      </c>
      <c r="O33" s="210">
        <v>3845.3331196327322</v>
      </c>
      <c r="P33" s="210">
        <v>3123.8302700127497</v>
      </c>
      <c r="Q33" s="210">
        <v>1805.9026723487293</v>
      </c>
      <c r="R33" s="210">
        <v>3683.897230922677</v>
      </c>
      <c r="S33" s="210">
        <v>1080.6537142863685</v>
      </c>
      <c r="T33" s="210">
        <v>1078.125535648473</v>
      </c>
      <c r="U33" s="210">
        <v>5247.4790876019169</v>
      </c>
      <c r="V33" s="210">
        <v>2191.0547622668278</v>
      </c>
      <c r="W33" s="210">
        <v>1204.9741271812313</v>
      </c>
      <c r="X33" s="210">
        <v>2293.5923706564749</v>
      </c>
      <c r="Y33" s="210">
        <v>1694.8426753153728</v>
      </c>
      <c r="Z33" s="210">
        <v>2929.0697883915464</v>
      </c>
      <c r="AA33" s="210">
        <v>2191.1091174450553</v>
      </c>
      <c r="AB33" s="210">
        <v>4369.7960973093777</v>
      </c>
      <c r="AC33" s="210">
        <v>1766.0356624861352</v>
      </c>
    </row>
    <row r="34" spans="1:29" s="31" customFormat="1" ht="18" customHeight="1" x14ac:dyDescent="0.2">
      <c r="A34" s="359" t="s">
        <v>59</v>
      </c>
      <c r="B34" s="360"/>
      <c r="C34" s="360"/>
      <c r="D34" s="360"/>
      <c r="E34" s="360"/>
      <c r="F34" s="360"/>
      <c r="G34" s="360"/>
      <c r="H34" s="360"/>
      <c r="I34" s="360"/>
      <c r="J34" s="365"/>
      <c r="K34" s="218">
        <v>36680.219302391604</v>
      </c>
      <c r="L34" s="218">
        <v>23439.972945552923</v>
      </c>
      <c r="M34" s="218">
        <v>35253.252258014058</v>
      </c>
      <c r="N34" s="218">
        <v>29271.720821107461</v>
      </c>
      <c r="O34" s="218">
        <v>29607.704240969095</v>
      </c>
      <c r="P34" s="218">
        <v>13705.028982010861</v>
      </c>
      <c r="Q34" s="218">
        <v>2357.4660602179861</v>
      </c>
      <c r="R34" s="218">
        <v>18598.183865541032</v>
      </c>
      <c r="S34" s="218">
        <v>20601.110010521905</v>
      </c>
      <c r="T34" s="218">
        <v>15208.823254356255</v>
      </c>
      <c r="U34" s="218">
        <v>26669.231257427666</v>
      </c>
      <c r="V34" s="218">
        <v>28909.500117482617</v>
      </c>
      <c r="W34" s="218">
        <v>25667.52029935893</v>
      </c>
      <c r="X34" s="218">
        <v>27611.826477772567</v>
      </c>
      <c r="Y34" s="218">
        <v>34772.061526559577</v>
      </c>
      <c r="Z34" s="218">
        <v>33208.697255198298</v>
      </c>
      <c r="AA34" s="218">
        <v>25361.665436126372</v>
      </c>
      <c r="AB34" s="218">
        <v>22049.530043840798</v>
      </c>
      <c r="AC34" s="218">
        <v>31664.228478798741</v>
      </c>
    </row>
    <row r="35" spans="1:29" s="31" customFormat="1" ht="18" customHeight="1" x14ac:dyDescent="0.2">
      <c r="A35" s="353" t="s">
        <v>60</v>
      </c>
      <c r="B35" s="354"/>
      <c r="C35" s="354"/>
      <c r="D35" s="354"/>
      <c r="E35" s="354"/>
      <c r="F35" s="354"/>
      <c r="G35" s="354"/>
      <c r="H35" s="354"/>
      <c r="I35" s="354"/>
      <c r="J35" s="354"/>
      <c r="K35" s="219"/>
      <c r="L35" s="219"/>
      <c r="M35" s="219"/>
      <c r="N35" s="219"/>
      <c r="O35" s="219">
        <v>4789.4685900943896</v>
      </c>
      <c r="P35" s="219">
        <v>4341.0015970435006</v>
      </c>
      <c r="Q35" s="219">
        <v>3531.0185595014586</v>
      </c>
      <c r="R35" s="219">
        <v>2164.5919596366289</v>
      </c>
      <c r="S35" s="219">
        <v>2908.1363327693243</v>
      </c>
      <c r="T35" s="219">
        <v>1453.3315662679133</v>
      </c>
      <c r="U35" s="219">
        <v>3179.6200260185497</v>
      </c>
      <c r="V35" s="219">
        <v>4447.758679566221</v>
      </c>
      <c r="W35" s="219">
        <v>3310.7450854782301</v>
      </c>
      <c r="X35" s="219">
        <v>3349.706756956612</v>
      </c>
      <c r="Y35" s="219">
        <v>4495.8577615156373</v>
      </c>
      <c r="Z35" s="219"/>
      <c r="AA35" s="219"/>
      <c r="AB35" s="219"/>
      <c r="AC35" s="219"/>
    </row>
    <row r="36" spans="1:29" s="31" customFormat="1" ht="18" customHeight="1" x14ac:dyDescent="0.2">
      <c r="A36" s="370" t="s">
        <v>61</v>
      </c>
      <c r="B36" s="371"/>
      <c r="C36" s="371"/>
      <c r="D36" s="371"/>
      <c r="E36" s="371"/>
      <c r="F36" s="371"/>
      <c r="G36" s="371"/>
      <c r="H36" s="371"/>
      <c r="I36" s="371"/>
      <c r="J36" s="371"/>
      <c r="K36" s="220"/>
      <c r="L36" s="220"/>
      <c r="M36" s="220"/>
      <c r="N36" s="220"/>
      <c r="O36" s="220">
        <v>10049.239360130607</v>
      </c>
      <c r="P36" s="220">
        <v>6896.6477546949818</v>
      </c>
      <c r="Q36" s="220">
        <v>5989.0494910657608</v>
      </c>
      <c r="R36" s="220">
        <v>5296.3081323676834</v>
      </c>
      <c r="S36" s="220">
        <v>7140.4261009811507</v>
      </c>
      <c r="T36" s="220">
        <v>5445.6099290904585</v>
      </c>
      <c r="U36" s="220">
        <v>6537.7815324138801</v>
      </c>
      <c r="V36" s="220">
        <v>8819.3433680445469</v>
      </c>
      <c r="W36" s="220">
        <v>6805.9786364873662</v>
      </c>
      <c r="X36" s="220">
        <v>6276.0266852339355</v>
      </c>
      <c r="Y36" s="220">
        <v>9631.2508649138363</v>
      </c>
      <c r="Z36" s="220"/>
      <c r="AA36" s="220"/>
      <c r="AB36" s="220"/>
      <c r="AC36" s="220"/>
    </row>
    <row r="37" spans="1:29" s="31" customFormat="1" ht="18" customHeight="1" x14ac:dyDescent="0.2">
      <c r="A37" s="359" t="s">
        <v>62</v>
      </c>
      <c r="B37" s="360"/>
      <c r="C37" s="360"/>
      <c r="D37" s="360"/>
      <c r="E37" s="360"/>
      <c r="F37" s="360"/>
      <c r="G37" s="360"/>
      <c r="H37" s="360"/>
      <c r="I37" s="360"/>
      <c r="J37" s="360"/>
      <c r="K37" s="71">
        <v>33275.554400226902</v>
      </c>
      <c r="L37" s="71">
        <v>21388.146770375381</v>
      </c>
      <c r="M37" s="71">
        <v>29801.338270766697</v>
      </c>
      <c r="N37" s="71">
        <v>29488.102045625979</v>
      </c>
      <c r="O37" s="71">
        <v>24347.933470932865</v>
      </c>
      <c r="P37" s="71">
        <v>11149.382824359429</v>
      </c>
      <c r="Q37" s="71">
        <v>-100.56487134631112</v>
      </c>
      <c r="R37" s="71">
        <v>15466.467692809974</v>
      </c>
      <c r="S37" s="71">
        <v>16368.820242310061</v>
      </c>
      <c r="T37" s="71">
        <v>11216.544891533722</v>
      </c>
      <c r="U37" s="71">
        <v>23311.069751032355</v>
      </c>
      <c r="V37" s="71">
        <v>24537.915429004279</v>
      </c>
      <c r="W37" s="71">
        <v>22172.286748349779</v>
      </c>
      <c r="X37" s="71">
        <v>24685.506549495254</v>
      </c>
      <c r="Y37" s="71">
        <v>29636.668423161394</v>
      </c>
      <c r="Z37" s="71">
        <v>29068.340088317207</v>
      </c>
      <c r="AA37" s="71">
        <v>28546.725103021981</v>
      </c>
      <c r="AB37" s="71">
        <v>17875.957190750451</v>
      </c>
      <c r="AC37" s="71">
        <v>30681.685009811452</v>
      </c>
    </row>
    <row r="38" spans="1:29" s="31" customFormat="1" ht="18" customHeight="1" x14ac:dyDescent="0.2">
      <c r="A38" s="361" t="s">
        <v>63</v>
      </c>
      <c r="B38" s="362"/>
      <c r="C38" s="362"/>
      <c r="D38" s="362"/>
      <c r="E38" s="362"/>
      <c r="F38" s="362"/>
      <c r="G38" s="362"/>
      <c r="H38" s="362"/>
      <c r="I38" s="362"/>
      <c r="J38" s="362"/>
      <c r="K38" s="218">
        <v>18320.843179884701</v>
      </c>
      <c r="L38" s="218">
        <v>13954.599256002704</v>
      </c>
      <c r="M38" s="218">
        <v>16791.532730697661</v>
      </c>
      <c r="N38" s="218">
        <v>17066.42728697725</v>
      </c>
      <c r="O38" s="218">
        <v>14347.263632501921</v>
      </c>
      <c r="P38" s="218">
        <v>3336.344587106295</v>
      </c>
      <c r="Q38" s="218">
        <v>-3787.4927325674339</v>
      </c>
      <c r="R38" s="218">
        <v>8943.8958575843117</v>
      </c>
      <c r="S38" s="218">
        <v>9741.340224918873</v>
      </c>
      <c r="T38" s="218">
        <v>6788.3790503388864</v>
      </c>
      <c r="U38" s="218">
        <v>13634.560437288017</v>
      </c>
      <c r="V38" s="218">
        <v>14688.782980817279</v>
      </c>
      <c r="W38" s="218">
        <v>15268.957590105378</v>
      </c>
      <c r="X38" s="218">
        <v>17681.423167918401</v>
      </c>
      <c r="Y38" s="218">
        <v>21167.97179714057</v>
      </c>
      <c r="Z38" s="218">
        <v>20386.951280725621</v>
      </c>
      <c r="AA38" s="218">
        <v>20336.771033653848</v>
      </c>
      <c r="AB38" s="218">
        <v>8776.397833748817</v>
      </c>
      <c r="AC38" s="218">
        <v>20806.53212183261</v>
      </c>
    </row>
    <row r="39" spans="1:29" s="31" customFormat="1" ht="18" customHeight="1" x14ac:dyDescent="0.2">
      <c r="A39" s="346" t="s">
        <v>64</v>
      </c>
      <c r="B39" s="347"/>
      <c r="C39" s="347"/>
      <c r="D39" s="347"/>
      <c r="E39" s="347"/>
      <c r="F39" s="347"/>
      <c r="G39" s="347"/>
      <c r="H39" s="347"/>
      <c r="I39" s="347"/>
      <c r="J39" s="347"/>
      <c r="K39" s="68"/>
      <c r="L39" s="68"/>
      <c r="M39" s="68"/>
      <c r="N39" s="68"/>
      <c r="O39" s="68"/>
      <c r="P39" s="68"/>
      <c r="Q39" s="68"/>
      <c r="R39" s="68"/>
      <c r="S39" s="68"/>
      <c r="T39" s="68"/>
      <c r="U39" s="68"/>
      <c r="V39" s="68"/>
      <c r="W39" s="68"/>
      <c r="X39" s="68"/>
      <c r="Y39" s="68"/>
      <c r="Z39" s="68"/>
      <c r="AA39" s="68"/>
      <c r="AB39" s="68"/>
      <c r="AC39" s="68"/>
    </row>
    <row r="40" spans="1:29" s="31" customFormat="1" ht="18" customHeight="1" x14ac:dyDescent="0.2">
      <c r="A40" s="348" t="s">
        <v>65</v>
      </c>
      <c r="B40" s="349"/>
      <c r="C40" s="349"/>
      <c r="D40" s="349"/>
      <c r="E40" s="349"/>
      <c r="F40" s="349"/>
      <c r="G40" s="349"/>
      <c r="H40" s="349"/>
      <c r="I40" s="349"/>
      <c r="J40" s="349"/>
      <c r="K40" s="210"/>
      <c r="L40" s="210"/>
      <c r="M40" s="210"/>
      <c r="N40" s="210"/>
      <c r="O40" s="210"/>
      <c r="P40" s="210"/>
      <c r="Q40" s="210"/>
      <c r="R40" s="210"/>
      <c r="S40" s="210"/>
      <c r="T40" s="210"/>
      <c r="U40" s="210"/>
      <c r="V40" s="210"/>
      <c r="W40" s="210"/>
      <c r="X40" s="210"/>
      <c r="Y40" s="210"/>
      <c r="Z40" s="210"/>
      <c r="AA40" s="210"/>
      <c r="AB40" s="210"/>
      <c r="AC40" s="210"/>
    </row>
    <row r="41" spans="1:29" s="31" customFormat="1" ht="18" customHeight="1" x14ac:dyDescent="0.2">
      <c r="A41" s="208" t="s">
        <v>26</v>
      </c>
      <c r="B41" s="343" t="s">
        <v>68</v>
      </c>
      <c r="C41" s="343"/>
      <c r="D41" s="343"/>
      <c r="E41" s="343"/>
      <c r="F41" s="343"/>
      <c r="G41" s="343"/>
      <c r="H41" s="343"/>
      <c r="I41" s="343"/>
      <c r="J41" s="343"/>
      <c r="K41" s="71">
        <f t="shared" ref="K41:Q41" si="0">+K6-K8</f>
        <v>155477.87787125295</v>
      </c>
      <c r="L41" s="71">
        <f>+L6-L8</f>
        <v>116197.58200879279</v>
      </c>
      <c r="M41" s="71">
        <f t="shared" si="0"/>
        <v>138184.64476992516</v>
      </c>
      <c r="N41" s="71">
        <f t="shared" si="0"/>
        <v>121856.6151885296</v>
      </c>
      <c r="O41" s="71">
        <f t="shared" si="0"/>
        <v>118192.84219491843</v>
      </c>
      <c r="P41" s="71">
        <f t="shared" si="0"/>
        <v>101457.0164231502</v>
      </c>
      <c r="Q41" s="71">
        <f t="shared" si="0"/>
        <v>77649.250732335262</v>
      </c>
      <c r="R41" s="71">
        <f t="shared" ref="R41:AC41" si="1">R15</f>
        <v>77121.06066237537</v>
      </c>
      <c r="S41" s="71">
        <f t="shared" si="1"/>
        <v>87846.097781635166</v>
      </c>
      <c r="T41" s="71">
        <f t="shared" si="1"/>
        <v>78739.312488092022</v>
      </c>
      <c r="U41" s="71">
        <f t="shared" si="1"/>
        <v>101390.18439640115</v>
      </c>
      <c r="V41" s="71">
        <f t="shared" si="1"/>
        <v>105270.2720705965</v>
      </c>
      <c r="W41" s="71">
        <f t="shared" ref="W41:X41" si="2">W15</f>
        <v>99283.942154162607</v>
      </c>
      <c r="X41" s="71">
        <f t="shared" si="2"/>
        <v>99864.273896276325</v>
      </c>
      <c r="Y41" s="71">
        <f t="shared" ref="Y41:Z41" si="3">Y15</f>
        <v>115762.20462165831</v>
      </c>
      <c r="Z41" s="71">
        <f t="shared" si="3"/>
        <v>123690.27025246824</v>
      </c>
      <c r="AA41" s="71">
        <f t="shared" ref="AA41:AB41" si="4">AA15</f>
        <v>109089.29764766483</v>
      </c>
      <c r="AB41" s="71">
        <f t="shared" si="4"/>
        <v>105795.61016074961</v>
      </c>
      <c r="AC41" s="71">
        <f t="shared" si="1"/>
        <v>119880.72630321645</v>
      </c>
    </row>
    <row r="42" spans="1:29" s="31" customFormat="1" ht="18" customHeight="1" x14ac:dyDescent="0.2">
      <c r="A42" s="208" t="s">
        <v>27</v>
      </c>
      <c r="B42" s="343" t="s">
        <v>69</v>
      </c>
      <c r="C42" s="343"/>
      <c r="D42" s="343"/>
      <c r="E42" s="343"/>
      <c r="F42" s="343"/>
      <c r="G42" s="343"/>
      <c r="H42" s="343"/>
      <c r="I42" s="343"/>
      <c r="J42" s="343"/>
      <c r="K42" s="71">
        <f t="shared" ref="K42:P42" si="5">+K6-K7</f>
        <v>34273.196899514995</v>
      </c>
      <c r="L42" s="71">
        <f t="shared" si="5"/>
        <v>11643.895840378827</v>
      </c>
      <c r="M42" s="71">
        <f t="shared" si="5"/>
        <v>29655.115108928643</v>
      </c>
      <c r="N42" s="71">
        <f t="shared" si="5"/>
        <v>26495.318308094866</v>
      </c>
      <c r="O42" s="71">
        <f t="shared" si="5"/>
        <v>21820.961537866504</v>
      </c>
      <c r="P42" s="71">
        <f t="shared" si="5"/>
        <v>10615.057059120038</v>
      </c>
      <c r="Q42" s="71">
        <f t="shared" ref="Q42:AC42" si="6">Q28</f>
        <v>-5720.5274381988838</v>
      </c>
      <c r="R42" s="71">
        <f t="shared" si="6"/>
        <v>15572.303212306466</v>
      </c>
      <c r="S42" s="71">
        <f t="shared" si="6"/>
        <v>14829.407960750677</v>
      </c>
      <c r="T42" s="71">
        <f t="shared" si="6"/>
        <v>10929.281830871134</v>
      </c>
      <c r="U42" s="71">
        <f t="shared" si="6"/>
        <v>24441.410992555953</v>
      </c>
      <c r="V42" s="71">
        <f>V28</f>
        <v>22774.960269996802</v>
      </c>
      <c r="W42" s="71">
        <f>W28</f>
        <v>18698.309246235993</v>
      </c>
      <c r="X42" s="71">
        <f>X28</f>
        <v>23380.273491645799</v>
      </c>
      <c r="Y42" s="71">
        <f>Y28</f>
        <v>29526.198929435017</v>
      </c>
      <c r="Z42" s="71">
        <f t="shared" ref="Z42:AA42" si="7">Z28</f>
        <v>25452.029889026253</v>
      </c>
      <c r="AA42" s="71">
        <f t="shared" si="7"/>
        <v>14916.701579670329</v>
      </c>
      <c r="AB42" s="71">
        <f t="shared" ref="AB42" si="8">AB28</f>
        <v>6444.6221954783796</v>
      </c>
      <c r="AC42" s="71">
        <f t="shared" si="6"/>
        <v>19039.015698319257</v>
      </c>
    </row>
    <row r="43" spans="1:29" s="31" customFormat="1" ht="18" customHeight="1" x14ac:dyDescent="0.2">
      <c r="A43" s="208" t="s">
        <v>28</v>
      </c>
      <c r="B43" s="343" t="s">
        <v>182</v>
      </c>
      <c r="C43" s="343"/>
      <c r="D43" s="343"/>
      <c r="E43" s="343"/>
      <c r="F43" s="343"/>
      <c r="G43" s="343"/>
      <c r="H43" s="343"/>
      <c r="I43" s="343"/>
      <c r="J43" s="343"/>
      <c r="K43" s="71">
        <f t="shared" ref="K43:AC43" si="9">+K9+K10+K12</f>
        <v>635793.81983174302</v>
      </c>
      <c r="L43" s="71">
        <f>+L9+L10+L12</f>
        <v>485517.33175515727</v>
      </c>
      <c r="M43" s="71">
        <f t="shared" si="9"/>
        <v>486759.77619867399</v>
      </c>
      <c r="N43" s="71">
        <f t="shared" si="9"/>
        <v>508144.09967176756</v>
      </c>
      <c r="O43" s="71">
        <f t="shared" si="9"/>
        <v>468889.64843161154</v>
      </c>
      <c r="P43" s="71">
        <f t="shared" si="9"/>
        <v>564931.42039382434</v>
      </c>
      <c r="Q43" s="71">
        <f t="shared" si="9"/>
        <v>395057.54970244813</v>
      </c>
      <c r="R43" s="71">
        <f t="shared" si="9"/>
        <v>329797.07442174992</v>
      </c>
      <c r="S43" s="71">
        <f t="shared" si="9"/>
        <v>335106.00078749686</v>
      </c>
      <c r="T43" s="71">
        <f t="shared" ref="T43:Z43" si="10">+T9+T10+T12</f>
        <v>209781.81950460331</v>
      </c>
      <c r="U43" s="71">
        <f t="shared" si="10"/>
        <v>415161.56302762032</v>
      </c>
      <c r="V43" s="71">
        <f t="shared" si="10"/>
        <v>444215.8509789072</v>
      </c>
      <c r="W43" s="71">
        <f t="shared" si="10"/>
        <v>483906.21294430626</v>
      </c>
      <c r="X43" s="71">
        <f t="shared" si="10"/>
        <v>422331.28975758096</v>
      </c>
      <c r="Y43" s="71">
        <f t="shared" si="10"/>
        <v>431976.18943618046</v>
      </c>
      <c r="Z43" s="71">
        <f t="shared" si="10"/>
        <v>481138.21410023753</v>
      </c>
      <c r="AA43" s="71">
        <f t="shared" ref="AA43:AB43" si="11">+AA9+AA10+AA12</f>
        <v>483919.67299107148</v>
      </c>
      <c r="AB43" s="71">
        <f t="shared" si="11"/>
        <v>479279.45817931741</v>
      </c>
      <c r="AC43" s="71">
        <f t="shared" si="9"/>
        <v>488937.16031055379</v>
      </c>
    </row>
    <row r="44" spans="1:29" s="31" customFormat="1" ht="18" customHeight="1" x14ac:dyDescent="0.2">
      <c r="A44" s="208" t="s">
        <v>29</v>
      </c>
      <c r="B44" s="343" t="s">
        <v>184</v>
      </c>
      <c r="C44" s="343"/>
      <c r="D44" s="343"/>
      <c r="E44" s="343"/>
      <c r="F44" s="343"/>
      <c r="G44" s="343"/>
      <c r="H44" s="343"/>
      <c r="I44" s="343"/>
      <c r="J44" s="343"/>
      <c r="K44" s="71">
        <f t="shared" ref="K44:AC44" si="12">+K6-K43</f>
        <v>393255.67539464694</v>
      </c>
      <c r="L44" s="71">
        <f t="shared" si="12"/>
        <v>307123.01318904298</v>
      </c>
      <c r="M44" s="71">
        <f t="shared" si="12"/>
        <v>346290.95397098793</v>
      </c>
      <c r="N44" s="71">
        <f t="shared" si="12"/>
        <v>319920.16979466029</v>
      </c>
      <c r="O44" s="71">
        <f t="shared" si="12"/>
        <v>332815.60714089364</v>
      </c>
      <c r="P44" s="71">
        <f t="shared" si="12"/>
        <v>357060.51252820645</v>
      </c>
      <c r="Q44" s="71">
        <f t="shared" si="12"/>
        <v>264705.09718996001</v>
      </c>
      <c r="R44" s="71">
        <f t="shared" si="12"/>
        <v>267789.74428650481</v>
      </c>
      <c r="S44" s="71">
        <f t="shared" si="12"/>
        <v>227037.89144963975</v>
      </c>
      <c r="T44" s="71">
        <f t="shared" ref="T44:Z44" si="13">+T6-T43</f>
        <v>192388.09286662968</v>
      </c>
      <c r="U44" s="71">
        <f t="shared" si="13"/>
        <v>304316.27490475238</v>
      </c>
      <c r="V44" s="71">
        <f t="shared" si="13"/>
        <v>312954.82536491682</v>
      </c>
      <c r="W44" s="71">
        <f t="shared" si="13"/>
        <v>311920.24688486051</v>
      </c>
      <c r="X44" s="71">
        <f t="shared" si="13"/>
        <v>338070.06779931614</v>
      </c>
      <c r="Y44" s="71">
        <f t="shared" si="13"/>
        <v>329132.95276115375</v>
      </c>
      <c r="Z44" s="71">
        <f t="shared" si="13"/>
        <v>384947.37213565846</v>
      </c>
      <c r="AA44" s="71">
        <f t="shared" ref="AA44:AB44" si="14">+AA6-AA43</f>
        <v>368613.81224244507</v>
      </c>
      <c r="AB44" s="71">
        <f t="shared" si="14"/>
        <v>403636.12464540533</v>
      </c>
      <c r="AC44" s="71">
        <f t="shared" si="12"/>
        <v>374651.02943434851</v>
      </c>
    </row>
    <row r="45" spans="1:29" s="31" customFormat="1" ht="18" customHeight="1" x14ac:dyDescent="0.2">
      <c r="A45" s="208" t="s">
        <v>30</v>
      </c>
      <c r="B45" s="343" t="s">
        <v>183</v>
      </c>
      <c r="C45" s="343"/>
      <c r="D45" s="343"/>
      <c r="E45" s="343"/>
      <c r="F45" s="343"/>
      <c r="G45" s="343"/>
      <c r="H45" s="343"/>
      <c r="I45" s="343"/>
      <c r="J45" s="343"/>
      <c r="K45" s="71">
        <f t="shared" ref="K45:AC45" si="15">+K11+K13+K14+K16</f>
        <v>358982.47849513101</v>
      </c>
      <c r="L45" s="71">
        <f>+L11+L13+L14+L16</f>
        <v>295479.20189381129</v>
      </c>
      <c r="M45" s="71">
        <f t="shared" si="15"/>
        <v>316635.83886205981</v>
      </c>
      <c r="N45" s="71">
        <f t="shared" si="15"/>
        <v>293424.85148656601</v>
      </c>
      <c r="O45" s="71">
        <f t="shared" si="15"/>
        <v>310994.64560302824</v>
      </c>
      <c r="P45" s="71">
        <f t="shared" si="15"/>
        <v>346445.45546908339</v>
      </c>
      <c r="Q45" s="71">
        <f t="shared" si="15"/>
        <v>270425.6246281591</v>
      </c>
      <c r="R45" s="71">
        <f t="shared" si="15"/>
        <v>252217.44107419817</v>
      </c>
      <c r="S45" s="71">
        <f t="shared" si="15"/>
        <v>212208.48348888877</v>
      </c>
      <c r="T45" s="71">
        <f t="shared" ref="T45:Z45" si="16">+T11+T13+T14+T16</f>
        <v>181458.81103575838</v>
      </c>
      <c r="U45" s="71">
        <f t="shared" si="16"/>
        <v>279874.86391219631</v>
      </c>
      <c r="V45" s="71">
        <f t="shared" si="16"/>
        <v>290179.86509491998</v>
      </c>
      <c r="W45" s="71">
        <f t="shared" si="16"/>
        <v>293221.93763862416</v>
      </c>
      <c r="X45" s="71">
        <f t="shared" si="16"/>
        <v>314689.79430767021</v>
      </c>
      <c r="Y45" s="71">
        <f t="shared" si="16"/>
        <v>299606.75383171818</v>
      </c>
      <c r="Z45" s="71">
        <f t="shared" si="16"/>
        <v>359495.34224663128</v>
      </c>
      <c r="AA45" s="71">
        <f t="shared" ref="AA45:AB45" si="17">+AA11+AA13+AA14+AA16</f>
        <v>353697.11057692312</v>
      </c>
      <c r="AB45" s="71">
        <f t="shared" si="17"/>
        <v>397191.50244992715</v>
      </c>
      <c r="AC45" s="71">
        <f t="shared" si="15"/>
        <v>355612.01373602927</v>
      </c>
    </row>
    <row r="46" spans="1:29" s="31" customFormat="1" ht="18" customHeight="1" x14ac:dyDescent="0.2">
      <c r="A46" s="208" t="s">
        <v>31</v>
      </c>
      <c r="B46" s="343" t="s">
        <v>186</v>
      </c>
      <c r="C46" s="343"/>
      <c r="D46" s="343"/>
      <c r="E46" s="343"/>
      <c r="F46" s="343"/>
      <c r="G46" s="343"/>
      <c r="H46" s="343"/>
      <c r="I46" s="343"/>
      <c r="J46" s="343"/>
      <c r="K46" s="71">
        <f t="shared" ref="K46:AC46" si="18">+K34+K11+K17+K32+K18+K26+K13+K24</f>
        <v>286094.32744115661</v>
      </c>
      <c r="L46" s="71">
        <f>+L34+L11+L17+L32+L18+L26+L13+L24</f>
        <v>250574.1460940142</v>
      </c>
      <c r="M46" s="71">
        <f t="shared" si="18"/>
        <v>257321.94008351438</v>
      </c>
      <c r="N46" s="71">
        <f t="shared" si="18"/>
        <v>219036.55803865421</v>
      </c>
      <c r="O46" s="71">
        <f t="shared" si="18"/>
        <v>235101.21904616439</v>
      </c>
      <c r="P46" s="71">
        <f t="shared" si="18"/>
        <v>247965.95545076899</v>
      </c>
      <c r="Q46" s="71">
        <f t="shared" si="18"/>
        <v>192945.26216877112</v>
      </c>
      <c r="R46" s="71">
        <f t="shared" si="18"/>
        <v>176444.36141372751</v>
      </c>
      <c r="S46" s="71">
        <f t="shared" si="18"/>
        <v>164141.77776144541</v>
      </c>
      <c r="T46" s="71">
        <f t="shared" ref="T46:Z46" si="19">+T34+T11+T17+T32+T18+T26+T13+T24</f>
        <v>150346.12181809734</v>
      </c>
      <c r="U46" s="71">
        <f t="shared" si="19"/>
        <v>217812.40771082268</v>
      </c>
      <c r="V46" s="71">
        <f t="shared" si="19"/>
        <v>221696.17231530222</v>
      </c>
      <c r="W46" s="71">
        <f t="shared" si="19"/>
        <v>221775.08371167482</v>
      </c>
      <c r="X46" s="71">
        <f t="shared" si="19"/>
        <v>240703.7757037149</v>
      </c>
      <c r="Y46" s="71">
        <f t="shared" si="19"/>
        <v>247672.00359718921</v>
      </c>
      <c r="Z46" s="71">
        <f t="shared" si="19"/>
        <v>245112.66076379738</v>
      </c>
      <c r="AA46" s="71">
        <f t="shared" ref="AA46:AB46" si="20">+AA34+AA11+AA17+AA32+AA18+AA26+AA13+AA24</f>
        <v>228405.63684752746</v>
      </c>
      <c r="AB46" s="71">
        <f t="shared" si="20"/>
        <v>254244.77039456714</v>
      </c>
      <c r="AC46" s="71">
        <f t="shared" si="18"/>
        <v>243885.40346386828</v>
      </c>
    </row>
    <row r="47" spans="1:29" s="31" customFormat="1" ht="18" customHeight="1" x14ac:dyDescent="0.2">
      <c r="A47" s="208" t="s">
        <v>32</v>
      </c>
      <c r="B47" s="343" t="s">
        <v>185</v>
      </c>
      <c r="C47" s="343"/>
      <c r="D47" s="343"/>
      <c r="E47" s="343"/>
      <c r="F47" s="343"/>
      <c r="G47" s="343"/>
      <c r="H47" s="343"/>
      <c r="I47" s="343"/>
      <c r="J47" s="343"/>
      <c r="K47" s="71">
        <f t="shared" ref="K47:AC47" si="21">+K6-K9-K10-K12</f>
        <v>393255.67539464694</v>
      </c>
      <c r="L47" s="71">
        <f>+L6-L9-L10-L12</f>
        <v>307123.01318904298</v>
      </c>
      <c r="M47" s="71">
        <f t="shared" si="21"/>
        <v>346290.95397098799</v>
      </c>
      <c r="N47" s="71">
        <f t="shared" si="21"/>
        <v>319920.16979466018</v>
      </c>
      <c r="O47" s="71">
        <f t="shared" si="21"/>
        <v>332815.60714089364</v>
      </c>
      <c r="P47" s="71">
        <f t="shared" si="21"/>
        <v>357060.51252820645</v>
      </c>
      <c r="Q47" s="71">
        <f t="shared" si="21"/>
        <v>264705.09718996001</v>
      </c>
      <c r="R47" s="71">
        <f t="shared" si="21"/>
        <v>267789.74428650487</v>
      </c>
      <c r="S47" s="71">
        <f t="shared" si="21"/>
        <v>227037.89144963975</v>
      </c>
      <c r="T47" s="71">
        <f t="shared" ref="T47:Z47" si="22">+T6-T9-T10-T12</f>
        <v>192388.09286662968</v>
      </c>
      <c r="U47" s="71">
        <f t="shared" si="22"/>
        <v>304316.2749047525</v>
      </c>
      <c r="V47" s="71">
        <f t="shared" si="22"/>
        <v>312954.82536491682</v>
      </c>
      <c r="W47" s="71">
        <f t="shared" si="22"/>
        <v>311920.24688486045</v>
      </c>
      <c r="X47" s="71">
        <f t="shared" si="22"/>
        <v>338070.06779931602</v>
      </c>
      <c r="Y47" s="71">
        <f t="shared" si="22"/>
        <v>329132.95276115369</v>
      </c>
      <c r="Z47" s="71">
        <f t="shared" si="22"/>
        <v>384947.37213565846</v>
      </c>
      <c r="AA47" s="71">
        <f t="shared" ref="AA47:AB47" si="23">+AA6-AA9-AA10-AA12</f>
        <v>368613.81224244507</v>
      </c>
      <c r="AB47" s="71">
        <f t="shared" si="23"/>
        <v>403636.12464540533</v>
      </c>
      <c r="AC47" s="71">
        <f t="shared" si="21"/>
        <v>374651.02943434851</v>
      </c>
    </row>
    <row r="48" spans="1:29" x14ac:dyDescent="0.2">
      <c r="B48" s="368" t="s">
        <v>581</v>
      </c>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row>
    <row r="49" spans="2:29" x14ac:dyDescent="0.2">
      <c r="B49" s="369"/>
      <c r="C49" s="369"/>
      <c r="D49" s="369"/>
      <c r="E49" s="369"/>
      <c r="F49" s="369"/>
      <c r="G49" s="369"/>
      <c r="H49" s="369"/>
      <c r="I49" s="369"/>
      <c r="J49" s="369"/>
      <c r="K49" s="369"/>
      <c r="L49" s="369"/>
      <c r="M49" s="369"/>
      <c r="N49" s="369"/>
      <c r="O49" s="369"/>
      <c r="P49" s="369"/>
      <c r="Q49" s="369"/>
      <c r="R49" s="369"/>
      <c r="S49" s="369"/>
      <c r="T49" s="369"/>
      <c r="U49" s="369"/>
      <c r="V49" s="369"/>
      <c r="W49" s="369"/>
      <c r="X49" s="369"/>
      <c r="Y49" s="369"/>
      <c r="Z49" s="369"/>
      <c r="AA49" s="369"/>
      <c r="AB49" s="369"/>
      <c r="AC49" s="369"/>
    </row>
    <row r="50" spans="2:29" x14ac:dyDescent="0.2">
      <c r="AC50" s="3"/>
    </row>
    <row r="51" spans="2:29" x14ac:dyDescent="0.2">
      <c r="AC51" s="3"/>
    </row>
    <row r="52" spans="2:29" x14ac:dyDescent="0.2">
      <c r="AC52" s="3"/>
    </row>
    <row r="53" spans="2:29" x14ac:dyDescent="0.2">
      <c r="AC53" s="3"/>
    </row>
    <row r="54" spans="2:29" x14ac:dyDescent="0.2">
      <c r="AC54" s="3"/>
    </row>
    <row r="55" spans="2:29" x14ac:dyDescent="0.2">
      <c r="AC55" s="3"/>
    </row>
    <row r="56" spans="2:29" x14ac:dyDescent="0.2">
      <c r="AC56" s="3"/>
    </row>
    <row r="57" spans="2:29" x14ac:dyDescent="0.2">
      <c r="AC57" s="3"/>
    </row>
    <row r="58" spans="2:29" x14ac:dyDescent="0.2">
      <c r="AC58" s="3"/>
    </row>
    <row r="59" spans="2:29" x14ac:dyDescent="0.2">
      <c r="AC59" s="3"/>
    </row>
    <row r="60" spans="2:29" x14ac:dyDescent="0.2">
      <c r="AC60" s="3"/>
    </row>
    <row r="61" spans="2:29" x14ac:dyDescent="0.2">
      <c r="AC61" s="3"/>
    </row>
    <row r="62" spans="2:29" x14ac:dyDescent="0.2">
      <c r="AC62" s="3"/>
    </row>
    <row r="63" spans="2:29" x14ac:dyDescent="0.2">
      <c r="AC63" s="3"/>
    </row>
    <row r="64" spans="2:29" x14ac:dyDescent="0.2">
      <c r="AC64" s="3"/>
    </row>
    <row r="65" spans="29:29" x14ac:dyDescent="0.2">
      <c r="AC65" s="3"/>
    </row>
    <row r="66" spans="29:29" x14ac:dyDescent="0.2">
      <c r="AC66" s="3"/>
    </row>
    <row r="67" spans="29:29" x14ac:dyDescent="0.2">
      <c r="AC67" s="3"/>
    </row>
    <row r="68" spans="29:29" x14ac:dyDescent="0.2">
      <c r="AC68" s="3"/>
    </row>
    <row r="69" spans="29:29" x14ac:dyDescent="0.2">
      <c r="AC69" s="3"/>
    </row>
    <row r="70" spans="29:29" x14ac:dyDescent="0.2">
      <c r="AC70" s="3"/>
    </row>
    <row r="71" spans="29:29" x14ac:dyDescent="0.2">
      <c r="AC71" s="3"/>
    </row>
    <row r="72" spans="29:29" x14ac:dyDescent="0.2">
      <c r="AC72" s="3"/>
    </row>
    <row r="73" spans="29:29" x14ac:dyDescent="0.2">
      <c r="AC73" s="3"/>
    </row>
    <row r="74" spans="29:29" x14ac:dyDescent="0.2">
      <c r="AC74" s="3"/>
    </row>
    <row r="75" spans="29:29" x14ac:dyDescent="0.2">
      <c r="AC75" s="3"/>
    </row>
    <row r="76" spans="29:29" x14ac:dyDescent="0.2">
      <c r="AC76" s="3"/>
    </row>
    <row r="77" spans="29:29" x14ac:dyDescent="0.2">
      <c r="AC77" s="3"/>
    </row>
    <row r="78" spans="29:29" x14ac:dyDescent="0.2">
      <c r="AC78" s="3"/>
    </row>
    <row r="79" spans="29:29" x14ac:dyDescent="0.2">
      <c r="AC79" s="3"/>
    </row>
    <row r="80" spans="29:29" x14ac:dyDescent="0.2">
      <c r="AC80" s="3"/>
    </row>
    <row r="81" spans="29:29" x14ac:dyDescent="0.2">
      <c r="AC81" s="3"/>
    </row>
  </sheetData>
  <mergeCells count="48">
    <mergeCell ref="C10:J10"/>
    <mergeCell ref="C11:J11"/>
    <mergeCell ref="C12:J12"/>
    <mergeCell ref="C13:J13"/>
    <mergeCell ref="A6:J6"/>
    <mergeCell ref="A7:J7"/>
    <mergeCell ref="B8:J8"/>
    <mergeCell ref="C9:J9"/>
    <mergeCell ref="B48:AC49"/>
    <mergeCell ref="A4:J4"/>
    <mergeCell ref="B45:J45"/>
    <mergeCell ref="B44:J44"/>
    <mergeCell ref="B46:J46"/>
    <mergeCell ref="A5:J5"/>
    <mergeCell ref="C19:J19"/>
    <mergeCell ref="C20:J20"/>
    <mergeCell ref="C21:J21"/>
    <mergeCell ref="C22:J22"/>
    <mergeCell ref="B30:J30"/>
    <mergeCell ref="A36:J36"/>
    <mergeCell ref="A28:J28"/>
    <mergeCell ref="C14:J14"/>
    <mergeCell ref="B16:J16"/>
    <mergeCell ref="C17:J17"/>
    <mergeCell ref="C32:J32"/>
    <mergeCell ref="C33:J33"/>
    <mergeCell ref="A34:J34"/>
    <mergeCell ref="C18:J18"/>
    <mergeCell ref="A15:J15"/>
    <mergeCell ref="C23:J23"/>
    <mergeCell ref="C24:J24"/>
    <mergeCell ref="C25:J25"/>
    <mergeCell ref="B47:J47"/>
    <mergeCell ref="A1:J1"/>
    <mergeCell ref="A2:J2"/>
    <mergeCell ref="B41:J41"/>
    <mergeCell ref="B42:J42"/>
    <mergeCell ref="A39:J39"/>
    <mergeCell ref="A40:J40"/>
    <mergeCell ref="A3:J3"/>
    <mergeCell ref="B43:J43"/>
    <mergeCell ref="A35:J35"/>
    <mergeCell ref="C26:J26"/>
    <mergeCell ref="C27:J27"/>
    <mergeCell ref="A29:J29"/>
    <mergeCell ref="A37:J37"/>
    <mergeCell ref="A38:J38"/>
    <mergeCell ref="B31:J31"/>
  </mergeCells>
  <phoneticPr fontId="3"/>
  <pageMargins left="0.75" right="0.75" top="0.77" bottom="0.39" header="0.51200000000000001" footer="0.19"/>
  <pageSetup paperSize="9" scale="5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C84"/>
  <sheetViews>
    <sheetView workbookViewId="0">
      <selection activeCell="A2" sqref="A2:J2"/>
    </sheetView>
  </sheetViews>
  <sheetFormatPr defaultRowHeight="13.2" x14ac:dyDescent="0.2"/>
  <cols>
    <col min="1" max="3" width="1.88671875" customWidth="1"/>
    <col min="4" max="5" width="2.88671875" customWidth="1"/>
    <col min="6" max="6" width="3" customWidth="1"/>
    <col min="7" max="9" width="2.88671875" customWidth="1"/>
    <col min="10" max="10" width="15" customWidth="1"/>
    <col min="11" max="29" width="10.44140625" style="1" customWidth="1"/>
  </cols>
  <sheetData>
    <row r="1" spans="1:29" ht="16.2" x14ac:dyDescent="0.2">
      <c r="A1" s="344" t="s">
        <v>103</v>
      </c>
      <c r="B1" s="344"/>
      <c r="C1" s="344"/>
      <c r="D1" s="344"/>
      <c r="E1" s="344"/>
      <c r="F1" s="344"/>
      <c r="G1" s="344"/>
      <c r="H1" s="344"/>
      <c r="I1" s="344"/>
      <c r="J1" s="344"/>
      <c r="K1" s="5"/>
      <c r="L1" s="5"/>
      <c r="M1" s="5"/>
      <c r="N1" s="5"/>
      <c r="O1" s="5"/>
      <c r="P1" s="5"/>
      <c r="Q1" s="5"/>
      <c r="R1" s="5"/>
      <c r="S1" s="5"/>
      <c r="T1" s="5"/>
      <c r="U1" s="5"/>
      <c r="V1" s="5"/>
      <c r="W1" s="5"/>
      <c r="X1" s="5"/>
      <c r="Y1" s="5"/>
      <c r="Z1" s="5"/>
      <c r="AA1" s="5"/>
      <c r="AB1" s="5"/>
      <c r="AC1" s="5"/>
    </row>
    <row r="2" spans="1:29" ht="18" customHeight="1" x14ac:dyDescent="0.2">
      <c r="A2" s="345" t="s">
        <v>584</v>
      </c>
      <c r="B2" s="345"/>
      <c r="C2" s="345"/>
      <c r="D2" s="345"/>
      <c r="E2" s="345"/>
      <c r="F2" s="345"/>
      <c r="G2" s="345"/>
      <c r="H2" s="345"/>
      <c r="I2" s="345"/>
      <c r="J2" s="345"/>
      <c r="K2" s="4"/>
      <c r="L2" s="4"/>
      <c r="M2" s="4"/>
      <c r="N2" s="4"/>
      <c r="O2" s="4"/>
      <c r="P2" s="4"/>
      <c r="Q2" s="4"/>
      <c r="R2" s="4"/>
      <c r="S2" s="4"/>
      <c r="T2" s="4"/>
      <c r="U2" s="4"/>
      <c r="V2" s="4"/>
      <c r="W2" s="4"/>
      <c r="X2" s="4"/>
      <c r="Y2" s="4"/>
      <c r="Z2" s="4"/>
      <c r="AA2" s="4"/>
      <c r="AB2" s="4"/>
      <c r="AC2" s="72" t="s">
        <v>67</v>
      </c>
    </row>
    <row r="3" spans="1:29" s="31" customFormat="1" ht="18" customHeight="1" x14ac:dyDescent="0.2">
      <c r="A3" s="379"/>
      <c r="B3" s="379"/>
      <c r="C3" s="379"/>
      <c r="D3" s="379"/>
      <c r="E3" s="379"/>
      <c r="F3" s="379"/>
      <c r="G3" s="379"/>
      <c r="H3" s="379"/>
      <c r="I3" s="379"/>
      <c r="J3" s="379"/>
      <c r="K3" s="67" t="s">
        <v>532</v>
      </c>
      <c r="L3" s="67" t="s">
        <v>519</v>
      </c>
      <c r="M3" s="67" t="s">
        <v>520</v>
      </c>
      <c r="N3" s="67" t="s">
        <v>521</v>
      </c>
      <c r="O3" s="67" t="s">
        <v>522</v>
      </c>
      <c r="P3" s="67" t="s">
        <v>359</v>
      </c>
      <c r="Q3" s="67" t="s">
        <v>506</v>
      </c>
      <c r="R3" s="67" t="s">
        <v>511</v>
      </c>
      <c r="S3" s="67" t="s">
        <v>515</v>
      </c>
      <c r="T3" s="67" t="s">
        <v>517</v>
      </c>
      <c r="U3" s="67" t="s">
        <v>535</v>
      </c>
      <c r="V3" s="67" t="s">
        <v>536</v>
      </c>
      <c r="W3" s="67" t="s">
        <v>539</v>
      </c>
      <c r="X3" s="67" t="s">
        <v>554</v>
      </c>
      <c r="Y3" s="67" t="s">
        <v>557</v>
      </c>
      <c r="Z3" s="67" t="s">
        <v>559</v>
      </c>
      <c r="AA3" s="67" t="s">
        <v>563</v>
      </c>
      <c r="AB3" s="67" t="s">
        <v>576</v>
      </c>
      <c r="AC3" s="67" t="s">
        <v>580</v>
      </c>
    </row>
    <row r="4" spans="1:29" s="31" customFormat="1" ht="18" customHeight="1" x14ac:dyDescent="0.2">
      <c r="A4" s="390" t="s">
        <v>33</v>
      </c>
      <c r="B4" s="390"/>
      <c r="C4" s="390"/>
      <c r="D4" s="390"/>
      <c r="E4" s="390"/>
      <c r="F4" s="390"/>
      <c r="G4" s="390"/>
      <c r="H4" s="390"/>
      <c r="I4" s="390"/>
      <c r="J4" s="390"/>
      <c r="K4" s="68">
        <v>10579</v>
      </c>
      <c r="L4" s="68">
        <v>11828</v>
      </c>
      <c r="M4" s="68">
        <v>11618.683207354299</v>
      </c>
      <c r="N4" s="68">
        <v>11058.6963983154</v>
      </c>
      <c r="O4" s="68">
        <v>11776.705542006801</v>
      </c>
      <c r="P4" s="68">
        <v>11708.6800163281</v>
      </c>
      <c r="Q4" s="68">
        <v>10625.4896589041</v>
      </c>
      <c r="R4" s="68">
        <v>10620.15324027526</v>
      </c>
      <c r="S4" s="68">
        <v>10221.36872800001</v>
      </c>
      <c r="T4" s="68">
        <v>12467.898173074707</v>
      </c>
      <c r="U4" s="68">
        <v>12753.464825999994</v>
      </c>
      <c r="V4" s="68">
        <v>13053.492344999986</v>
      </c>
      <c r="W4" s="68">
        <v>13368.710625000036</v>
      </c>
      <c r="X4" s="68">
        <v>13699.888032999965</v>
      </c>
      <c r="Y4" s="68">
        <v>10948.023456000023</v>
      </c>
      <c r="Z4" s="68">
        <v>11564</v>
      </c>
      <c r="AA4" s="68">
        <v>11648</v>
      </c>
      <c r="AB4" s="68">
        <v>11633</v>
      </c>
      <c r="AC4" s="68">
        <v>11721</v>
      </c>
    </row>
    <row r="5" spans="1:29" s="31" customFormat="1" ht="18" customHeight="1" x14ac:dyDescent="0.2">
      <c r="A5" s="380" t="s">
        <v>34</v>
      </c>
      <c r="B5" s="380"/>
      <c r="C5" s="380"/>
      <c r="D5" s="380"/>
      <c r="E5" s="380"/>
      <c r="F5" s="380"/>
      <c r="G5" s="380"/>
      <c r="H5" s="380"/>
      <c r="I5" s="380"/>
      <c r="J5" s="380"/>
      <c r="K5" s="251">
        <v>48.160412137252997</v>
      </c>
      <c r="L5" s="251">
        <v>38.315776124450458</v>
      </c>
      <c r="M5" s="251">
        <v>44.019508482865284</v>
      </c>
      <c r="N5" s="251">
        <v>43.014104643464172</v>
      </c>
      <c r="O5" s="251">
        <v>37.965076794494827</v>
      </c>
      <c r="P5" s="251">
        <v>32.937291479925882</v>
      </c>
      <c r="Q5" s="251">
        <v>37.163617331832747</v>
      </c>
      <c r="R5" s="251">
        <v>30.345849549710508</v>
      </c>
      <c r="S5" s="251">
        <v>31.23826164863463</v>
      </c>
      <c r="T5" s="251">
        <v>30.078817816632029</v>
      </c>
      <c r="U5" s="251">
        <v>34.362096789145831</v>
      </c>
      <c r="V5" s="251">
        <v>35.008334185759061</v>
      </c>
      <c r="W5" s="251">
        <v>35.220515816685094</v>
      </c>
      <c r="X5" s="251">
        <v>34.977176696166573</v>
      </c>
      <c r="Y5" s="251">
        <v>37.679255544149747</v>
      </c>
      <c r="Z5" s="251">
        <v>39.554207210656429</v>
      </c>
      <c r="AA5" s="251">
        <v>38.318938873626372</v>
      </c>
      <c r="AB5" s="251">
        <v>40.571305768073586</v>
      </c>
      <c r="AC5" s="251">
        <v>39.521201262690894</v>
      </c>
    </row>
    <row r="6" spans="1:29" s="31" customFormat="1" ht="18" customHeight="1" x14ac:dyDescent="0.2">
      <c r="A6" s="381" t="s">
        <v>70</v>
      </c>
      <c r="B6" s="381"/>
      <c r="C6" s="381"/>
      <c r="D6" s="381"/>
      <c r="E6" s="381"/>
      <c r="F6" s="381"/>
      <c r="G6" s="381"/>
      <c r="H6" s="381"/>
      <c r="I6" s="381"/>
      <c r="J6" s="381"/>
      <c r="K6" s="211"/>
      <c r="L6" s="211">
        <v>5724</v>
      </c>
      <c r="M6" s="211">
        <v>5688.4135222822097</v>
      </c>
      <c r="N6" s="211">
        <v>5387.84839824951</v>
      </c>
      <c r="O6" s="211">
        <v>6515.9085174449301</v>
      </c>
      <c r="P6" s="211">
        <v>6330.01741250949</v>
      </c>
      <c r="Q6" s="211">
        <v>5855.2879859896902</v>
      </c>
      <c r="R6" s="211">
        <v>5556.3788599086975</v>
      </c>
      <c r="S6" s="211">
        <v>5289.2999249543864</v>
      </c>
      <c r="T6" s="211">
        <v>5261.4411842619666</v>
      </c>
      <c r="U6" s="211">
        <v>7054.9349566800747</v>
      </c>
      <c r="V6" s="211">
        <v>6392.1354952483653</v>
      </c>
      <c r="W6" s="211">
        <v>6798.7215116296265</v>
      </c>
      <c r="X6" s="211">
        <v>7022.8164477111559</v>
      </c>
      <c r="Y6" s="211">
        <v>5896.4880775833008</v>
      </c>
      <c r="Z6" s="211">
        <v>6209.4620843387638</v>
      </c>
      <c r="AA6" s="211">
        <v>6831</v>
      </c>
      <c r="AB6" s="211">
        <v>6980</v>
      </c>
      <c r="AC6" s="211">
        <v>7042</v>
      </c>
    </row>
    <row r="7" spans="1:29" s="31" customFormat="1" ht="18" customHeight="1" x14ac:dyDescent="0.2">
      <c r="A7" s="215" t="s">
        <v>360</v>
      </c>
      <c r="B7" s="394" t="s">
        <v>361</v>
      </c>
      <c r="C7" s="394"/>
      <c r="D7" s="394"/>
      <c r="E7" s="394"/>
      <c r="F7" s="394"/>
      <c r="G7" s="394"/>
      <c r="H7" s="394"/>
      <c r="I7" s="394"/>
      <c r="J7" s="394"/>
      <c r="K7" s="213"/>
      <c r="L7" s="213">
        <v>3080</v>
      </c>
      <c r="M7" s="213">
        <v>3983.7795988379498</v>
      </c>
      <c r="N7" s="213">
        <v>3893.3393300646298</v>
      </c>
      <c r="O7" s="213">
        <v>4630.4796812402001</v>
      </c>
      <c r="P7" s="213">
        <v>4906.4155599777496</v>
      </c>
      <c r="Q7" s="213">
        <v>4308.6506437186199</v>
      </c>
      <c r="R7" s="213">
        <v>4533.1905927649077</v>
      </c>
      <c r="S7" s="213">
        <v>4033.1770897829774</v>
      </c>
      <c r="T7" s="213">
        <v>3987.7498483073987</v>
      </c>
      <c r="U7" s="213">
        <v>5195.6217185449068</v>
      </c>
      <c r="V7" s="213">
        <v>4939.1731752707656</v>
      </c>
      <c r="W7" s="213">
        <v>4875.0480112783771</v>
      </c>
      <c r="X7" s="213">
        <v>5031.9566267012042</v>
      </c>
      <c r="Y7" s="213">
        <v>4336.9756665847262</v>
      </c>
      <c r="Z7" s="213">
        <v>4832.4265410082289</v>
      </c>
      <c r="AA7" s="213">
        <v>4670</v>
      </c>
      <c r="AB7" s="213">
        <v>5326</v>
      </c>
      <c r="AC7" s="213">
        <v>5164</v>
      </c>
    </row>
    <row r="8" spans="1:29" s="31" customFormat="1" ht="18" customHeight="1" x14ac:dyDescent="0.2">
      <c r="A8" s="381" t="s">
        <v>71</v>
      </c>
      <c r="B8" s="381"/>
      <c r="C8" s="381"/>
      <c r="D8" s="381"/>
      <c r="E8" s="381"/>
      <c r="F8" s="381"/>
      <c r="G8" s="381"/>
      <c r="H8" s="381"/>
      <c r="I8" s="381"/>
      <c r="J8" s="381"/>
      <c r="K8" s="211">
        <v>735138.67095188599</v>
      </c>
      <c r="L8" s="211">
        <v>598005.66452485626</v>
      </c>
      <c r="M8" s="211">
        <v>693647.21308290353</v>
      </c>
      <c r="N8" s="211">
        <v>571583.04541486991</v>
      </c>
      <c r="O8" s="211">
        <v>636775.19027050328</v>
      </c>
      <c r="P8" s="211">
        <v>642523.595246237</v>
      </c>
      <c r="Q8" s="211">
        <v>611090.16477666062</v>
      </c>
      <c r="R8" s="211">
        <v>450879.5310294705</v>
      </c>
      <c r="S8" s="211">
        <v>466227.77438072674</v>
      </c>
      <c r="T8" s="211">
        <v>362426.15854626091</v>
      </c>
      <c r="U8" s="211">
        <v>577445.05526048853</v>
      </c>
      <c r="V8" s="211">
        <v>605829.1323947754</v>
      </c>
      <c r="W8" s="211">
        <v>596521.20780522865</v>
      </c>
      <c r="X8" s="211">
        <v>591488.26536105329</v>
      </c>
      <c r="Y8" s="211">
        <v>683639.44524674991</v>
      </c>
      <c r="Z8" s="211">
        <v>730970.98451191629</v>
      </c>
      <c r="AA8" s="211">
        <v>983171.45149381866</v>
      </c>
      <c r="AB8" s="211">
        <v>869259.25642568548</v>
      </c>
      <c r="AC8" s="211">
        <v>788273.49773910071</v>
      </c>
    </row>
    <row r="9" spans="1:29" s="31" customFormat="1" ht="18" customHeight="1" x14ac:dyDescent="0.2">
      <c r="A9" s="73"/>
      <c r="B9" s="381" t="s">
        <v>72</v>
      </c>
      <c r="C9" s="381"/>
      <c r="D9" s="381"/>
      <c r="E9" s="381"/>
      <c r="F9" s="381"/>
      <c r="G9" s="381"/>
      <c r="H9" s="381"/>
      <c r="I9" s="381"/>
      <c r="J9" s="381"/>
      <c r="K9" s="211">
        <v>390947.06493997504</v>
      </c>
      <c r="L9" s="211">
        <v>301965.4210348326</v>
      </c>
      <c r="M9" s="211">
        <v>370021.89614982513</v>
      </c>
      <c r="N9" s="211">
        <v>341836.69423232094</v>
      </c>
      <c r="O9" s="211">
        <v>352637.97440373432</v>
      </c>
      <c r="P9" s="211">
        <v>296573.21714922198</v>
      </c>
      <c r="Q9" s="211">
        <v>309756.55278427625</v>
      </c>
      <c r="R9" s="211">
        <v>258716.35833419982</v>
      </c>
      <c r="S9" s="211">
        <v>267997.19119345682</v>
      </c>
      <c r="T9" s="211">
        <v>185642.07613785306</v>
      </c>
      <c r="U9" s="211">
        <v>293638.26315598952</v>
      </c>
      <c r="V9" s="211">
        <v>325955.03250365512</v>
      </c>
      <c r="W9" s="211">
        <v>303150.5169793407</v>
      </c>
      <c r="X9" s="211">
        <v>329079.77436831244</v>
      </c>
      <c r="Y9" s="211">
        <v>354005.64275153837</v>
      </c>
      <c r="Z9" s="211">
        <v>384914.80772028764</v>
      </c>
      <c r="AA9" s="211">
        <v>473910.76373626379</v>
      </c>
      <c r="AB9" s="211">
        <v>443628.72620992007</v>
      </c>
      <c r="AC9" s="211">
        <v>428019.4423683986</v>
      </c>
    </row>
    <row r="10" spans="1:29" s="31" customFormat="1" ht="18" customHeight="1" x14ac:dyDescent="0.2">
      <c r="A10" s="73"/>
      <c r="B10" s="73"/>
      <c r="C10" s="390" t="s">
        <v>73</v>
      </c>
      <c r="D10" s="390"/>
      <c r="E10" s="390"/>
      <c r="F10" s="390"/>
      <c r="G10" s="390"/>
      <c r="H10" s="390"/>
      <c r="I10" s="390"/>
      <c r="J10" s="390"/>
      <c r="K10" s="68">
        <v>109946.02514415399</v>
      </c>
      <c r="L10" s="68">
        <v>66014.457220155557</v>
      </c>
      <c r="M10" s="68">
        <v>84713.34487518153</v>
      </c>
      <c r="N10" s="68">
        <v>88454.033564559621</v>
      </c>
      <c r="O10" s="68">
        <v>121887.60766036999</v>
      </c>
      <c r="P10" s="68">
        <v>107517.58441310909</v>
      </c>
      <c r="Q10" s="68">
        <v>120334.14758770882</v>
      </c>
      <c r="R10" s="68">
        <v>87915.375019941843</v>
      </c>
      <c r="S10" s="68">
        <v>83614.078235760331</v>
      </c>
      <c r="T10" s="68">
        <v>71668.216677829056</v>
      </c>
      <c r="U10" s="68">
        <v>87704.0759676171</v>
      </c>
      <c r="V10" s="68">
        <v>122791.9780746343</v>
      </c>
      <c r="W10" s="68">
        <v>87422.153097130446</v>
      </c>
      <c r="X10" s="68">
        <v>153499.91015614261</v>
      </c>
      <c r="Y10" s="68">
        <v>161581.24908156093</v>
      </c>
      <c r="Z10" s="68">
        <v>143274.12563986171</v>
      </c>
      <c r="AA10" s="68">
        <v>170108.0028331044</v>
      </c>
      <c r="AB10" s="68">
        <v>184578.60225221352</v>
      </c>
      <c r="AC10" s="68">
        <v>181039.89702243835</v>
      </c>
    </row>
    <row r="11" spans="1:29" s="31" customFormat="1" ht="18" customHeight="1" x14ac:dyDescent="0.2">
      <c r="A11" s="73"/>
      <c r="B11" s="73"/>
      <c r="C11" s="382" t="s">
        <v>74</v>
      </c>
      <c r="D11" s="382"/>
      <c r="E11" s="382"/>
      <c r="F11" s="382"/>
      <c r="G11" s="382"/>
      <c r="H11" s="382"/>
      <c r="I11" s="382"/>
      <c r="J11" s="382"/>
      <c r="K11" s="69">
        <v>174055.865393705</v>
      </c>
      <c r="L11" s="69">
        <v>123260.14541765302</v>
      </c>
      <c r="M11" s="69">
        <v>175264.67674798219</v>
      </c>
      <c r="N11" s="69">
        <v>168605.88338026835</v>
      </c>
      <c r="O11" s="69">
        <v>121617.92732788215</v>
      </c>
      <c r="P11" s="69">
        <v>102994.74447046476</v>
      </c>
      <c r="Q11" s="69">
        <v>105089.59000650214</v>
      </c>
      <c r="R11" s="69">
        <v>84338.67256966421</v>
      </c>
      <c r="S11" s="69">
        <v>113339.04409388624</v>
      </c>
      <c r="T11" s="69">
        <v>62329.855011239255</v>
      </c>
      <c r="U11" s="69">
        <v>119595.55855720089</v>
      </c>
      <c r="V11" s="69">
        <v>104211.82996275507</v>
      </c>
      <c r="W11" s="69">
        <v>110054.01216850527</v>
      </c>
      <c r="X11" s="69">
        <v>94619.010428851208</v>
      </c>
      <c r="Y11" s="69">
        <v>105277.11276361525</v>
      </c>
      <c r="Z11" s="69">
        <v>119279.71071805501</v>
      </c>
      <c r="AA11" s="69">
        <v>141684.92736950549</v>
      </c>
      <c r="AB11" s="69">
        <v>120621.24086650048</v>
      </c>
      <c r="AC11" s="69">
        <v>115736.53843528709</v>
      </c>
    </row>
    <row r="12" spans="1:29" s="31" customFormat="1" ht="18" customHeight="1" x14ac:dyDescent="0.2">
      <c r="A12" s="73"/>
      <c r="B12" s="73"/>
      <c r="C12" s="382" t="s">
        <v>75</v>
      </c>
      <c r="D12" s="382"/>
      <c r="E12" s="382"/>
      <c r="F12" s="382"/>
      <c r="G12" s="382"/>
      <c r="H12" s="382"/>
      <c r="I12" s="382"/>
      <c r="J12" s="382"/>
      <c r="K12" s="69">
        <v>3504.5845543056998</v>
      </c>
      <c r="L12" s="69">
        <v>4508.4545147108556</v>
      </c>
      <c r="M12" s="69">
        <v>6320.4446030238487</v>
      </c>
      <c r="N12" s="69">
        <v>10523.788112222917</v>
      </c>
      <c r="O12" s="69">
        <v>4496.8333963761525</v>
      </c>
      <c r="P12" s="69">
        <v>9715.9636264436958</v>
      </c>
      <c r="Q12" s="69">
        <v>11344.041434772424</v>
      </c>
      <c r="R12" s="69">
        <v>1660.3386944818831</v>
      </c>
      <c r="S12" s="69">
        <v>8493.509740389276</v>
      </c>
      <c r="T12" s="69">
        <v>4206.3176226246505</v>
      </c>
      <c r="U12" s="69">
        <v>2736.4113935404594</v>
      </c>
      <c r="V12" s="69">
        <v>3492.9561497810846</v>
      </c>
      <c r="W12" s="69">
        <v>2538.9609162605498</v>
      </c>
      <c r="X12" s="69">
        <v>4461.1315303769297</v>
      </c>
      <c r="Y12" s="69">
        <v>3717.2041902497954</v>
      </c>
      <c r="Z12" s="69"/>
      <c r="AA12" s="69"/>
      <c r="AB12" s="69"/>
      <c r="AC12" s="69"/>
    </row>
    <row r="13" spans="1:29" s="31" customFormat="1" ht="18" customHeight="1" x14ac:dyDescent="0.2">
      <c r="A13" s="73"/>
      <c r="B13" s="73"/>
      <c r="C13" s="382" t="s">
        <v>76</v>
      </c>
      <c r="D13" s="382"/>
      <c r="E13" s="382"/>
      <c r="F13" s="382"/>
      <c r="G13" s="382"/>
      <c r="H13" s="382"/>
      <c r="I13" s="382"/>
      <c r="J13" s="382"/>
      <c r="K13" s="69">
        <v>68920.219302391502</v>
      </c>
      <c r="L13" s="69">
        <v>80475.566452485626</v>
      </c>
      <c r="M13" s="69">
        <v>56758.184392994845</v>
      </c>
      <c r="N13" s="69">
        <v>54711.74265476421</v>
      </c>
      <c r="O13" s="69">
        <v>76623.0076659162</v>
      </c>
      <c r="P13" s="69">
        <v>47468.239723950501</v>
      </c>
      <c r="Q13" s="69">
        <v>36216.880684050389</v>
      </c>
      <c r="R13" s="69">
        <v>37900.133132947187</v>
      </c>
      <c r="S13" s="69">
        <v>36304.967483782493</v>
      </c>
      <c r="T13" s="69">
        <v>27166.304696607163</v>
      </c>
      <c r="U13" s="69">
        <v>41096.459134022873</v>
      </c>
      <c r="V13" s="69">
        <v>62941.236519117694</v>
      </c>
      <c r="W13" s="69">
        <v>48011.053494214502</v>
      </c>
      <c r="X13" s="69">
        <v>34652.967485929184</v>
      </c>
      <c r="Y13" s="69">
        <v>36730.901113667285</v>
      </c>
      <c r="Z13" s="69">
        <v>73120.282322182189</v>
      </c>
      <c r="AA13" s="69">
        <v>82215.256782280223</v>
      </c>
      <c r="AB13" s="69">
        <v>72573.449239233232</v>
      </c>
      <c r="AC13" s="69">
        <v>81584.396041293396</v>
      </c>
    </row>
    <row r="14" spans="1:29" s="31" customFormat="1" ht="18" customHeight="1" x14ac:dyDescent="0.2">
      <c r="A14" s="73"/>
      <c r="B14" s="73"/>
      <c r="C14" s="380" t="s">
        <v>77</v>
      </c>
      <c r="D14" s="380"/>
      <c r="E14" s="380"/>
      <c r="F14" s="380"/>
      <c r="G14" s="380"/>
      <c r="H14" s="380"/>
      <c r="I14" s="380"/>
      <c r="J14" s="380"/>
      <c r="K14" s="70">
        <v>34520.370545420199</v>
      </c>
      <c r="L14" s="70">
        <v>27706.797429827529</v>
      </c>
      <c r="M14" s="70">
        <v>46965.245530642882</v>
      </c>
      <c r="N14" s="70">
        <v>19541.246520505723</v>
      </c>
      <c r="O14" s="70">
        <v>28012.59835318998</v>
      </c>
      <c r="P14" s="70">
        <v>28876.684915253689</v>
      </c>
      <c r="Q14" s="70">
        <v>36771.893071243016</v>
      </c>
      <c r="R14" s="70">
        <v>46901.838917164627</v>
      </c>
      <c r="S14" s="70">
        <v>26245.591639638562</v>
      </c>
      <c r="T14" s="70">
        <v>20271.382129553007</v>
      </c>
      <c r="U14" s="70">
        <v>42505.758103608416</v>
      </c>
      <c r="V14" s="70">
        <v>32517.031797367017</v>
      </c>
      <c r="W14" s="70">
        <v>55124.337303229899</v>
      </c>
      <c r="X14" s="70">
        <v>41846.754767012717</v>
      </c>
      <c r="Y14" s="70">
        <v>46699.17560244484</v>
      </c>
      <c r="Z14" s="70">
        <v>49240.689040188736</v>
      </c>
      <c r="AA14" s="70">
        <v>79902.576751373708</v>
      </c>
      <c r="AB14" s="70">
        <v>65855.433851972863</v>
      </c>
      <c r="AC14" s="70">
        <v>49658.610869379772</v>
      </c>
    </row>
    <row r="15" spans="1:29" s="31" customFormat="1" ht="18" customHeight="1" x14ac:dyDescent="0.2">
      <c r="A15" s="73"/>
      <c r="B15" s="381" t="s">
        <v>78</v>
      </c>
      <c r="C15" s="381"/>
      <c r="D15" s="381"/>
      <c r="E15" s="381"/>
      <c r="F15" s="381"/>
      <c r="G15" s="381"/>
      <c r="H15" s="381"/>
      <c r="I15" s="381"/>
      <c r="J15" s="381"/>
      <c r="K15" s="211">
        <v>340922.58247471403</v>
      </c>
      <c r="L15" s="211">
        <v>290894.91038214409</v>
      </c>
      <c r="M15" s="211">
        <v>314912.03655108716</v>
      </c>
      <c r="N15" s="211">
        <v>227991.84271681667</v>
      </c>
      <c r="O15" s="211">
        <v>283619.64463044232</v>
      </c>
      <c r="P15" s="211">
        <v>344632.65972943947</v>
      </c>
      <c r="Q15" s="211">
        <v>299696.02276924497</v>
      </c>
      <c r="R15" s="211">
        <v>190051.90290246147</v>
      </c>
      <c r="S15" s="211">
        <v>194638.81078006912</v>
      </c>
      <c r="T15" s="211">
        <v>175738.48785882795</v>
      </c>
      <c r="U15" s="211">
        <v>282533.72091865877</v>
      </c>
      <c r="V15" s="211">
        <v>279050.50936653023</v>
      </c>
      <c r="W15" s="211">
        <v>289570.37651678827</v>
      </c>
      <c r="X15" s="211">
        <v>261550.16193262357</v>
      </c>
      <c r="Y15" s="211">
        <v>328032.95488321257</v>
      </c>
      <c r="Z15" s="211">
        <v>344403.41255524522</v>
      </c>
      <c r="AA15" s="211">
        <v>508259.97982486262</v>
      </c>
      <c r="AB15" s="211">
        <v>423793.72242757672</v>
      </c>
      <c r="AC15" s="211">
        <v>358953.73500554566</v>
      </c>
    </row>
    <row r="16" spans="1:29" s="31" customFormat="1" ht="18" customHeight="1" x14ac:dyDescent="0.2">
      <c r="A16" s="73"/>
      <c r="B16" s="73"/>
      <c r="C16" s="381" t="s">
        <v>79</v>
      </c>
      <c r="D16" s="381"/>
      <c r="E16" s="381"/>
      <c r="F16" s="381"/>
      <c r="G16" s="381"/>
      <c r="H16" s="381"/>
      <c r="I16" s="381"/>
      <c r="J16" s="381"/>
      <c r="K16" s="211">
        <v>275706.49399754195</v>
      </c>
      <c r="L16" s="211">
        <v>223509.9763273588</v>
      </c>
      <c r="M16" s="211">
        <v>247692.42496880848</v>
      </c>
      <c r="N16" s="211">
        <v>177761.51736685954</v>
      </c>
      <c r="O16" s="211">
        <v>207702.42173316685</v>
      </c>
      <c r="P16" s="211">
        <v>289536.19231234636</v>
      </c>
      <c r="Q16" s="211">
        <v>240627.85772094704</v>
      </c>
      <c r="R16" s="211">
        <v>161163.99566599401</v>
      </c>
      <c r="S16" s="211">
        <v>153187.13693352151</v>
      </c>
      <c r="T16" s="211">
        <v>144082.59980114255</v>
      </c>
      <c r="U16" s="211">
        <v>181854.94112801514</v>
      </c>
      <c r="V16" s="211">
        <v>211785.95700518865</v>
      </c>
      <c r="W16" s="211">
        <v>207443.01503771314</v>
      </c>
      <c r="X16" s="211">
        <v>182039.5505607973</v>
      </c>
      <c r="Y16" s="211">
        <v>244185.89405860886</v>
      </c>
      <c r="Z16" s="211">
        <v>236251.74605567541</v>
      </c>
      <c r="AA16" s="211">
        <v>264192.68930288462</v>
      </c>
      <c r="AB16" s="211">
        <v>282721.8646952635</v>
      </c>
      <c r="AC16" s="211">
        <v>255915.7762989506</v>
      </c>
    </row>
    <row r="17" spans="1:29" s="31" customFormat="1" ht="18" customHeight="1" x14ac:dyDescent="0.2">
      <c r="A17" s="73"/>
      <c r="B17" s="73"/>
      <c r="C17" s="73"/>
      <c r="D17" s="390" t="s">
        <v>362</v>
      </c>
      <c r="E17" s="390"/>
      <c r="F17" s="390"/>
      <c r="G17" s="390"/>
      <c r="H17" s="390"/>
      <c r="I17" s="390"/>
      <c r="J17" s="390"/>
      <c r="K17" s="68">
        <v>93108.894980622004</v>
      </c>
      <c r="L17" s="68">
        <v>53475.820087926957</v>
      </c>
      <c r="M17" s="68">
        <v>65700.718523396805</v>
      </c>
      <c r="N17" s="68">
        <v>52303.830102739783</v>
      </c>
      <c r="O17" s="68">
        <v>74763.396850263758</v>
      </c>
      <c r="P17" s="68">
        <v>83882.688855412736</v>
      </c>
      <c r="Q17" s="68">
        <v>70152.740717313107</v>
      </c>
      <c r="R17" s="68">
        <v>55523.783399612417</v>
      </c>
      <c r="S17" s="68">
        <v>60328.701203878882</v>
      </c>
      <c r="T17" s="68">
        <v>48796.508174993905</v>
      </c>
      <c r="U17" s="68">
        <v>55337.242975337875</v>
      </c>
      <c r="V17" s="68">
        <v>77365.268974214428</v>
      </c>
      <c r="W17" s="68">
        <v>68705.373822125519</v>
      </c>
      <c r="X17" s="68">
        <v>64753.431453150501</v>
      </c>
      <c r="Y17" s="68">
        <v>84281.621125570702</v>
      </c>
      <c r="Z17" s="68">
        <v>75994.175348160512</v>
      </c>
      <c r="AA17" s="68">
        <v>84852.195570054944</v>
      </c>
      <c r="AB17" s="68">
        <v>104113.61944468324</v>
      </c>
      <c r="AC17" s="68">
        <v>89521.213463015098</v>
      </c>
    </row>
    <row r="18" spans="1:29" s="31" customFormat="1" ht="18" customHeight="1" x14ac:dyDescent="0.2">
      <c r="A18" s="73"/>
      <c r="B18" s="73"/>
      <c r="C18" s="73"/>
      <c r="D18" s="382" t="s">
        <v>80</v>
      </c>
      <c r="E18" s="382"/>
      <c r="F18" s="382"/>
      <c r="G18" s="382"/>
      <c r="H18" s="382"/>
      <c r="I18" s="382"/>
      <c r="J18" s="382"/>
      <c r="K18" s="69">
        <v>70443.047547027105</v>
      </c>
      <c r="L18" s="69">
        <v>60594.94420020291</v>
      </c>
      <c r="M18" s="69">
        <v>96356.054754673809</v>
      </c>
      <c r="N18" s="69">
        <v>51047.058485524918</v>
      </c>
      <c r="O18" s="69">
        <v>84866.838276646682</v>
      </c>
      <c r="P18" s="69">
        <v>71161.946735939899</v>
      </c>
      <c r="Q18" s="69">
        <v>66767.624546098203</v>
      </c>
      <c r="R18" s="69">
        <v>61551.454667325219</v>
      </c>
      <c r="S18" s="69">
        <v>55597.643155357269</v>
      </c>
      <c r="T18" s="69">
        <v>34056.170592405302</v>
      </c>
      <c r="U18" s="69">
        <v>59085.810783992245</v>
      </c>
      <c r="V18" s="69">
        <v>65915.434499476876</v>
      </c>
      <c r="W18" s="69">
        <v>92780.976738035111</v>
      </c>
      <c r="X18" s="69">
        <v>69004.852565492751</v>
      </c>
      <c r="Y18" s="69">
        <v>85846.629440576653</v>
      </c>
      <c r="Z18" s="69">
        <v>61397.293627689236</v>
      </c>
      <c r="AA18" s="69">
        <v>73785.331301510989</v>
      </c>
      <c r="AB18" s="69">
        <v>125194.23235622796</v>
      </c>
      <c r="AC18" s="69">
        <v>73647.201859909561</v>
      </c>
    </row>
    <row r="19" spans="1:29" s="31" customFormat="1" ht="18" customHeight="1" x14ac:dyDescent="0.2">
      <c r="A19" s="73"/>
      <c r="B19" s="73"/>
      <c r="C19" s="73"/>
      <c r="D19" s="382" t="s">
        <v>81</v>
      </c>
      <c r="E19" s="382"/>
      <c r="F19" s="382"/>
      <c r="G19" s="382"/>
      <c r="H19" s="382"/>
      <c r="I19" s="382"/>
      <c r="J19" s="382"/>
      <c r="K19" s="69">
        <v>18017.7710558654</v>
      </c>
      <c r="L19" s="69">
        <v>27375.972269191749</v>
      </c>
      <c r="M19" s="69">
        <v>17623.871859342871</v>
      </c>
      <c r="N19" s="69">
        <v>12167.385237795765</v>
      </c>
      <c r="O19" s="69">
        <v>18997.12750041363</v>
      </c>
      <c r="P19" s="69">
        <v>15056.284588691849</v>
      </c>
      <c r="Q19" s="69">
        <v>13192.959969209849</v>
      </c>
      <c r="R19" s="69">
        <v>8734.0347662638324</v>
      </c>
      <c r="S19" s="69">
        <v>22688.532708131621</v>
      </c>
      <c r="T19" s="69">
        <v>9047.5355567044971</v>
      </c>
      <c r="U19" s="69">
        <v>10902.418118829897</v>
      </c>
      <c r="V19" s="69">
        <v>12302.553599898691</v>
      </c>
      <c r="W19" s="69">
        <v>18955.35377909934</v>
      </c>
      <c r="X19" s="69">
        <v>26029.973027949451</v>
      </c>
      <c r="Y19" s="69">
        <v>20198.247301529977</v>
      </c>
      <c r="Z19" s="69">
        <v>15124.433094511043</v>
      </c>
      <c r="AA19" s="69">
        <v>17874.205185439561</v>
      </c>
      <c r="AB19" s="69">
        <v>22731.668013410126</v>
      </c>
      <c r="AC19" s="69">
        <v>19015.954696698234</v>
      </c>
    </row>
    <row r="20" spans="1:29" s="31" customFormat="1" ht="18" customHeight="1" x14ac:dyDescent="0.2">
      <c r="A20" s="73"/>
      <c r="B20" s="73"/>
      <c r="C20" s="73"/>
      <c r="D20" s="382" t="s">
        <v>508</v>
      </c>
      <c r="E20" s="382"/>
      <c r="F20" s="382"/>
      <c r="G20" s="382"/>
      <c r="H20" s="382"/>
      <c r="I20" s="382"/>
      <c r="J20" s="382"/>
      <c r="K20" s="69"/>
      <c r="L20" s="69"/>
      <c r="M20" s="69"/>
      <c r="N20" s="69"/>
      <c r="O20" s="69"/>
      <c r="P20" s="69"/>
      <c r="Q20" s="69">
        <v>429.72573891545494</v>
      </c>
      <c r="R20" s="69">
        <v>779.57562838384001</v>
      </c>
      <c r="S20" s="69">
        <v>1140.4726262999507</v>
      </c>
      <c r="T20" s="69">
        <v>1537.5338110901507</v>
      </c>
      <c r="U20" s="69">
        <v>1337.4350088268363</v>
      </c>
      <c r="V20" s="69">
        <v>2831.6529589949014</v>
      </c>
      <c r="W20" s="69">
        <v>917.52588633812684</v>
      </c>
      <c r="X20" s="69">
        <v>2715.0347911163085</v>
      </c>
      <c r="Y20" s="69">
        <v>6116.9027418860251</v>
      </c>
      <c r="Z20" s="69"/>
      <c r="AA20" s="69"/>
      <c r="AB20" s="69"/>
      <c r="AC20" s="69"/>
    </row>
    <row r="21" spans="1:29" s="31" customFormat="1" ht="18" customHeight="1" x14ac:dyDescent="0.2">
      <c r="A21" s="73"/>
      <c r="B21" s="73"/>
      <c r="C21" s="73"/>
      <c r="D21" s="382" t="s">
        <v>82</v>
      </c>
      <c r="E21" s="382"/>
      <c r="F21" s="382"/>
      <c r="G21" s="382"/>
      <c r="H21" s="382"/>
      <c r="I21" s="382"/>
      <c r="J21" s="382"/>
      <c r="K21" s="69">
        <v>92222.610832781909</v>
      </c>
      <c r="L21" s="69">
        <v>66791.427122083187</v>
      </c>
      <c r="M21" s="69">
        <v>66804.52755707578</v>
      </c>
      <c r="N21" s="69">
        <v>60934.984898423842</v>
      </c>
      <c r="O21" s="69">
        <v>69257.180848067437</v>
      </c>
      <c r="P21" s="69">
        <v>116319.04459800004</v>
      </c>
      <c r="Q21" s="69">
        <v>92074.989345317008</v>
      </c>
      <c r="R21" s="69">
        <v>51095.769477706148</v>
      </c>
      <c r="S21" s="69">
        <v>55953.785859411189</v>
      </c>
      <c r="T21" s="69">
        <v>61353.135771912246</v>
      </c>
      <c r="U21" s="69">
        <v>76873.847563015501</v>
      </c>
      <c r="V21" s="69">
        <v>75823.782530236</v>
      </c>
      <c r="W21" s="69">
        <v>88051.815903549737</v>
      </c>
      <c r="X21" s="69">
        <v>74749.087242764203</v>
      </c>
      <c r="Y21" s="69">
        <v>86730.66745302426</v>
      </c>
      <c r="Z21" s="69">
        <v>92872.70578523021</v>
      </c>
      <c r="AA21" s="69">
        <v>102605.03185096155</v>
      </c>
      <c r="AB21" s="69">
        <v>103802.38777615404</v>
      </c>
      <c r="AC21" s="69">
        <v>88802.603702755732</v>
      </c>
    </row>
    <row r="22" spans="1:29" s="31" customFormat="1" ht="18" customHeight="1" x14ac:dyDescent="0.2">
      <c r="A22" s="73"/>
      <c r="B22" s="73"/>
      <c r="C22" s="73"/>
      <c r="D22" s="382" t="s">
        <v>83</v>
      </c>
      <c r="E22" s="382"/>
      <c r="F22" s="382"/>
      <c r="G22" s="382"/>
      <c r="H22" s="382"/>
      <c r="I22" s="382"/>
      <c r="J22" s="382"/>
      <c r="K22" s="69">
        <v>1914.07505435296</v>
      </c>
      <c r="L22" s="69">
        <v>15271.812647954008</v>
      </c>
      <c r="M22" s="69">
        <v>1207.2522743187287</v>
      </c>
      <c r="N22" s="69">
        <v>1308.2586423756052</v>
      </c>
      <c r="O22" s="69">
        <v>2707.4300821138922</v>
      </c>
      <c r="P22" s="69">
        <v>2641.8635605729414</v>
      </c>
      <c r="Q22" s="69">
        <v>762.49890229913444</v>
      </c>
      <c r="R22" s="69">
        <v>2224.5734124075052</v>
      </c>
      <c r="S22" s="69">
        <v>2806.9095819463282</v>
      </c>
      <c r="T22" s="69">
        <v>864.26469364399713</v>
      </c>
      <c r="U22" s="69">
        <v>4429.0963021612852</v>
      </c>
      <c r="V22" s="69">
        <v>6491.9589998384808</v>
      </c>
      <c r="W22" s="69">
        <v>3261.3524665636292</v>
      </c>
      <c r="X22" s="69">
        <v>3246.6779320382943</v>
      </c>
      <c r="Y22" s="69">
        <v>18990.76259689347</v>
      </c>
      <c r="Z22" s="69">
        <v>8519.1502402396036</v>
      </c>
      <c r="AA22" s="69">
        <v>5831.218149038461</v>
      </c>
      <c r="AB22" s="69">
        <v>10608.439525487836</v>
      </c>
      <c r="AC22" s="69">
        <v>7227.6201689275658</v>
      </c>
    </row>
    <row r="23" spans="1:29" s="31" customFormat="1" ht="18" customHeight="1" x14ac:dyDescent="0.2">
      <c r="A23" s="73"/>
      <c r="B23" s="73"/>
      <c r="C23" s="73"/>
      <c r="D23" s="382" t="s">
        <v>363</v>
      </c>
      <c r="E23" s="382"/>
      <c r="F23" s="382"/>
      <c r="G23" s="382"/>
      <c r="H23" s="382"/>
      <c r="I23" s="382"/>
      <c r="J23" s="382"/>
      <c r="K23" s="69"/>
      <c r="L23" s="69"/>
      <c r="M23" s="69"/>
      <c r="N23" s="69"/>
      <c r="O23" s="69">
        <v>990.28919206054866</v>
      </c>
      <c r="P23" s="69">
        <v>3961.3969940089414</v>
      </c>
      <c r="Q23" s="69">
        <v>509.25127821085749</v>
      </c>
      <c r="R23" s="69">
        <v>754.96318831501458</v>
      </c>
      <c r="S23" s="69">
        <v>792.03125946207354</v>
      </c>
      <c r="T23" s="69">
        <v>428.933110977578</v>
      </c>
      <c r="U23" s="69">
        <v>626.88146283245044</v>
      </c>
      <c r="V23" s="69">
        <v>3196.0926385652037</v>
      </c>
      <c r="W23" s="69">
        <v>2177.0176752895272</v>
      </c>
      <c r="X23" s="69">
        <v>702.07732660683916</v>
      </c>
      <c r="Y23" s="69">
        <v>2675.7292150478784</v>
      </c>
      <c r="Z23" s="69">
        <v>42472.893370665974</v>
      </c>
      <c r="AA23" s="69">
        <v>39917.115127060453</v>
      </c>
      <c r="AB23" s="69">
        <v>7737.8101951345598</v>
      </c>
      <c r="AC23" s="69">
        <v>7326.6983192560438</v>
      </c>
    </row>
    <row r="24" spans="1:29" s="31" customFormat="1" ht="18" customHeight="1" x14ac:dyDescent="0.2">
      <c r="A24" s="73"/>
      <c r="B24" s="73"/>
      <c r="C24" s="73"/>
      <c r="D24" s="380" t="s">
        <v>364</v>
      </c>
      <c r="E24" s="380"/>
      <c r="F24" s="380"/>
      <c r="G24" s="380"/>
      <c r="H24" s="380"/>
      <c r="I24" s="380"/>
      <c r="J24" s="380"/>
      <c r="K24" s="70"/>
      <c r="L24" s="70"/>
      <c r="M24" s="70"/>
      <c r="N24" s="70">
        <v>-221.54262161728812</v>
      </c>
      <c r="O24" s="70">
        <v>-43879.841016399216</v>
      </c>
      <c r="P24" s="70">
        <v>-3487.033020279679</v>
      </c>
      <c r="Q24" s="70">
        <v>-3261.9327764167483</v>
      </c>
      <c r="R24" s="70">
        <v>-19500.158874019897</v>
      </c>
      <c r="S24" s="70">
        <v>-46120.939460965659</v>
      </c>
      <c r="T24" s="70">
        <v>-12001.48191058518</v>
      </c>
      <c r="U24" s="70">
        <v>-26737.791086980837</v>
      </c>
      <c r="V24" s="70">
        <v>-32140.787196036072</v>
      </c>
      <c r="W24" s="70">
        <v>-67406.401233288212</v>
      </c>
      <c r="X24" s="70">
        <v>-59161.583778321175</v>
      </c>
      <c r="Y24" s="70">
        <v>-60654.665815920052</v>
      </c>
      <c r="Z24" s="70">
        <v>-60128.905410821193</v>
      </c>
      <c r="AA24" s="70">
        <v>-60672.407881181323</v>
      </c>
      <c r="AB24" s="70">
        <v>-91466.29261583426</v>
      </c>
      <c r="AC24" s="70">
        <v>-29625.515911611641</v>
      </c>
    </row>
    <row r="25" spans="1:29" s="31" customFormat="1" ht="18" customHeight="1" x14ac:dyDescent="0.2">
      <c r="A25" s="73"/>
      <c r="B25" s="73"/>
      <c r="C25" s="381" t="s">
        <v>84</v>
      </c>
      <c r="D25" s="343"/>
      <c r="E25" s="343"/>
      <c r="F25" s="343"/>
      <c r="G25" s="343"/>
      <c r="H25" s="343"/>
      <c r="I25" s="343"/>
      <c r="J25" s="343"/>
      <c r="K25" s="71">
        <v>7896.5875791662702</v>
      </c>
      <c r="L25" s="71">
        <v>4622.3368278660801</v>
      </c>
      <c r="M25" s="71">
        <v>2027.418493794758</v>
      </c>
      <c r="N25" s="71">
        <v>4975.9309823005678</v>
      </c>
      <c r="O25" s="71">
        <v>2759.346685147877</v>
      </c>
      <c r="P25" s="71">
        <v>3742.8521817981905</v>
      </c>
      <c r="Q25" s="71">
        <v>2163.0163559305133</v>
      </c>
      <c r="R25" s="71">
        <v>1704.4508909328849</v>
      </c>
      <c r="S25" s="71">
        <v>1481.3885498771017</v>
      </c>
      <c r="T25" s="71">
        <v>1012.6039109137122</v>
      </c>
      <c r="U25" s="71">
        <v>1977.5455647581862</v>
      </c>
      <c r="V25" s="71">
        <v>2065.5556765205993</v>
      </c>
      <c r="W25" s="71">
        <v>2267.6113524021075</v>
      </c>
      <c r="X25" s="71">
        <v>1920.4809710607933</v>
      </c>
      <c r="Y25" s="71">
        <v>3000.9921755680903</v>
      </c>
      <c r="Z25" s="71">
        <v>3854.6893223530215</v>
      </c>
      <c r="AA25" s="71">
        <v>3072.4210164835163</v>
      </c>
      <c r="AB25" s="71">
        <v>4248.6478122582303</v>
      </c>
      <c r="AC25" s="71">
        <v>2888.9385717942159</v>
      </c>
    </row>
    <row r="26" spans="1:29" s="31" customFormat="1" ht="18" customHeight="1" x14ac:dyDescent="0.2">
      <c r="A26" s="73"/>
      <c r="B26" s="73"/>
      <c r="C26" s="265"/>
      <c r="D26" s="391" t="s">
        <v>560</v>
      </c>
      <c r="E26" s="392"/>
      <c r="F26" s="392"/>
      <c r="G26" s="392"/>
      <c r="H26" s="392"/>
      <c r="I26" s="392"/>
      <c r="J26" s="393"/>
      <c r="K26" s="211"/>
      <c r="L26" s="211"/>
      <c r="M26" s="211"/>
      <c r="N26" s="211"/>
      <c r="O26" s="211"/>
      <c r="P26" s="211"/>
      <c r="Q26" s="211"/>
      <c r="R26" s="211"/>
      <c r="S26" s="211"/>
      <c r="T26" s="211"/>
      <c r="U26" s="211"/>
      <c r="V26" s="211"/>
      <c r="W26" s="211"/>
      <c r="X26" s="211"/>
      <c r="Y26" s="211"/>
      <c r="Z26" s="211">
        <v>2295.4424678268347</v>
      </c>
      <c r="AA26" s="211">
        <v>1331.3711366758241</v>
      </c>
      <c r="AB26" s="211">
        <v>1249.1282558239491</v>
      </c>
      <c r="AC26" s="211">
        <v>1218.8266359525637</v>
      </c>
    </row>
    <row r="27" spans="1:29" s="31" customFormat="1" ht="18" customHeight="1" x14ac:dyDescent="0.2">
      <c r="A27" s="73"/>
      <c r="B27" s="73"/>
      <c r="C27" s="381" t="s">
        <v>85</v>
      </c>
      <c r="D27" s="381"/>
      <c r="E27" s="381"/>
      <c r="F27" s="381"/>
      <c r="G27" s="381"/>
      <c r="H27" s="381"/>
      <c r="I27" s="381"/>
      <c r="J27" s="381"/>
      <c r="K27" s="211">
        <v>57319.595424898398</v>
      </c>
      <c r="L27" s="211">
        <v>62762.597226919177</v>
      </c>
      <c r="M27" s="211">
        <v>65192.193088484433</v>
      </c>
      <c r="N27" s="211">
        <v>45475.936989273869</v>
      </c>
      <c r="O27" s="211">
        <v>73157.87621212755</v>
      </c>
      <c r="P27" s="211">
        <v>51353.615235294754</v>
      </c>
      <c r="Q27" s="211">
        <v>56905.148692367031</v>
      </c>
      <c r="R27" s="211">
        <v>27183.456345534451</v>
      </c>
      <c r="S27" s="211">
        <v>39970.285296670256</v>
      </c>
      <c r="T27" s="211">
        <v>30643.284146771653</v>
      </c>
      <c r="U27" s="211">
        <v>98701.234225885593</v>
      </c>
      <c r="V27" s="211">
        <v>65198.996684821308</v>
      </c>
      <c r="W27" s="211">
        <v>79859.75012667352</v>
      </c>
      <c r="X27" s="211">
        <v>77590.130400765658</v>
      </c>
      <c r="Y27" s="211">
        <v>80846.068649035733</v>
      </c>
      <c r="Z27" s="211">
        <v>104296.97717721591</v>
      </c>
      <c r="AA27" s="211">
        <v>240994.86950549454</v>
      </c>
      <c r="AB27" s="211">
        <v>136823.20983409268</v>
      </c>
      <c r="AC27" s="211">
        <v>100149.0201348008</v>
      </c>
    </row>
    <row r="28" spans="1:29" s="31" customFormat="1" ht="18" customHeight="1" x14ac:dyDescent="0.2">
      <c r="A28" s="74"/>
      <c r="B28" s="343" t="s">
        <v>86</v>
      </c>
      <c r="C28" s="343"/>
      <c r="D28" s="343"/>
      <c r="E28" s="343"/>
      <c r="F28" s="343"/>
      <c r="G28" s="343"/>
      <c r="H28" s="343"/>
      <c r="I28" s="343"/>
      <c r="J28" s="343"/>
      <c r="K28" s="71">
        <v>3269.0235371963304</v>
      </c>
      <c r="L28" s="71">
        <v>5145.4176530267168</v>
      </c>
      <c r="M28" s="71">
        <v>8713.2803819915607</v>
      </c>
      <c r="N28" s="71">
        <v>1754.5084657323575</v>
      </c>
      <c r="O28" s="71">
        <v>517.57123632685125</v>
      </c>
      <c r="P28" s="71">
        <v>1317.7183675756498</v>
      </c>
      <c r="Q28" s="71">
        <v>1637.58922313925</v>
      </c>
      <c r="R28" s="71">
        <v>2111.2697928093921</v>
      </c>
      <c r="S28" s="71">
        <v>3591.7724072005417</v>
      </c>
      <c r="T28" s="71">
        <v>1045.5945495796595</v>
      </c>
      <c r="U28" s="71">
        <v>1273.0711858392658</v>
      </c>
      <c r="V28" s="71">
        <v>823.59052459059421</v>
      </c>
      <c r="W28" s="71">
        <v>3800.3143090994045</v>
      </c>
      <c r="X28" s="71">
        <v>858.32906011677005</v>
      </c>
      <c r="Y28" s="71">
        <v>1600.8476119997063</v>
      </c>
      <c r="Z28" s="71">
        <v>1652.764236384739</v>
      </c>
      <c r="AA28" s="71">
        <v>1000.7079326923076</v>
      </c>
      <c r="AB28" s="71">
        <v>1836.8077881887732</v>
      </c>
      <c r="AC28" s="71">
        <v>1300.3203651565566</v>
      </c>
    </row>
    <row r="29" spans="1:29" s="31" customFormat="1" ht="18" customHeight="1" x14ac:dyDescent="0.2">
      <c r="A29" s="383" t="s">
        <v>87</v>
      </c>
      <c r="B29" s="383"/>
      <c r="C29" s="383"/>
      <c r="D29" s="383"/>
      <c r="E29" s="383"/>
      <c r="F29" s="383"/>
      <c r="G29" s="383"/>
      <c r="H29" s="383"/>
      <c r="I29" s="383"/>
      <c r="J29" s="383"/>
      <c r="K29" s="188">
        <v>735138.67095188599</v>
      </c>
      <c r="L29" s="188">
        <v>598005.66452485626</v>
      </c>
      <c r="M29" s="188">
        <v>693647.21308290353</v>
      </c>
      <c r="N29" s="188">
        <v>571583.04541486991</v>
      </c>
      <c r="O29" s="188">
        <v>636775.19027050328</v>
      </c>
      <c r="P29" s="188">
        <v>642523.59524623782</v>
      </c>
      <c r="Q29" s="188">
        <v>611090.16477666062</v>
      </c>
      <c r="R29" s="188">
        <v>450879.5310294705</v>
      </c>
      <c r="S29" s="188">
        <v>466227.77438072674</v>
      </c>
      <c r="T29" s="188">
        <v>362426.15854626079</v>
      </c>
      <c r="U29" s="188">
        <v>577445.05526048853</v>
      </c>
      <c r="V29" s="188">
        <v>605829.1323947754</v>
      </c>
      <c r="W29" s="188">
        <v>596521.20780522877</v>
      </c>
      <c r="X29" s="188">
        <v>591488.26536105329</v>
      </c>
      <c r="Y29" s="188">
        <v>683639.44524674956</v>
      </c>
      <c r="Z29" s="188">
        <v>730970.98451191629</v>
      </c>
      <c r="AA29" s="188">
        <v>983171.45149381866</v>
      </c>
      <c r="AB29" s="188">
        <v>869259.25642568548</v>
      </c>
      <c r="AC29" s="188">
        <v>788273.49773910071</v>
      </c>
    </row>
    <row r="30" spans="1:29" s="31" customFormat="1" ht="18" customHeight="1" x14ac:dyDescent="0.2">
      <c r="A30" s="73"/>
      <c r="B30" s="381" t="s">
        <v>88</v>
      </c>
      <c r="C30" s="381"/>
      <c r="D30" s="381"/>
      <c r="E30" s="381"/>
      <c r="F30" s="381"/>
      <c r="G30" s="381"/>
      <c r="H30" s="381"/>
      <c r="I30" s="381"/>
      <c r="J30" s="381"/>
      <c r="K30" s="211">
        <v>520728.51876358798</v>
      </c>
      <c r="L30" s="211">
        <v>446311.88704768347</v>
      </c>
      <c r="M30" s="211">
        <v>458771.15654686326</v>
      </c>
      <c r="N30" s="211">
        <v>374702.80721825256</v>
      </c>
      <c r="O30" s="211">
        <v>442059.43592262862</v>
      </c>
      <c r="P30" s="211">
        <v>429457.43187975901</v>
      </c>
      <c r="Q30" s="211">
        <v>380578.66135242622</v>
      </c>
      <c r="R30" s="211">
        <v>287220.64009497169</v>
      </c>
      <c r="S30" s="211">
        <v>296725.01619133825</v>
      </c>
      <c r="T30" s="211">
        <v>237957.02805191869</v>
      </c>
      <c r="U30" s="211">
        <v>363454.12242493301</v>
      </c>
      <c r="V30" s="211">
        <v>376325.98483355221</v>
      </c>
      <c r="W30" s="211">
        <v>376063.90148686041</v>
      </c>
      <c r="X30" s="211">
        <v>344464.14810541505</v>
      </c>
      <c r="Y30" s="211">
        <v>399056.14283469913</v>
      </c>
      <c r="Z30" s="211">
        <v>411314.77763462864</v>
      </c>
      <c r="AA30" s="211">
        <v>517350.40873969777</v>
      </c>
      <c r="AB30" s="211">
        <v>498369.84079773061</v>
      </c>
      <c r="AC30" s="211">
        <v>460032.87031823228</v>
      </c>
    </row>
    <row r="31" spans="1:29" s="31" customFormat="1" ht="18" customHeight="1" x14ac:dyDescent="0.2">
      <c r="A31" s="73"/>
      <c r="B31" s="73"/>
      <c r="C31" s="381" t="s">
        <v>89</v>
      </c>
      <c r="D31" s="381"/>
      <c r="E31" s="381"/>
      <c r="F31" s="381"/>
      <c r="G31" s="381"/>
      <c r="H31" s="381"/>
      <c r="I31" s="381"/>
      <c r="J31" s="381"/>
      <c r="K31" s="211">
        <v>320324.88893090101</v>
      </c>
      <c r="L31" s="211">
        <v>287692.17111937777</v>
      </c>
      <c r="M31" s="211">
        <v>258929.98934015015</v>
      </c>
      <c r="N31" s="211">
        <v>249767.16583149691</v>
      </c>
      <c r="O31" s="211">
        <v>257693.31753643052</v>
      </c>
      <c r="P31" s="211">
        <v>227923.45294129851</v>
      </c>
      <c r="Q31" s="211">
        <v>213318.20681877786</v>
      </c>
      <c r="R31" s="211">
        <v>169092.79996968474</v>
      </c>
      <c r="S31" s="211">
        <v>166807.61007612402</v>
      </c>
      <c r="T31" s="211">
        <v>123871.11863450048</v>
      </c>
      <c r="U31" s="211">
        <v>164770.59089188348</v>
      </c>
      <c r="V31" s="211">
        <v>218499.51559023443</v>
      </c>
      <c r="W31" s="211">
        <v>207669.3936706114</v>
      </c>
      <c r="X31" s="211">
        <v>211090.74758921738</v>
      </c>
      <c r="Y31" s="211">
        <v>224032.06368020579</v>
      </c>
      <c r="Z31" s="211">
        <v>231491.40486906911</v>
      </c>
      <c r="AA31" s="211">
        <v>298104.85319368134</v>
      </c>
      <c r="AB31" s="211">
        <v>268957.48499957018</v>
      </c>
      <c r="AC31" s="211">
        <v>243816.28367886698</v>
      </c>
    </row>
    <row r="32" spans="1:29" s="31" customFormat="1" ht="18" customHeight="1" x14ac:dyDescent="0.2">
      <c r="A32" s="73"/>
      <c r="B32" s="73"/>
      <c r="C32" s="73"/>
      <c r="D32" s="390" t="s">
        <v>90</v>
      </c>
      <c r="E32" s="390"/>
      <c r="F32" s="390"/>
      <c r="G32" s="390"/>
      <c r="H32" s="390"/>
      <c r="I32" s="390"/>
      <c r="J32" s="390"/>
      <c r="K32" s="68">
        <v>156883.35381415999</v>
      </c>
      <c r="L32" s="68">
        <v>102072.62428136624</v>
      </c>
      <c r="M32" s="68">
        <v>99880.546237067436</v>
      </c>
      <c r="N32" s="68">
        <v>144808.7835209677</v>
      </c>
      <c r="O32" s="68">
        <v>108571.86835556627</v>
      </c>
      <c r="P32" s="68">
        <v>107137.44109218111</v>
      </c>
      <c r="Q32" s="68">
        <v>93784.378428831129</v>
      </c>
      <c r="R32" s="68">
        <v>59785.603658693013</v>
      </c>
      <c r="S32" s="68">
        <v>77418.736803886582</v>
      </c>
      <c r="T32" s="68">
        <v>39894.394255890045</v>
      </c>
      <c r="U32" s="68">
        <v>65742.434996712182</v>
      </c>
      <c r="V32" s="68">
        <v>88588.231435859678</v>
      </c>
      <c r="W32" s="68">
        <v>93769.943817416817</v>
      </c>
      <c r="X32" s="68">
        <v>78013.99335862197</v>
      </c>
      <c r="Y32" s="68">
        <v>88557.217452120283</v>
      </c>
      <c r="Z32" s="68">
        <v>101155.4127949588</v>
      </c>
      <c r="AA32" s="68">
        <v>125537.50506524724</v>
      </c>
      <c r="AB32" s="68">
        <v>105592.24198401099</v>
      </c>
      <c r="AC32" s="68">
        <v>102662.84608821773</v>
      </c>
    </row>
    <row r="33" spans="1:29" s="31" customFormat="1" ht="18" customHeight="1" x14ac:dyDescent="0.2">
      <c r="A33" s="73"/>
      <c r="B33" s="73"/>
      <c r="C33" s="73"/>
      <c r="D33" s="382" t="s">
        <v>91</v>
      </c>
      <c r="E33" s="382"/>
      <c r="F33" s="382"/>
      <c r="G33" s="382"/>
      <c r="H33" s="382"/>
      <c r="I33" s="382"/>
      <c r="J33" s="382"/>
      <c r="K33" s="69">
        <v>74219.77502599491</v>
      </c>
      <c r="L33" s="69">
        <v>81748.562732499151</v>
      </c>
      <c r="M33" s="69">
        <v>63200.305080515929</v>
      </c>
      <c r="N33" s="69">
        <v>50449.511031272115</v>
      </c>
      <c r="O33" s="69">
        <v>57208.26769837903</v>
      </c>
      <c r="P33" s="69">
        <v>65308.597877835549</v>
      </c>
      <c r="Q33" s="69">
        <v>61639.39735241609</v>
      </c>
      <c r="R33" s="69">
        <v>42668.772480797707</v>
      </c>
      <c r="S33" s="69">
        <v>37677.617097140712</v>
      </c>
      <c r="T33" s="69">
        <v>40160.788857355772</v>
      </c>
      <c r="U33" s="69">
        <v>38569.076080274594</v>
      </c>
      <c r="V33" s="69">
        <v>41842.818418042792</v>
      </c>
      <c r="W33" s="69">
        <v>34955.810435751897</v>
      </c>
      <c r="X33" s="69">
        <v>45606.484072817431</v>
      </c>
      <c r="Y33" s="69">
        <v>41835.093850056241</v>
      </c>
      <c r="Z33" s="69">
        <v>49810.659157232687</v>
      </c>
      <c r="AA33" s="69">
        <v>74754.819453983509</v>
      </c>
      <c r="AB33" s="69">
        <v>69638.509154990112</v>
      </c>
      <c r="AC33" s="69">
        <v>57437.744902312086</v>
      </c>
    </row>
    <row r="34" spans="1:29" s="31" customFormat="1" ht="18" customHeight="1" x14ac:dyDescent="0.2">
      <c r="A34" s="73"/>
      <c r="B34" s="73"/>
      <c r="C34" s="73"/>
      <c r="D34" s="382" t="s">
        <v>92</v>
      </c>
      <c r="E34" s="382"/>
      <c r="F34" s="382"/>
      <c r="G34" s="382"/>
      <c r="H34" s="382"/>
      <c r="I34" s="382"/>
      <c r="J34" s="382"/>
      <c r="K34" s="69">
        <v>21742.225163058902</v>
      </c>
      <c r="L34" s="69">
        <v>9128.931349340548</v>
      </c>
      <c r="M34" s="69">
        <v>13303.872441362921</v>
      </c>
      <c r="N34" s="69">
        <v>7574.2719442724383</v>
      </c>
      <c r="O34" s="69">
        <v>7498.4462226981786</v>
      </c>
      <c r="P34" s="69">
        <v>10915.661891338304</v>
      </c>
      <c r="Q34" s="69">
        <v>10048.14571187854</v>
      </c>
      <c r="R34" s="69">
        <v>12584.941799474076</v>
      </c>
      <c r="S34" s="69">
        <v>9664.7743367171133</v>
      </c>
      <c r="T34" s="69">
        <v>8134.2438118955142</v>
      </c>
      <c r="U34" s="69">
        <v>13402.629549363261</v>
      </c>
      <c r="V34" s="69">
        <v>14704.678376112732</v>
      </c>
      <c r="W34" s="69">
        <v>14690.727227600264</v>
      </c>
      <c r="X34" s="69">
        <v>20073.454251247385</v>
      </c>
      <c r="Y34" s="69">
        <v>10476.598424856507</v>
      </c>
      <c r="Z34" s="69">
        <v>15046.086489894549</v>
      </c>
      <c r="AA34" s="69">
        <v>15745.921703296704</v>
      </c>
      <c r="AB34" s="69">
        <v>22402.918765580675</v>
      </c>
      <c r="AC34" s="69">
        <v>14825.584165173619</v>
      </c>
    </row>
    <row r="35" spans="1:29" s="31" customFormat="1" ht="18" customHeight="1" x14ac:dyDescent="0.2">
      <c r="A35" s="73"/>
      <c r="B35" s="73"/>
      <c r="C35" s="73"/>
      <c r="D35" s="382" t="s">
        <v>509</v>
      </c>
      <c r="E35" s="382"/>
      <c r="F35" s="382"/>
      <c r="G35" s="382"/>
      <c r="H35" s="382"/>
      <c r="I35" s="382"/>
      <c r="J35" s="382"/>
      <c r="K35" s="69"/>
      <c r="L35" s="69"/>
      <c r="M35" s="69"/>
      <c r="N35" s="69"/>
      <c r="O35" s="69"/>
      <c r="P35" s="69"/>
      <c r="Q35" s="69">
        <v>77.482897383957592</v>
      </c>
      <c r="R35" s="69">
        <v>433.37116000625406</v>
      </c>
      <c r="S35" s="69">
        <v>603.53126755891685</v>
      </c>
      <c r="T35" s="69">
        <v>188.76521160742624</v>
      </c>
      <c r="U35" s="69">
        <v>416.67638100717403</v>
      </c>
      <c r="V35" s="69">
        <v>358.50028505744399</v>
      </c>
      <c r="W35" s="69">
        <v>449.11316269375885</v>
      </c>
      <c r="X35" s="69">
        <v>222.99857358735187</v>
      </c>
      <c r="Y35" s="69">
        <v>911.96342744480751</v>
      </c>
      <c r="Z35" s="69"/>
      <c r="AA35" s="69"/>
      <c r="AB35" s="69"/>
      <c r="AC35" s="69"/>
    </row>
    <row r="36" spans="1:29" s="31" customFormat="1" ht="18" customHeight="1" x14ac:dyDescent="0.2">
      <c r="A36" s="73"/>
      <c r="B36" s="73"/>
      <c r="C36" s="73"/>
      <c r="D36" s="380" t="s">
        <v>93</v>
      </c>
      <c r="E36" s="380"/>
      <c r="F36" s="380"/>
      <c r="G36" s="380"/>
      <c r="H36" s="380"/>
      <c r="I36" s="380"/>
      <c r="J36" s="380"/>
      <c r="K36" s="70">
        <v>67479.534927686895</v>
      </c>
      <c r="L36" s="70">
        <v>94742.052756171805</v>
      </c>
      <c r="M36" s="70">
        <v>82545.26558120393</v>
      </c>
      <c r="N36" s="70">
        <v>46934.599334984276</v>
      </c>
      <c r="O36" s="70">
        <v>84414.735259787034</v>
      </c>
      <c r="P36" s="70">
        <v>44561.752079943704</v>
      </c>
      <c r="Q36" s="70">
        <v>47768.802428267838</v>
      </c>
      <c r="R36" s="70">
        <v>53620.110870713805</v>
      </c>
      <c r="S36" s="70">
        <v>41442.950570820634</v>
      </c>
      <c r="T36" s="70">
        <v>35492.926497751781</v>
      </c>
      <c r="U36" s="70">
        <v>46639.77388452633</v>
      </c>
      <c r="V36" s="70">
        <v>73005.287075162007</v>
      </c>
      <c r="W36" s="70">
        <v>63803.799027148358</v>
      </c>
      <c r="X36" s="70">
        <v>67173.817332943203</v>
      </c>
      <c r="Y36" s="70">
        <v>82251.190525727798</v>
      </c>
      <c r="Z36" s="70">
        <v>65479.246426983096</v>
      </c>
      <c r="AA36" s="70">
        <v>82066.606971153873</v>
      </c>
      <c r="AB36" s="70">
        <v>71323.815094988386</v>
      </c>
      <c r="AC36" s="70">
        <v>68890.108523163566</v>
      </c>
    </row>
    <row r="37" spans="1:29" s="31" customFormat="1" ht="18" customHeight="1" x14ac:dyDescent="0.2">
      <c r="A37" s="73"/>
      <c r="B37" s="73"/>
      <c r="C37" s="381" t="s">
        <v>94</v>
      </c>
      <c r="D37" s="381"/>
      <c r="E37" s="381"/>
      <c r="F37" s="381"/>
      <c r="G37" s="381"/>
      <c r="H37" s="381"/>
      <c r="I37" s="381"/>
      <c r="J37" s="381"/>
      <c r="K37" s="211">
        <v>200403.629832687</v>
      </c>
      <c r="L37" s="211">
        <v>158619.7159283057</v>
      </c>
      <c r="M37" s="211">
        <v>199841.16720671309</v>
      </c>
      <c r="N37" s="211">
        <v>124935.64138675571</v>
      </c>
      <c r="O37" s="211">
        <v>184366.11838619801</v>
      </c>
      <c r="P37" s="211">
        <v>201533.97893846044</v>
      </c>
      <c r="Q37" s="211">
        <v>167260.45453364929</v>
      </c>
      <c r="R37" s="211">
        <v>118127.84012528688</v>
      </c>
      <c r="S37" s="211">
        <v>129917.40611521425</v>
      </c>
      <c r="T37" s="211">
        <v>114085.90941741818</v>
      </c>
      <c r="U37" s="211">
        <v>198683.53153304977</v>
      </c>
      <c r="V37" s="211">
        <v>157826.46924331781</v>
      </c>
      <c r="W37" s="211">
        <v>168394.50781624924</v>
      </c>
      <c r="X37" s="211">
        <v>133373.40051619726</v>
      </c>
      <c r="Y37" s="211">
        <v>175024.07915449381</v>
      </c>
      <c r="Z37" s="211">
        <v>179823.37276555962</v>
      </c>
      <c r="AA37" s="211">
        <v>219245.55554601649</v>
      </c>
      <c r="AB37" s="211">
        <v>229412.35588412278</v>
      </c>
      <c r="AC37" s="211">
        <v>216216.58663936527</v>
      </c>
    </row>
    <row r="38" spans="1:29" s="31" customFormat="1" ht="18" customHeight="1" x14ac:dyDescent="0.2">
      <c r="A38" s="73"/>
      <c r="B38" s="73"/>
      <c r="C38" s="73"/>
      <c r="D38" s="390" t="s">
        <v>95</v>
      </c>
      <c r="E38" s="390"/>
      <c r="F38" s="390"/>
      <c r="G38" s="390"/>
      <c r="H38" s="390"/>
      <c r="I38" s="390"/>
      <c r="J38" s="390"/>
      <c r="K38" s="68">
        <v>11098.4970224029</v>
      </c>
      <c r="L38" s="68">
        <v>3225.3128170443019</v>
      </c>
      <c r="M38" s="68">
        <v>10208.244325577232</v>
      </c>
      <c r="N38" s="68">
        <v>5125.660745945298</v>
      </c>
      <c r="O38" s="68">
        <v>18484.74992824587</v>
      </c>
      <c r="P38" s="68">
        <v>14654.637023477508</v>
      </c>
      <c r="Q38" s="68">
        <v>11101.305207111644</v>
      </c>
      <c r="R38" s="68">
        <v>2422.5723315984728</v>
      </c>
      <c r="S38" s="68">
        <v>7723.246709146867</v>
      </c>
      <c r="T38" s="68">
        <v>2493.885606597029</v>
      </c>
      <c r="U38" s="68">
        <v>5784.5266602390566</v>
      </c>
      <c r="V38" s="68">
        <v>4498.7697405488361</v>
      </c>
      <c r="W38" s="68">
        <v>1138.2862144137973</v>
      </c>
      <c r="X38" s="68">
        <v>4366.6965481138077</v>
      </c>
      <c r="Y38" s="68">
        <v>3656.4472778010872</v>
      </c>
      <c r="Z38" s="68">
        <v>3614.6050193908277</v>
      </c>
      <c r="AA38" s="68">
        <v>4261.1708447802202</v>
      </c>
      <c r="AB38" s="68">
        <v>5688.8404538812001</v>
      </c>
      <c r="AC38" s="68">
        <v>5062.8856752836782</v>
      </c>
    </row>
    <row r="39" spans="1:29" s="31" customFormat="1" ht="18" customHeight="1" x14ac:dyDescent="0.2">
      <c r="A39" s="73"/>
      <c r="B39" s="73"/>
      <c r="C39" s="73"/>
      <c r="D39" s="382" t="s">
        <v>96</v>
      </c>
      <c r="E39" s="382"/>
      <c r="F39" s="382"/>
      <c r="G39" s="382"/>
      <c r="H39" s="382"/>
      <c r="I39" s="382"/>
      <c r="J39" s="382"/>
      <c r="K39" s="69">
        <v>119313.262123074</v>
      </c>
      <c r="L39" s="69">
        <v>86986.726411903961</v>
      </c>
      <c r="M39" s="69">
        <v>144614.86983194784</v>
      </c>
      <c r="N39" s="69">
        <v>102802.81363814649</v>
      </c>
      <c r="O39" s="69">
        <v>146529.22650224596</v>
      </c>
      <c r="P39" s="69">
        <v>165125.64117558359</v>
      </c>
      <c r="Q39" s="69">
        <v>136704.5337561511</v>
      </c>
      <c r="R39" s="69">
        <v>92427.14090720973</v>
      </c>
      <c r="S39" s="69">
        <v>106256.66864344533</v>
      </c>
      <c r="T39" s="69">
        <v>91595.83177241018</v>
      </c>
      <c r="U39" s="69">
        <v>116505.63703330842</v>
      </c>
      <c r="V39" s="69">
        <v>111094.49699794449</v>
      </c>
      <c r="W39" s="69">
        <v>123304.01583547886</v>
      </c>
      <c r="X39" s="69">
        <v>103898.74817100215</v>
      </c>
      <c r="Y39" s="69">
        <v>132270.28282785276</v>
      </c>
      <c r="Z39" s="69">
        <v>136746.02211168883</v>
      </c>
      <c r="AA39" s="69">
        <v>170416.64483173075</v>
      </c>
      <c r="AB39" s="69">
        <v>169036.8728616866</v>
      </c>
      <c r="AC39" s="69">
        <v>169495.66453374285</v>
      </c>
    </row>
    <row r="40" spans="1:29" s="31" customFormat="1" ht="18" customHeight="1" x14ac:dyDescent="0.2">
      <c r="A40" s="73"/>
      <c r="B40" s="73"/>
      <c r="C40" s="73"/>
      <c r="D40" s="382" t="s">
        <v>97</v>
      </c>
      <c r="E40" s="382"/>
      <c r="F40" s="382"/>
      <c r="G40" s="382"/>
      <c r="H40" s="382"/>
      <c r="I40" s="382"/>
      <c r="J40" s="382"/>
      <c r="K40" s="69">
        <v>34217.317326779499</v>
      </c>
      <c r="L40" s="69">
        <v>19475.650997632736</v>
      </c>
      <c r="M40" s="69">
        <v>8235.8310042834055</v>
      </c>
      <c r="N40" s="69">
        <v>9234.6932846917443</v>
      </c>
      <c r="O40" s="69">
        <v>11310.322075290203</v>
      </c>
      <c r="P40" s="69">
        <v>12476.320694907658</v>
      </c>
      <c r="Q40" s="69">
        <v>9505.9068983860398</v>
      </c>
      <c r="R40" s="69">
        <v>6881.4737905853444</v>
      </c>
      <c r="S40" s="69">
        <v>7682.2328725180851</v>
      </c>
      <c r="T40" s="69">
        <v>10095.450368665686</v>
      </c>
      <c r="U40" s="69">
        <v>14116.70537701731</v>
      </c>
      <c r="V40" s="69">
        <v>18601.782246340917</v>
      </c>
      <c r="W40" s="69">
        <v>19621.608135725448</v>
      </c>
      <c r="X40" s="69">
        <v>7918.0270629958377</v>
      </c>
      <c r="Y40" s="69">
        <v>11641.309140755571</v>
      </c>
      <c r="Z40" s="69">
        <v>18415.454015196239</v>
      </c>
      <c r="AA40" s="69">
        <v>14583.076579670329</v>
      </c>
      <c r="AB40" s="69">
        <v>18846.195650305166</v>
      </c>
      <c r="AC40" s="69">
        <v>13592.953843528709</v>
      </c>
    </row>
    <row r="41" spans="1:29" s="31" customFormat="1" ht="18" customHeight="1" x14ac:dyDescent="0.2">
      <c r="A41" s="73"/>
      <c r="B41" s="73"/>
      <c r="C41" s="73"/>
      <c r="D41" s="382" t="s">
        <v>509</v>
      </c>
      <c r="E41" s="382"/>
      <c r="F41" s="382"/>
      <c r="G41" s="382"/>
      <c r="H41" s="382"/>
      <c r="I41" s="382"/>
      <c r="J41" s="382"/>
      <c r="K41" s="69"/>
      <c r="L41" s="69"/>
      <c r="M41" s="69"/>
      <c r="N41" s="69"/>
      <c r="O41" s="69"/>
      <c r="P41" s="69"/>
      <c r="Q41" s="69">
        <v>409.52608546344959</v>
      </c>
      <c r="R41" s="69">
        <v>332.58674900200106</v>
      </c>
      <c r="S41" s="69">
        <v>566.76715198809734</v>
      </c>
      <c r="T41" s="69">
        <v>1276.8719160284916</v>
      </c>
      <c r="U41" s="69">
        <v>861.27511919070116</v>
      </c>
      <c r="V41" s="69">
        <v>2533.6656758596855</v>
      </c>
      <c r="W41" s="69">
        <v>823.47789691021489</v>
      </c>
      <c r="X41" s="69">
        <v>1861.3490832400926</v>
      </c>
      <c r="Y41" s="69">
        <v>4016.2114771933802</v>
      </c>
      <c r="Z41" s="69"/>
      <c r="AA41" s="69"/>
      <c r="AB41" s="69"/>
      <c r="AC41" s="69"/>
    </row>
    <row r="42" spans="1:29" s="31" customFormat="1" ht="18" customHeight="1" x14ac:dyDescent="0.2">
      <c r="A42" s="73"/>
      <c r="B42" s="73"/>
      <c r="C42" s="73"/>
      <c r="D42" s="380" t="s">
        <v>98</v>
      </c>
      <c r="E42" s="380"/>
      <c r="F42" s="380"/>
      <c r="G42" s="380"/>
      <c r="H42" s="380"/>
      <c r="I42" s="380"/>
      <c r="J42" s="380"/>
      <c r="K42" s="70">
        <v>35774.553360431004</v>
      </c>
      <c r="L42" s="70">
        <v>48932.02570172472</v>
      </c>
      <c r="M42" s="70">
        <v>36782.222044904149</v>
      </c>
      <c r="N42" s="70">
        <v>7772.4737179721469</v>
      </c>
      <c r="O42" s="70">
        <v>8041.8198804159501</v>
      </c>
      <c r="P42" s="70">
        <v>9277.3800444912667</v>
      </c>
      <c r="Q42" s="70">
        <v>9539.1825865359679</v>
      </c>
      <c r="R42" s="70">
        <v>16064.066346891359</v>
      </c>
      <c r="S42" s="70">
        <v>7688.4907381159283</v>
      </c>
      <c r="T42" s="70">
        <v>8623.8697537167627</v>
      </c>
      <c r="U42" s="70">
        <v>61415.387343293914</v>
      </c>
      <c r="V42" s="70">
        <v>21097.75458262378</v>
      </c>
      <c r="W42" s="70">
        <v>23507.119733720639</v>
      </c>
      <c r="X42" s="70">
        <v>15328.579650845359</v>
      </c>
      <c r="Y42" s="70">
        <v>23439.828430890888</v>
      </c>
      <c r="Z42" s="70">
        <v>21047.291619283729</v>
      </c>
      <c r="AA42" s="70">
        <v>29984.663289835182</v>
      </c>
      <c r="AB42" s="70">
        <v>35840.446918249829</v>
      </c>
      <c r="AC42" s="70">
        <v>28065.082586810051</v>
      </c>
    </row>
    <row r="43" spans="1:29" s="31" customFormat="1" ht="18" customHeight="1" x14ac:dyDescent="0.2">
      <c r="A43" s="73"/>
      <c r="B43" s="381" t="s">
        <v>365</v>
      </c>
      <c r="C43" s="381"/>
      <c r="D43" s="381"/>
      <c r="E43" s="381"/>
      <c r="F43" s="381"/>
      <c r="G43" s="381"/>
      <c r="H43" s="381"/>
      <c r="I43" s="381"/>
      <c r="J43" s="381"/>
      <c r="K43" s="211">
        <v>214410.24671519001</v>
      </c>
      <c r="L43" s="211">
        <v>151693.77747717281</v>
      </c>
      <c r="M43" s="211">
        <v>234876.05653604114</v>
      </c>
      <c r="N43" s="211">
        <v>196880.23819661731</v>
      </c>
      <c r="O43" s="211">
        <v>194715.75434787461</v>
      </c>
      <c r="P43" s="211">
        <v>213066.16336647802</v>
      </c>
      <c r="Q43" s="211">
        <v>230511.5034242344</v>
      </c>
      <c r="R43" s="211">
        <v>163658.89093449863</v>
      </c>
      <c r="S43" s="211">
        <v>169502.7581893882</v>
      </c>
      <c r="T43" s="211">
        <v>124469.13049434198</v>
      </c>
      <c r="U43" s="211">
        <v>213990.93283555479</v>
      </c>
      <c r="V43" s="211">
        <v>229503.14756122368</v>
      </c>
      <c r="W43" s="211">
        <v>220457.3063183683</v>
      </c>
      <c r="X43" s="211">
        <v>247024.11725563827</v>
      </c>
      <c r="Y43" s="211">
        <v>284583.30241205147</v>
      </c>
      <c r="Z43" s="211">
        <v>319656.20687728823</v>
      </c>
      <c r="AA43" s="211">
        <v>465821.04275412089</v>
      </c>
      <c r="AB43" s="211">
        <v>370889.41554199264</v>
      </c>
      <c r="AC43" s="211">
        <v>328240.62742086849</v>
      </c>
    </row>
    <row r="44" spans="1:29" s="31" customFormat="1" ht="18" customHeight="1" x14ac:dyDescent="0.2">
      <c r="A44" s="73"/>
      <c r="B44" s="105"/>
      <c r="C44" s="384" t="s">
        <v>366</v>
      </c>
      <c r="D44" s="385"/>
      <c r="E44" s="385"/>
      <c r="F44" s="385"/>
      <c r="G44" s="385"/>
      <c r="H44" s="385"/>
      <c r="I44" s="385"/>
      <c r="J44" s="386"/>
      <c r="K44" s="211">
        <v>178008.1293127893</v>
      </c>
      <c r="L44" s="211"/>
      <c r="M44" s="211"/>
      <c r="N44" s="211"/>
      <c r="O44" s="211"/>
      <c r="P44" s="211">
        <v>173578.44064645321</v>
      </c>
      <c r="Q44" s="211">
        <v>212095.668802623</v>
      </c>
      <c r="R44" s="211">
        <v>162930.53569127308</v>
      </c>
      <c r="S44" s="211">
        <v>166829.27382821194</v>
      </c>
      <c r="T44" s="211">
        <v>112665.69466251528</v>
      </c>
      <c r="U44" s="211">
        <v>198133.34906112627</v>
      </c>
      <c r="V44" s="211">
        <v>215734.66822912218</v>
      </c>
      <c r="W44" s="211">
        <v>216350.76669253726</v>
      </c>
      <c r="X44" s="211">
        <v>245864.42383497776</v>
      </c>
      <c r="Y44" s="211">
        <v>269306.68482961541</v>
      </c>
      <c r="Z44" s="211">
        <v>305749.83359773608</v>
      </c>
      <c r="AA44" s="211">
        <v>417456.0474759615</v>
      </c>
      <c r="AB44" s="211">
        <v>347994.03919883084</v>
      </c>
      <c r="AC44" s="211">
        <v>310632.5142052726</v>
      </c>
    </row>
    <row r="45" spans="1:29" s="31" customFormat="1" ht="18" customHeight="1" x14ac:dyDescent="0.2">
      <c r="A45" s="73"/>
      <c r="B45" s="73"/>
      <c r="C45" s="216"/>
      <c r="D45" s="373" t="s">
        <v>99</v>
      </c>
      <c r="E45" s="374"/>
      <c r="F45" s="374"/>
      <c r="G45" s="374"/>
      <c r="H45" s="374"/>
      <c r="I45" s="374"/>
      <c r="J45" s="375"/>
      <c r="K45" s="68">
        <v>20862.085263257399</v>
      </c>
      <c r="L45" s="68">
        <v>17572.286100777816</v>
      </c>
      <c r="M45" s="68">
        <v>24528.816168681555</v>
      </c>
      <c r="N45" s="68">
        <v>15933.019515878723</v>
      </c>
      <c r="O45" s="68">
        <v>13627.436573648461</v>
      </c>
      <c r="P45" s="68">
        <v>16795.952498078434</v>
      </c>
      <c r="Q45" s="68">
        <v>16936.462419985139</v>
      </c>
      <c r="R45" s="68">
        <v>14887.777637191552</v>
      </c>
      <c r="S45" s="68">
        <v>13076.961927814902</v>
      </c>
      <c r="T45" s="68">
        <v>12021.806176062939</v>
      </c>
      <c r="U45" s="68">
        <v>17066.1471193666</v>
      </c>
      <c r="V45" s="68">
        <v>15559.141601150091</v>
      </c>
      <c r="W45" s="68">
        <v>22706.700430701378</v>
      </c>
      <c r="X45" s="68">
        <v>22360.310044176804</v>
      </c>
      <c r="Y45" s="68">
        <v>16302.022102231856</v>
      </c>
      <c r="Z45" s="68">
        <v>16128.250588082512</v>
      </c>
      <c r="AA45" s="68">
        <v>18317.291895604394</v>
      </c>
      <c r="AB45" s="68">
        <v>16806.276197025702</v>
      </c>
      <c r="AC45" s="68">
        <v>16753.326849244946</v>
      </c>
    </row>
    <row r="46" spans="1:29" s="31" customFormat="1" ht="18" customHeight="1" x14ac:dyDescent="0.2">
      <c r="A46" s="73"/>
      <c r="B46" s="73"/>
      <c r="C46" s="216"/>
      <c r="D46" s="376" t="s">
        <v>100</v>
      </c>
      <c r="E46" s="377"/>
      <c r="F46" s="377"/>
      <c r="G46" s="377"/>
      <c r="H46" s="377"/>
      <c r="I46" s="377"/>
      <c r="J46" s="378"/>
      <c r="K46" s="69">
        <v>13354.475848378899</v>
      </c>
      <c r="L46" s="69">
        <v>32735.627324991547</v>
      </c>
      <c r="M46" s="69">
        <v>15349.845636287822</v>
      </c>
      <c r="N46" s="69">
        <v>7574.5868803753347</v>
      </c>
      <c r="O46" s="69">
        <v>2042.624727524975</v>
      </c>
      <c r="P46" s="69">
        <v>4112.7591139458473</v>
      </c>
      <c r="Q46" s="69">
        <v>6094.9961674514034</v>
      </c>
      <c r="R46" s="69">
        <v>1706.127487543228</v>
      </c>
      <c r="S46" s="69">
        <v>12301.639398261337</v>
      </c>
      <c r="T46" s="69">
        <v>7607.3784932384078</v>
      </c>
      <c r="U46" s="69">
        <v>54421.927007369399</v>
      </c>
      <c r="V46" s="69">
        <v>5496.0341872601175</v>
      </c>
      <c r="W46" s="69">
        <v>16041.794529867129</v>
      </c>
      <c r="X46" s="69">
        <v>19971.159807175336</v>
      </c>
      <c r="Y46" s="69">
        <v>19261.382634285819</v>
      </c>
      <c r="Z46" s="69">
        <v>17800.490884834973</v>
      </c>
      <c r="AA46" s="69">
        <v>48667.798248626372</v>
      </c>
      <c r="AB46" s="69">
        <v>20935.849651852488</v>
      </c>
      <c r="AC46" s="69">
        <v>26411.077211841992</v>
      </c>
    </row>
    <row r="47" spans="1:29" s="31" customFormat="1" ht="18" customHeight="1" x14ac:dyDescent="0.2">
      <c r="A47" s="73"/>
      <c r="B47" s="73"/>
      <c r="C47" s="216"/>
      <c r="D47" s="376" t="s">
        <v>101</v>
      </c>
      <c r="E47" s="377"/>
      <c r="F47" s="377"/>
      <c r="G47" s="377"/>
      <c r="H47" s="377"/>
      <c r="I47" s="377"/>
      <c r="J47" s="378"/>
      <c r="K47" s="69">
        <v>143791.56820115302</v>
      </c>
      <c r="L47" s="69">
        <v>96514.626310449792</v>
      </c>
      <c r="M47" s="69">
        <v>189949.39570332941</v>
      </c>
      <c r="N47" s="69">
        <v>144745.57622096746</v>
      </c>
      <c r="O47" s="69">
        <v>156381.94649845958</v>
      </c>
      <c r="P47" s="69">
        <v>154640.28853660345</v>
      </c>
      <c r="Q47" s="69">
        <v>191246.50596487778</v>
      </c>
      <c r="R47" s="69">
        <v>147086.55621548617</v>
      </c>
      <c r="S47" s="69">
        <v>145422.84135074436</v>
      </c>
      <c r="T47" s="69">
        <v>93579.590771406918</v>
      </c>
      <c r="U47" s="69">
        <v>126829.75730720841</v>
      </c>
      <c r="V47" s="69">
        <v>197443.87637245312</v>
      </c>
      <c r="W47" s="69">
        <v>178905.62534676044</v>
      </c>
      <c r="X47" s="69">
        <v>209220.54772869614</v>
      </c>
      <c r="Y47" s="69">
        <v>234858.72462189922</v>
      </c>
      <c r="Z47" s="69">
        <v>276105.30385119875</v>
      </c>
      <c r="AA47" s="69">
        <v>354530.10568337911</v>
      </c>
      <c r="AB47" s="69">
        <v>312742.42740479665</v>
      </c>
      <c r="AC47" s="69">
        <v>270893.77288627252</v>
      </c>
    </row>
    <row r="48" spans="1:29" s="31" customFormat="1" ht="18" customHeight="1" x14ac:dyDescent="0.2">
      <c r="A48" s="73"/>
      <c r="B48" s="73"/>
      <c r="C48" s="217"/>
      <c r="D48" s="387" t="s">
        <v>367</v>
      </c>
      <c r="E48" s="388"/>
      <c r="F48" s="388"/>
      <c r="G48" s="388"/>
      <c r="H48" s="388"/>
      <c r="I48" s="388"/>
      <c r="J48" s="389"/>
      <c r="K48" s="210"/>
      <c r="L48" s="210"/>
      <c r="M48" s="210"/>
      <c r="N48" s="210"/>
      <c r="O48" s="210">
        <v>-2751.889842689181</v>
      </c>
      <c r="P48" s="210">
        <v>-1970.5595021743959</v>
      </c>
      <c r="Q48" s="210">
        <v>-2182.2957496912645</v>
      </c>
      <c r="R48" s="210">
        <v>-749.9256489478264</v>
      </c>
      <c r="S48" s="210">
        <v>-3972.1688486086668</v>
      </c>
      <c r="T48" s="210">
        <v>-543.08077819292919</v>
      </c>
      <c r="U48" s="210">
        <v>-184.48237281803515</v>
      </c>
      <c r="V48" s="210">
        <v>-2764.3839317408392</v>
      </c>
      <c r="W48" s="210">
        <v>-1303.3536147917905</v>
      </c>
      <c r="X48" s="210">
        <v>-5687.5937450703532</v>
      </c>
      <c r="Y48" s="210">
        <v>-1115.4445288017632</v>
      </c>
      <c r="Z48" s="210">
        <v>-4284.2117263801802</v>
      </c>
      <c r="AA48" s="210">
        <v>-4059.1483516483518</v>
      </c>
      <c r="AB48" s="210">
        <v>-2490.5140548439786</v>
      </c>
      <c r="AC48" s="210">
        <v>-3425.6627420868522</v>
      </c>
    </row>
    <row r="49" spans="1:29" s="31" customFormat="1" ht="18" customHeight="1" x14ac:dyDescent="0.2">
      <c r="A49" s="74"/>
      <c r="B49" s="74"/>
      <c r="C49" s="391" t="s">
        <v>102</v>
      </c>
      <c r="D49" s="392"/>
      <c r="E49" s="392"/>
      <c r="F49" s="392"/>
      <c r="G49" s="392"/>
      <c r="H49" s="392"/>
      <c r="I49" s="392"/>
      <c r="J49" s="393"/>
      <c r="K49" s="71">
        <v>36402.117402400996</v>
      </c>
      <c r="L49" s="71">
        <v>4871.322286100778</v>
      </c>
      <c r="M49" s="71">
        <v>5047.9990277425504</v>
      </c>
      <c r="N49" s="71">
        <v>28627.055579395699</v>
      </c>
      <c r="O49" s="71">
        <v>25415.636390930504</v>
      </c>
      <c r="P49" s="71">
        <v>39487.722720025013</v>
      </c>
      <c r="Q49" s="71">
        <v>18415.834621611208</v>
      </c>
      <c r="R49" s="71">
        <v>728.35524322559911</v>
      </c>
      <c r="S49" s="71">
        <v>2673.4843611762831</v>
      </c>
      <c r="T49" s="71">
        <v>11803.435831826673</v>
      </c>
      <c r="U49" s="71">
        <v>15857.58377442864</v>
      </c>
      <c r="V49" s="71">
        <v>13768.479332101535</v>
      </c>
      <c r="W49" s="71">
        <v>4106.5396258310675</v>
      </c>
      <c r="X49" s="71">
        <v>1159.6934206604865</v>
      </c>
      <c r="Y49" s="71">
        <v>15276.61758243618</v>
      </c>
      <c r="Z49" s="71">
        <v>13906.37327955215</v>
      </c>
      <c r="AA49" s="71">
        <v>48364.995278159389</v>
      </c>
      <c r="AB49" s="71">
        <v>22895.376343161799</v>
      </c>
      <c r="AC49" s="71">
        <v>17608.113215595891</v>
      </c>
    </row>
    <row r="50" spans="1:29" x14ac:dyDescent="0.2">
      <c r="A50" s="2"/>
      <c r="B50" s="368" t="s">
        <v>582</v>
      </c>
      <c r="C50" s="368"/>
      <c r="D50" s="368"/>
      <c r="E50" s="368"/>
      <c r="F50" s="368"/>
      <c r="G50" s="368"/>
      <c r="H50" s="368"/>
      <c r="I50" s="368"/>
      <c r="J50" s="368"/>
      <c r="K50" s="368"/>
      <c r="L50" s="368"/>
      <c r="M50" s="368"/>
      <c r="N50" s="368"/>
      <c r="O50" s="368"/>
      <c r="P50" s="368"/>
      <c r="Q50" s="368"/>
      <c r="R50" s="368"/>
      <c r="S50" s="368"/>
      <c r="T50" s="368"/>
      <c r="U50" s="368"/>
      <c r="V50" s="368"/>
      <c r="W50" s="368"/>
      <c r="X50" s="368"/>
      <c r="Y50" s="368"/>
      <c r="Z50" s="368"/>
      <c r="AA50" s="368"/>
      <c r="AB50" s="368"/>
      <c r="AC50" s="368"/>
    </row>
    <row r="51" spans="1:29" x14ac:dyDescent="0.2">
      <c r="A51" s="2"/>
      <c r="B51" s="369"/>
      <c r="C51" s="369"/>
      <c r="D51" s="369"/>
      <c r="E51" s="369"/>
      <c r="F51" s="369"/>
      <c r="G51" s="369"/>
      <c r="H51" s="369"/>
      <c r="I51" s="369"/>
      <c r="J51" s="369"/>
      <c r="K51" s="369"/>
      <c r="L51" s="369"/>
      <c r="M51" s="369"/>
      <c r="N51" s="369"/>
      <c r="O51" s="369"/>
      <c r="P51" s="369"/>
      <c r="Q51" s="369"/>
      <c r="R51" s="369"/>
      <c r="S51" s="369"/>
      <c r="T51" s="369"/>
      <c r="U51" s="369"/>
      <c r="V51" s="369"/>
      <c r="W51" s="369"/>
      <c r="X51" s="369"/>
      <c r="Y51" s="369"/>
      <c r="Z51" s="369"/>
      <c r="AA51" s="369"/>
      <c r="AB51" s="369"/>
      <c r="AC51" s="369"/>
    </row>
    <row r="52" spans="1:29" x14ac:dyDescent="0.2">
      <c r="A52" s="2"/>
      <c r="K52" s="3"/>
      <c r="L52" s="3"/>
      <c r="M52" s="3"/>
      <c r="N52" s="3"/>
      <c r="O52" s="3"/>
      <c r="P52" s="3"/>
      <c r="Q52" s="3"/>
      <c r="R52" s="3"/>
      <c r="S52" s="3"/>
      <c r="T52" s="3"/>
      <c r="U52" s="3"/>
      <c r="V52" s="3"/>
      <c r="W52" s="3"/>
      <c r="X52" s="3"/>
      <c r="Y52" s="3"/>
      <c r="Z52" s="3"/>
      <c r="AA52" s="3"/>
      <c r="AB52" s="3"/>
      <c r="AC52" s="3"/>
    </row>
    <row r="53" spans="1:29" x14ac:dyDescent="0.2">
      <c r="A53" s="2"/>
      <c r="K53" s="3"/>
      <c r="L53" s="3"/>
      <c r="M53" s="3"/>
      <c r="N53" s="3"/>
      <c r="O53" s="3"/>
      <c r="P53" s="3"/>
      <c r="Q53" s="3"/>
      <c r="R53" s="3"/>
      <c r="S53" s="3"/>
      <c r="T53" s="3"/>
      <c r="U53" s="3"/>
      <c r="V53" s="3"/>
      <c r="W53" s="3"/>
      <c r="X53" s="3"/>
      <c r="Y53" s="3"/>
      <c r="Z53" s="3"/>
      <c r="AA53" s="3"/>
      <c r="AB53" s="3"/>
      <c r="AC53" s="3"/>
    </row>
    <row r="54" spans="1:29" x14ac:dyDescent="0.2">
      <c r="K54" s="3"/>
      <c r="L54" s="3"/>
      <c r="M54" s="3"/>
      <c r="N54" s="3"/>
      <c r="O54" s="3"/>
      <c r="P54" s="3"/>
      <c r="Q54" s="3"/>
      <c r="R54" s="3"/>
      <c r="S54" s="3"/>
      <c r="T54" s="3"/>
      <c r="U54" s="3"/>
      <c r="V54" s="3"/>
      <c r="W54" s="3"/>
      <c r="X54" s="3"/>
      <c r="Y54" s="3"/>
      <c r="Z54" s="3"/>
      <c r="AA54" s="3"/>
      <c r="AB54" s="3"/>
      <c r="AC54" s="3"/>
    </row>
    <row r="55" spans="1:29" x14ac:dyDescent="0.2">
      <c r="K55" s="3"/>
      <c r="L55" s="3"/>
      <c r="M55" s="3"/>
      <c r="N55" s="3"/>
      <c r="O55" s="3"/>
      <c r="P55" s="3"/>
      <c r="Q55" s="3"/>
      <c r="R55" s="3"/>
      <c r="S55" s="3"/>
      <c r="T55" s="3"/>
      <c r="U55" s="3"/>
      <c r="V55" s="3"/>
      <c r="W55" s="3"/>
      <c r="X55" s="3"/>
      <c r="Y55" s="3"/>
      <c r="Z55" s="3"/>
      <c r="AA55" s="3"/>
      <c r="AB55" s="3"/>
      <c r="AC55" s="3"/>
    </row>
    <row r="56" spans="1:29" x14ac:dyDescent="0.2">
      <c r="K56" s="3"/>
      <c r="L56" s="3"/>
      <c r="M56" s="3"/>
      <c r="N56" s="3"/>
      <c r="O56" s="3"/>
      <c r="P56" s="3"/>
      <c r="Q56" s="3"/>
      <c r="R56" s="3"/>
      <c r="S56" s="3"/>
      <c r="T56" s="3"/>
      <c r="U56" s="3"/>
      <c r="V56" s="3"/>
      <c r="W56" s="3"/>
      <c r="X56" s="3"/>
      <c r="Y56" s="3"/>
      <c r="Z56" s="3"/>
      <c r="AA56" s="3"/>
      <c r="AB56" s="3"/>
      <c r="AC56" s="3"/>
    </row>
    <row r="57" spans="1:29" x14ac:dyDescent="0.2">
      <c r="K57" s="3"/>
      <c r="L57" s="3"/>
      <c r="M57" s="3"/>
      <c r="N57" s="3"/>
      <c r="O57" s="3"/>
      <c r="P57" s="3"/>
      <c r="Q57" s="3"/>
      <c r="R57" s="3"/>
      <c r="S57" s="3"/>
      <c r="T57" s="3"/>
      <c r="U57" s="3"/>
      <c r="V57" s="3"/>
      <c r="W57" s="3"/>
      <c r="X57" s="3"/>
      <c r="Y57" s="3"/>
      <c r="Z57" s="3"/>
      <c r="AA57" s="3"/>
      <c r="AB57" s="3"/>
      <c r="AC57" s="3"/>
    </row>
    <row r="58" spans="1:29" x14ac:dyDescent="0.2">
      <c r="K58" s="3"/>
      <c r="L58" s="3"/>
      <c r="M58" s="3"/>
      <c r="N58" s="3"/>
      <c r="O58" s="3"/>
      <c r="P58" s="3"/>
      <c r="Q58" s="3"/>
      <c r="R58" s="3"/>
      <c r="S58" s="3"/>
      <c r="T58" s="3"/>
      <c r="U58" s="3"/>
      <c r="V58" s="3"/>
      <c r="W58" s="3"/>
      <c r="X58" s="3"/>
      <c r="Y58" s="3"/>
      <c r="Z58" s="3"/>
      <c r="AA58" s="3"/>
      <c r="AB58" s="3"/>
      <c r="AC58" s="3"/>
    </row>
    <row r="59" spans="1:29" x14ac:dyDescent="0.2">
      <c r="K59" s="3"/>
      <c r="L59" s="3"/>
      <c r="M59" s="3"/>
      <c r="N59" s="3"/>
      <c r="O59" s="3"/>
      <c r="P59" s="3"/>
      <c r="Q59" s="3"/>
      <c r="R59" s="3"/>
      <c r="S59" s="3"/>
      <c r="T59" s="3"/>
      <c r="U59" s="3"/>
      <c r="V59" s="3"/>
      <c r="W59" s="3"/>
      <c r="X59" s="3"/>
      <c r="Y59" s="3"/>
      <c r="Z59" s="3"/>
      <c r="AA59" s="3"/>
      <c r="AB59" s="3"/>
      <c r="AC59" s="3"/>
    </row>
    <row r="60" spans="1:29" x14ac:dyDescent="0.2">
      <c r="K60" s="3"/>
      <c r="L60" s="3"/>
      <c r="M60" s="3"/>
      <c r="N60" s="3"/>
      <c r="O60" s="3"/>
      <c r="P60" s="3"/>
      <c r="Q60" s="3"/>
      <c r="R60" s="3"/>
      <c r="S60" s="3"/>
      <c r="T60" s="3"/>
      <c r="U60" s="3"/>
      <c r="V60" s="3"/>
      <c r="W60" s="3"/>
      <c r="X60" s="3"/>
      <c r="Y60" s="3"/>
      <c r="Z60" s="3"/>
      <c r="AA60" s="3"/>
      <c r="AB60" s="3"/>
      <c r="AC60" s="3"/>
    </row>
    <row r="61" spans="1:29" x14ac:dyDescent="0.2">
      <c r="K61" s="3"/>
      <c r="L61" s="3"/>
      <c r="M61" s="3"/>
      <c r="N61" s="3"/>
      <c r="O61" s="3"/>
      <c r="P61" s="3"/>
      <c r="Q61" s="3"/>
      <c r="R61" s="3"/>
      <c r="S61" s="3"/>
      <c r="T61" s="3"/>
      <c r="U61" s="3"/>
      <c r="V61" s="3"/>
      <c r="W61" s="3"/>
      <c r="X61" s="3"/>
      <c r="Y61" s="3"/>
      <c r="Z61" s="3"/>
      <c r="AA61" s="3"/>
      <c r="AB61" s="3"/>
      <c r="AC61" s="3"/>
    </row>
    <row r="62" spans="1:29" x14ac:dyDescent="0.2">
      <c r="K62" s="3"/>
      <c r="L62" s="3"/>
      <c r="M62" s="3"/>
      <c r="N62" s="3"/>
      <c r="O62" s="3"/>
      <c r="P62" s="3"/>
      <c r="Q62" s="3"/>
      <c r="R62" s="3"/>
      <c r="S62" s="3"/>
      <c r="T62" s="3"/>
      <c r="U62" s="3"/>
      <c r="V62" s="3"/>
      <c r="W62" s="3"/>
      <c r="X62" s="3"/>
      <c r="Y62" s="3"/>
      <c r="Z62" s="3"/>
      <c r="AA62" s="3"/>
      <c r="AB62" s="3"/>
      <c r="AC62" s="3"/>
    </row>
    <row r="63" spans="1:29" x14ac:dyDescent="0.2">
      <c r="K63" s="3"/>
      <c r="L63" s="3"/>
      <c r="M63" s="3"/>
      <c r="N63" s="3"/>
      <c r="O63" s="3"/>
      <c r="P63" s="3"/>
      <c r="Q63" s="3"/>
      <c r="R63" s="3"/>
      <c r="S63" s="3"/>
      <c r="T63" s="3"/>
      <c r="U63" s="3"/>
      <c r="V63" s="3"/>
      <c r="W63" s="3"/>
      <c r="X63" s="3"/>
      <c r="Y63" s="3"/>
      <c r="Z63" s="3"/>
      <c r="AA63" s="3"/>
      <c r="AB63" s="3"/>
      <c r="AC63" s="3"/>
    </row>
    <row r="64" spans="1:29" x14ac:dyDescent="0.2">
      <c r="K64" s="3"/>
      <c r="L64" s="3"/>
      <c r="M64" s="3"/>
      <c r="N64" s="3"/>
      <c r="O64" s="3"/>
      <c r="P64" s="3"/>
      <c r="Q64" s="3"/>
      <c r="R64" s="3"/>
      <c r="S64" s="3"/>
      <c r="T64" s="3"/>
      <c r="U64" s="3"/>
      <c r="V64" s="3"/>
      <c r="W64" s="3"/>
      <c r="X64" s="3"/>
      <c r="Y64" s="3"/>
      <c r="Z64" s="3"/>
      <c r="AA64" s="3"/>
      <c r="AB64" s="3"/>
      <c r="AC64" s="3"/>
    </row>
    <row r="65" spans="11:29" x14ac:dyDescent="0.2">
      <c r="K65" s="3"/>
      <c r="L65" s="3"/>
      <c r="M65" s="3"/>
      <c r="N65" s="3"/>
      <c r="O65" s="3"/>
      <c r="P65" s="3"/>
      <c r="Q65" s="3"/>
      <c r="R65" s="3"/>
      <c r="S65" s="3"/>
      <c r="T65" s="3"/>
      <c r="U65" s="3"/>
      <c r="V65" s="3"/>
      <c r="W65" s="3"/>
      <c r="X65" s="3"/>
      <c r="Y65" s="3"/>
      <c r="Z65" s="3"/>
      <c r="AA65" s="3"/>
      <c r="AB65" s="3"/>
      <c r="AC65" s="3"/>
    </row>
    <row r="66" spans="11:29" x14ac:dyDescent="0.2">
      <c r="K66" s="3"/>
      <c r="L66" s="3"/>
      <c r="M66" s="3"/>
      <c r="N66" s="3"/>
      <c r="O66" s="3"/>
      <c r="P66" s="3"/>
      <c r="Q66" s="3"/>
      <c r="R66" s="3"/>
      <c r="S66" s="3"/>
      <c r="T66" s="3"/>
      <c r="U66" s="3"/>
      <c r="V66" s="3"/>
      <c r="W66" s="3"/>
      <c r="X66" s="3"/>
      <c r="Y66" s="3"/>
      <c r="Z66" s="3"/>
      <c r="AA66" s="3"/>
      <c r="AB66" s="3"/>
      <c r="AC66" s="3"/>
    </row>
    <row r="67" spans="11:29" x14ac:dyDescent="0.2">
      <c r="K67" s="3"/>
      <c r="L67" s="3"/>
      <c r="M67" s="3"/>
      <c r="N67" s="3"/>
      <c r="O67" s="3"/>
      <c r="P67" s="3"/>
      <c r="Q67" s="3"/>
      <c r="R67" s="3"/>
      <c r="S67" s="3"/>
      <c r="T67" s="3"/>
      <c r="U67" s="3"/>
      <c r="V67" s="3"/>
      <c r="W67" s="3"/>
      <c r="X67" s="3"/>
      <c r="Y67" s="3"/>
      <c r="Z67" s="3"/>
      <c r="AA67" s="3"/>
      <c r="AB67" s="3"/>
      <c r="AC67" s="3"/>
    </row>
    <row r="68" spans="11:29" x14ac:dyDescent="0.2">
      <c r="K68" s="3"/>
      <c r="L68" s="3"/>
      <c r="M68" s="3"/>
      <c r="N68" s="3"/>
      <c r="O68" s="3"/>
      <c r="P68" s="3"/>
      <c r="Q68" s="3"/>
      <c r="R68" s="3"/>
      <c r="S68" s="3"/>
      <c r="T68" s="3"/>
      <c r="U68" s="3"/>
      <c r="V68" s="3"/>
      <c r="W68" s="3"/>
      <c r="X68" s="3"/>
      <c r="Y68" s="3"/>
      <c r="Z68" s="3"/>
      <c r="AA68" s="3"/>
      <c r="AB68" s="3"/>
      <c r="AC68" s="3"/>
    </row>
    <row r="69" spans="11:29" x14ac:dyDescent="0.2">
      <c r="K69" s="3"/>
      <c r="L69" s="3"/>
      <c r="M69" s="3"/>
      <c r="N69" s="3"/>
      <c r="O69" s="3"/>
      <c r="P69" s="3"/>
      <c r="Q69" s="3"/>
      <c r="R69" s="3"/>
      <c r="S69" s="3"/>
      <c r="T69" s="3"/>
      <c r="U69" s="3"/>
      <c r="V69" s="3"/>
      <c r="W69" s="3"/>
      <c r="X69" s="3"/>
      <c r="Y69" s="3"/>
      <c r="Z69" s="3"/>
      <c r="AA69" s="3"/>
      <c r="AB69" s="3"/>
      <c r="AC69" s="3"/>
    </row>
    <row r="70" spans="11:29" x14ac:dyDescent="0.2">
      <c r="K70" s="3"/>
      <c r="L70" s="3"/>
      <c r="M70" s="3"/>
      <c r="N70" s="3"/>
      <c r="O70" s="3"/>
      <c r="P70" s="3"/>
      <c r="Q70" s="3"/>
      <c r="R70" s="3"/>
      <c r="S70" s="3"/>
      <c r="T70" s="3"/>
      <c r="U70" s="3"/>
      <c r="V70" s="3"/>
      <c r="W70" s="3"/>
      <c r="X70" s="3"/>
      <c r="Y70" s="3"/>
      <c r="Z70" s="3"/>
      <c r="AA70" s="3"/>
      <c r="AB70" s="3"/>
      <c r="AC70" s="3"/>
    </row>
    <row r="71" spans="11:29" x14ac:dyDescent="0.2">
      <c r="K71" s="3"/>
      <c r="L71" s="3"/>
      <c r="M71" s="3"/>
      <c r="N71" s="3"/>
      <c r="O71" s="3"/>
      <c r="P71" s="3"/>
      <c r="Q71" s="3"/>
      <c r="R71" s="3"/>
      <c r="S71" s="3"/>
      <c r="T71" s="3"/>
      <c r="U71" s="3"/>
      <c r="V71" s="3"/>
      <c r="W71" s="3"/>
      <c r="X71" s="3"/>
      <c r="Y71" s="3"/>
      <c r="Z71" s="3"/>
      <c r="AA71" s="3"/>
      <c r="AB71" s="3"/>
      <c r="AC71" s="3"/>
    </row>
    <row r="72" spans="11:29" x14ac:dyDescent="0.2">
      <c r="K72" s="3"/>
      <c r="L72" s="3"/>
      <c r="M72" s="3"/>
      <c r="N72" s="3"/>
      <c r="O72" s="3"/>
      <c r="P72" s="3"/>
      <c r="Q72" s="3"/>
      <c r="R72" s="3"/>
      <c r="S72" s="3"/>
      <c r="T72" s="3"/>
      <c r="U72" s="3"/>
      <c r="V72" s="3"/>
      <c r="W72" s="3"/>
      <c r="X72" s="3"/>
      <c r="Y72" s="3"/>
      <c r="Z72" s="3"/>
      <c r="AA72" s="3"/>
      <c r="AB72" s="3"/>
      <c r="AC72" s="3"/>
    </row>
    <row r="73" spans="11:29" x14ac:dyDescent="0.2">
      <c r="K73" s="3"/>
      <c r="L73" s="3"/>
      <c r="M73" s="3"/>
      <c r="N73" s="3"/>
      <c r="O73" s="3"/>
      <c r="P73" s="3"/>
      <c r="Q73" s="3"/>
      <c r="R73" s="3"/>
      <c r="S73" s="3"/>
      <c r="T73" s="3"/>
      <c r="U73" s="3"/>
      <c r="V73" s="3"/>
      <c r="W73" s="3"/>
      <c r="X73" s="3"/>
      <c r="Y73" s="3"/>
      <c r="Z73" s="3"/>
      <c r="AA73" s="3"/>
      <c r="AB73" s="3"/>
      <c r="AC73" s="3"/>
    </row>
    <row r="74" spans="11:29" x14ac:dyDescent="0.2">
      <c r="K74" s="3"/>
      <c r="L74" s="3"/>
      <c r="M74" s="3"/>
      <c r="N74" s="3"/>
      <c r="O74" s="3"/>
      <c r="P74" s="3"/>
      <c r="Q74" s="3"/>
      <c r="R74" s="3"/>
      <c r="S74" s="3"/>
      <c r="T74" s="3"/>
      <c r="U74" s="3"/>
      <c r="V74" s="3"/>
      <c r="W74" s="3"/>
      <c r="X74" s="3"/>
      <c r="Y74" s="3"/>
      <c r="Z74" s="3"/>
      <c r="AA74" s="3"/>
      <c r="AB74" s="3"/>
      <c r="AC74" s="3"/>
    </row>
    <row r="75" spans="11:29" x14ac:dyDescent="0.2">
      <c r="K75" s="3"/>
      <c r="L75" s="3"/>
      <c r="M75" s="3"/>
      <c r="N75" s="3"/>
      <c r="O75" s="3"/>
      <c r="P75" s="3"/>
      <c r="Q75" s="3"/>
      <c r="R75" s="3"/>
      <c r="S75" s="3"/>
      <c r="T75" s="3"/>
      <c r="U75" s="3"/>
      <c r="V75" s="3"/>
      <c r="W75" s="3"/>
      <c r="X75" s="3"/>
      <c r="Y75" s="3"/>
      <c r="Z75" s="3"/>
      <c r="AA75" s="3"/>
      <c r="AB75" s="3"/>
      <c r="AC75" s="3"/>
    </row>
    <row r="76" spans="11:29" x14ac:dyDescent="0.2">
      <c r="K76" s="3"/>
      <c r="L76" s="3"/>
      <c r="M76" s="3"/>
      <c r="N76" s="3"/>
      <c r="O76" s="3"/>
      <c r="P76" s="3"/>
      <c r="Q76" s="3"/>
      <c r="R76" s="3"/>
      <c r="S76" s="3"/>
      <c r="T76" s="3"/>
      <c r="U76" s="3"/>
      <c r="V76" s="3"/>
      <c r="W76" s="3"/>
      <c r="X76" s="3"/>
      <c r="Y76" s="3"/>
      <c r="Z76" s="3"/>
      <c r="AA76" s="3"/>
      <c r="AB76" s="3"/>
      <c r="AC76" s="3"/>
    </row>
    <row r="77" spans="11:29" x14ac:dyDescent="0.2">
      <c r="K77" s="3"/>
      <c r="L77" s="3"/>
      <c r="M77" s="3"/>
      <c r="N77" s="3"/>
      <c r="O77" s="3"/>
      <c r="P77" s="3"/>
      <c r="Q77" s="3"/>
      <c r="R77" s="3"/>
      <c r="S77" s="3"/>
      <c r="T77" s="3"/>
      <c r="U77" s="3"/>
      <c r="V77" s="3"/>
      <c r="W77" s="3"/>
      <c r="X77" s="3"/>
      <c r="Y77" s="3"/>
      <c r="Z77" s="3"/>
      <c r="AA77" s="3"/>
      <c r="AB77" s="3"/>
      <c r="AC77" s="3"/>
    </row>
    <row r="78" spans="11:29" x14ac:dyDescent="0.2">
      <c r="K78" s="3"/>
      <c r="L78" s="3"/>
      <c r="M78" s="3"/>
      <c r="N78" s="3"/>
      <c r="O78" s="3"/>
      <c r="P78" s="3"/>
      <c r="Q78" s="3"/>
      <c r="R78" s="3"/>
      <c r="S78" s="3"/>
      <c r="T78" s="3"/>
      <c r="U78" s="3"/>
      <c r="V78" s="3"/>
      <c r="W78" s="3"/>
      <c r="X78" s="3"/>
      <c r="Y78" s="3"/>
      <c r="Z78" s="3"/>
      <c r="AA78" s="3"/>
      <c r="AB78" s="3"/>
      <c r="AC78" s="3"/>
    </row>
    <row r="79" spans="11:29" x14ac:dyDescent="0.2">
      <c r="K79" s="3"/>
      <c r="L79" s="3"/>
      <c r="M79" s="3"/>
      <c r="N79" s="3"/>
      <c r="O79" s="3"/>
      <c r="P79" s="3"/>
      <c r="Q79" s="3"/>
      <c r="R79" s="3"/>
      <c r="S79" s="3"/>
      <c r="T79" s="3"/>
      <c r="U79" s="3"/>
      <c r="V79" s="3"/>
      <c r="W79" s="3"/>
      <c r="X79" s="3"/>
      <c r="Y79" s="3"/>
      <c r="Z79" s="3"/>
      <c r="AA79" s="3"/>
      <c r="AB79" s="3"/>
      <c r="AC79" s="3"/>
    </row>
    <row r="80" spans="11:29" x14ac:dyDescent="0.2">
      <c r="K80" s="3"/>
      <c r="L80" s="3"/>
      <c r="M80" s="3"/>
      <c r="N80" s="3"/>
      <c r="O80" s="3"/>
      <c r="P80" s="3"/>
      <c r="Q80" s="3"/>
      <c r="R80" s="3"/>
      <c r="S80" s="3"/>
      <c r="T80" s="3"/>
      <c r="U80" s="3"/>
      <c r="V80" s="3"/>
      <c r="W80" s="3"/>
      <c r="X80" s="3"/>
      <c r="Y80" s="3"/>
      <c r="Z80" s="3"/>
      <c r="AA80" s="3"/>
      <c r="AB80" s="3"/>
      <c r="AC80" s="3"/>
    </row>
    <row r="81" spans="11:29" x14ac:dyDescent="0.2">
      <c r="K81" s="3"/>
      <c r="L81" s="3"/>
      <c r="M81" s="3"/>
      <c r="N81" s="3"/>
      <c r="O81" s="3"/>
      <c r="P81" s="3"/>
      <c r="Q81" s="3"/>
      <c r="R81" s="3"/>
      <c r="S81" s="3"/>
      <c r="T81" s="3"/>
      <c r="U81" s="3"/>
      <c r="V81" s="3"/>
      <c r="W81" s="3"/>
      <c r="X81" s="3"/>
      <c r="Y81" s="3"/>
      <c r="Z81" s="3"/>
      <c r="AA81" s="3"/>
      <c r="AB81" s="3"/>
      <c r="AC81" s="3"/>
    </row>
    <row r="82" spans="11:29" x14ac:dyDescent="0.2">
      <c r="K82" s="3"/>
      <c r="L82" s="3"/>
      <c r="M82" s="3"/>
      <c r="N82" s="3"/>
      <c r="O82" s="3"/>
      <c r="P82" s="3"/>
      <c r="Q82" s="3"/>
      <c r="R82" s="3"/>
      <c r="S82" s="3"/>
      <c r="T82" s="3"/>
      <c r="U82" s="3"/>
      <c r="V82" s="3"/>
      <c r="W82" s="3"/>
      <c r="X82" s="3"/>
      <c r="Y82" s="3"/>
      <c r="Z82" s="3"/>
      <c r="AA82" s="3"/>
      <c r="AB82" s="3"/>
      <c r="AC82" s="3"/>
    </row>
    <row r="83" spans="11:29" x14ac:dyDescent="0.2">
      <c r="K83" s="3"/>
      <c r="L83" s="3"/>
      <c r="M83" s="3"/>
      <c r="N83" s="3"/>
      <c r="O83" s="3"/>
      <c r="P83" s="3"/>
      <c r="Q83" s="3"/>
      <c r="R83" s="3"/>
      <c r="S83" s="3"/>
      <c r="T83" s="3"/>
      <c r="U83" s="3"/>
      <c r="V83" s="3"/>
      <c r="W83" s="3"/>
      <c r="X83" s="3"/>
      <c r="Y83" s="3"/>
      <c r="Z83" s="3"/>
      <c r="AA83" s="3"/>
      <c r="AB83" s="3"/>
      <c r="AC83" s="3"/>
    </row>
    <row r="84" spans="11:29" x14ac:dyDescent="0.2">
      <c r="K84" s="3"/>
      <c r="L84" s="3"/>
      <c r="M84" s="3"/>
      <c r="N84" s="3"/>
      <c r="O84" s="3"/>
      <c r="P84" s="3"/>
      <c r="Q84" s="3"/>
      <c r="R84" s="3"/>
      <c r="S84" s="3"/>
      <c r="T84" s="3"/>
      <c r="U84" s="3"/>
      <c r="V84" s="3"/>
      <c r="W84" s="3"/>
      <c r="X84" s="3"/>
      <c r="Y84" s="3"/>
      <c r="Z84" s="3"/>
      <c r="AA84" s="3"/>
      <c r="AB84" s="3"/>
      <c r="AC84" s="3"/>
    </row>
  </sheetData>
  <mergeCells count="50">
    <mergeCell ref="D26:J26"/>
    <mergeCell ref="A4:J4"/>
    <mergeCell ref="A5:J5"/>
    <mergeCell ref="A6:J6"/>
    <mergeCell ref="B7:J7"/>
    <mergeCell ref="C12:J12"/>
    <mergeCell ref="A8:J8"/>
    <mergeCell ref="B9:J9"/>
    <mergeCell ref="C10:J10"/>
    <mergeCell ref="C11:J11"/>
    <mergeCell ref="D19:J19"/>
    <mergeCell ref="C16:J16"/>
    <mergeCell ref="D17:J17"/>
    <mergeCell ref="B50:AC51"/>
    <mergeCell ref="B30:J30"/>
    <mergeCell ref="D21:J21"/>
    <mergeCell ref="D22:J22"/>
    <mergeCell ref="D33:J33"/>
    <mergeCell ref="D23:J23"/>
    <mergeCell ref="D24:J24"/>
    <mergeCell ref="D47:J47"/>
    <mergeCell ref="D48:J48"/>
    <mergeCell ref="C37:J37"/>
    <mergeCell ref="D38:J38"/>
    <mergeCell ref="D39:J39"/>
    <mergeCell ref="C31:J31"/>
    <mergeCell ref="D32:J32"/>
    <mergeCell ref="D34:J34"/>
    <mergeCell ref="C49:J49"/>
    <mergeCell ref="D40:J40"/>
    <mergeCell ref="D42:J42"/>
    <mergeCell ref="B43:J43"/>
    <mergeCell ref="C44:J44"/>
    <mergeCell ref="D41:J41"/>
    <mergeCell ref="D45:J45"/>
    <mergeCell ref="D46:J46"/>
    <mergeCell ref="A1:J1"/>
    <mergeCell ref="A2:J2"/>
    <mergeCell ref="A3:J3"/>
    <mergeCell ref="D36:J36"/>
    <mergeCell ref="C25:J25"/>
    <mergeCell ref="D20:J20"/>
    <mergeCell ref="D35:J35"/>
    <mergeCell ref="C27:J27"/>
    <mergeCell ref="B28:J28"/>
    <mergeCell ref="A29:J29"/>
    <mergeCell ref="D18:J18"/>
    <mergeCell ref="C13:J13"/>
    <mergeCell ref="C14:J14"/>
    <mergeCell ref="B15:J15"/>
  </mergeCells>
  <phoneticPr fontId="3"/>
  <pageMargins left="0.75" right="0.45" top="0.8" bottom="0.37" header="0.51200000000000001" footer="0.19"/>
  <pageSetup paperSize="9" scale="5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U42"/>
  <sheetViews>
    <sheetView workbookViewId="0"/>
  </sheetViews>
  <sheetFormatPr defaultColWidth="9" defaultRowHeight="12" x14ac:dyDescent="0.2"/>
  <cols>
    <col min="1" max="1" width="2.109375" style="31" customWidth="1"/>
    <col min="2" max="2" width="49.21875" style="31" customWidth="1"/>
    <col min="3" max="3" width="4.33203125" style="173" customWidth="1"/>
    <col min="4" max="21" width="9" style="174"/>
    <col min="22" max="16384" width="9" style="31"/>
  </cols>
  <sheetData>
    <row r="1" spans="1:21" ht="16.2" x14ac:dyDescent="0.2">
      <c r="A1" s="6" t="s">
        <v>505</v>
      </c>
    </row>
    <row r="2" spans="1:21" ht="14.4" x14ac:dyDescent="0.2">
      <c r="A2" s="75" t="str">
        <f>BS!A2</f>
        <v>３１　輸送用機械器具製造業</v>
      </c>
      <c r="U2" s="221" t="s">
        <v>67</v>
      </c>
    </row>
    <row r="3" spans="1:21" ht="15.75" customHeight="1" x14ac:dyDescent="0.2">
      <c r="A3" s="184"/>
      <c r="B3" s="185" t="s">
        <v>456</v>
      </c>
      <c r="C3" s="175" t="s">
        <v>458</v>
      </c>
      <c r="D3" s="206" t="s">
        <v>519</v>
      </c>
      <c r="E3" s="206" t="s">
        <v>520</v>
      </c>
      <c r="F3" s="206" t="s">
        <v>521</v>
      </c>
      <c r="G3" s="206" t="s">
        <v>522</v>
      </c>
      <c r="H3" s="206" t="s">
        <v>359</v>
      </c>
      <c r="I3" s="206" t="s">
        <v>506</v>
      </c>
      <c r="J3" s="206" t="s">
        <v>511</v>
      </c>
      <c r="K3" s="206" t="s">
        <v>515</v>
      </c>
      <c r="L3" s="206" t="s">
        <v>517</v>
      </c>
      <c r="M3" s="206" t="s">
        <v>535</v>
      </c>
      <c r="N3" s="206" t="s">
        <v>536</v>
      </c>
      <c r="O3" s="206" t="s">
        <v>539</v>
      </c>
      <c r="P3" s="206" t="s">
        <v>554</v>
      </c>
      <c r="Q3" s="206" t="s">
        <v>557</v>
      </c>
      <c r="R3" s="206" t="s">
        <v>559</v>
      </c>
      <c r="S3" s="206" t="s">
        <v>563</v>
      </c>
      <c r="T3" s="206" t="s">
        <v>576</v>
      </c>
      <c r="U3" s="206" t="s">
        <v>580</v>
      </c>
    </row>
    <row r="4" spans="1:21" ht="15.75" customHeight="1" x14ac:dyDescent="0.2">
      <c r="A4" s="184" t="s">
        <v>457</v>
      </c>
      <c r="B4" s="222"/>
      <c r="C4" s="223"/>
      <c r="D4" s="224"/>
      <c r="E4" s="224"/>
      <c r="F4" s="224"/>
      <c r="G4" s="224"/>
      <c r="H4" s="224"/>
      <c r="I4" s="224"/>
      <c r="J4" s="224"/>
      <c r="K4" s="224"/>
      <c r="L4" s="224"/>
      <c r="M4" s="224"/>
      <c r="N4" s="224"/>
      <c r="O4" s="224"/>
      <c r="P4" s="224"/>
      <c r="Q4" s="224"/>
      <c r="R4" s="224"/>
      <c r="S4" s="224"/>
      <c r="T4" s="224"/>
      <c r="U4" s="224"/>
    </row>
    <row r="5" spans="1:21" ht="15.75" customHeight="1" x14ac:dyDescent="0.2">
      <c r="A5" s="232"/>
      <c r="B5" s="227" t="s">
        <v>312</v>
      </c>
      <c r="C5" s="178" t="s">
        <v>491</v>
      </c>
      <c r="D5" s="179">
        <f>PL!L38</f>
        <v>13954.599256002704</v>
      </c>
      <c r="E5" s="179">
        <f>PL!M38</f>
        <v>16791.532730697661</v>
      </c>
      <c r="F5" s="179">
        <f>PL!N38</f>
        <v>17066.42728697725</v>
      </c>
      <c r="G5" s="179">
        <f>PL!O38</f>
        <v>14347.263632501921</v>
      </c>
      <c r="H5" s="179">
        <f>PL!P38</f>
        <v>3336.344587106295</v>
      </c>
      <c r="I5" s="179">
        <f>PL!Q38</f>
        <v>-3787.4927325674339</v>
      </c>
      <c r="J5" s="179">
        <f>PL!R38</f>
        <v>8943.8958575843117</v>
      </c>
      <c r="K5" s="179">
        <f>PL!S38</f>
        <v>9741.340224918873</v>
      </c>
      <c r="L5" s="179">
        <f>PL!T38</f>
        <v>6788.3790503388864</v>
      </c>
      <c r="M5" s="179">
        <f>PL!U38</f>
        <v>13634.560437288017</v>
      </c>
      <c r="N5" s="179">
        <f>PL!V38</f>
        <v>14688.782980817279</v>
      </c>
      <c r="O5" s="179">
        <f>PL!W38</f>
        <v>15268.957590105378</v>
      </c>
      <c r="P5" s="179">
        <f>PL!X38</f>
        <v>17681.423167918401</v>
      </c>
      <c r="Q5" s="179">
        <f>PL!Y38</f>
        <v>21167.97179714057</v>
      </c>
      <c r="R5" s="179">
        <f>PL!Z38</f>
        <v>20386.951280725621</v>
      </c>
      <c r="S5" s="179">
        <f>PL!AA38</f>
        <v>20336.771033653848</v>
      </c>
      <c r="T5" s="179">
        <f>PL!AB38</f>
        <v>8776.397833748817</v>
      </c>
      <c r="U5" s="179">
        <f>PL!AC38</f>
        <v>20806.53212183261</v>
      </c>
    </row>
    <row r="6" spans="1:21" ht="15.75" customHeight="1" x14ac:dyDescent="0.2">
      <c r="A6" s="186"/>
      <c r="B6" s="228" t="s">
        <v>459</v>
      </c>
      <c r="C6" s="180" t="s">
        <v>492</v>
      </c>
      <c r="D6" s="181">
        <f>PL!L13+PL!L24</f>
        <v>33735.71187013865</v>
      </c>
      <c r="E6" s="181">
        <f>PL!M13+PL!M24</f>
        <v>32639.902535389629</v>
      </c>
      <c r="F6" s="181">
        <f>PL!N13+PL!N24</f>
        <v>17789.149582699822</v>
      </c>
      <c r="G6" s="181">
        <f>PL!O13+PL!O24</f>
        <v>24241.605029083086</v>
      </c>
      <c r="H6" s="181">
        <f>PL!P13+PL!P24</f>
        <v>38295.732123616544</v>
      </c>
      <c r="I6" s="181">
        <f>PL!Q13+PL!Q24</f>
        <v>32126.616652854336</v>
      </c>
      <c r="J6" s="181">
        <f>PL!R13+PL!R24</f>
        <v>20152.913751072734</v>
      </c>
      <c r="K6" s="181">
        <f>PL!S13+PL!S24</f>
        <v>17388.435064257006</v>
      </c>
      <c r="L6" s="181">
        <f>PL!T13+PL!T24</f>
        <v>14199.123646729287</v>
      </c>
      <c r="M6" s="181">
        <f>PL!U13+PL!U24</f>
        <v>25983.596815976995</v>
      </c>
      <c r="N6" s="181">
        <f>PL!V13+PL!V24</f>
        <v>27042.779048650773</v>
      </c>
      <c r="O6" s="181">
        <f>PL!W13+PL!W24</f>
        <v>29187.344918070201</v>
      </c>
      <c r="P6" s="181">
        <f>PL!X13+PL!X24</f>
        <v>28925.842509297196</v>
      </c>
      <c r="Q6" s="181">
        <f>PL!Y13+PL!Y24</f>
        <v>27692.156888672707</v>
      </c>
      <c r="R6" s="181">
        <f>PL!Z13+PL!Z24</f>
        <v>30396.100768773515</v>
      </c>
      <c r="S6" s="181">
        <f>PL!AA13+PL!AA24</f>
        <v>29984.620793269234</v>
      </c>
      <c r="T6" s="181">
        <f>PL!AB13+PL!AB24</f>
        <v>33659.13900111751</v>
      </c>
      <c r="U6" s="181">
        <f>PL!AC13+PL!AC24</f>
        <v>29404.865284532036</v>
      </c>
    </row>
    <row r="7" spans="1:21" ht="15.75" customHeight="1" x14ac:dyDescent="0.2">
      <c r="A7" s="186"/>
      <c r="B7" s="228" t="s">
        <v>460</v>
      </c>
      <c r="C7" s="180" t="s">
        <v>493</v>
      </c>
      <c r="D7" s="181">
        <f>PL!L30</f>
        <v>18312.817044301657</v>
      </c>
      <c r="E7" s="181">
        <f>PL!M30</f>
        <v>15870.317776606298</v>
      </c>
      <c r="F7" s="181">
        <f>PL!N30</f>
        <v>8762.4170159556306</v>
      </c>
      <c r="G7" s="181">
        <f>PL!O30</f>
        <v>16617.504654797711</v>
      </c>
      <c r="H7" s="181">
        <f>PL!P30</f>
        <v>11719.467402855005</v>
      </c>
      <c r="I7" s="181">
        <f>PL!Q30</f>
        <v>14404.454891943666</v>
      </c>
      <c r="J7" s="181">
        <f>PL!R30</f>
        <v>9644.9986777607246</v>
      </c>
      <c r="K7" s="181">
        <f>PL!S30</f>
        <v>10674.111133471</v>
      </c>
      <c r="L7" s="181">
        <f>PL!T30</f>
        <v>8467.388811671537</v>
      </c>
      <c r="M7" s="181">
        <f>PL!U30</f>
        <v>9151.8681019417509</v>
      </c>
      <c r="N7" s="181">
        <f>PL!V30</f>
        <v>11058.746538500076</v>
      </c>
      <c r="O7" s="181">
        <f>PL!W30</f>
        <v>11439.034262362195</v>
      </c>
      <c r="P7" s="181">
        <f>PL!X30</f>
        <v>8749.1199839279634</v>
      </c>
      <c r="Q7" s="181">
        <f>PL!Y30</f>
        <v>9320.1234902680262</v>
      </c>
      <c r="R7" s="181">
        <f>PL!Z30</f>
        <v>12801.808749544352</v>
      </c>
      <c r="S7" s="181">
        <f>PL!AA30</f>
        <v>14934.450635302199</v>
      </c>
      <c r="T7" s="181">
        <f>PL!AB30</f>
        <v>23174.723201237855</v>
      </c>
      <c r="U7" s="181">
        <f>PL!AC30</f>
        <v>17012.746267383329</v>
      </c>
    </row>
    <row r="8" spans="1:21" ht="15.75" customHeight="1" x14ac:dyDescent="0.2">
      <c r="A8" s="186"/>
      <c r="B8" s="228" t="s">
        <v>461</v>
      </c>
      <c r="C8" s="180" t="s">
        <v>494</v>
      </c>
      <c r="D8" s="181">
        <f>PL!L31</f>
        <v>6516.6553939803853</v>
      </c>
      <c r="E8" s="181">
        <f>PL!M31</f>
        <v>10272.180627521309</v>
      </c>
      <c r="F8" s="181">
        <f>PL!N31</f>
        <v>5986.014502943668</v>
      </c>
      <c r="G8" s="181">
        <f>PL!O31</f>
        <v>8830.7619516949744</v>
      </c>
      <c r="H8" s="181">
        <f>PL!P31</f>
        <v>8629.4954799664629</v>
      </c>
      <c r="I8" s="181">
        <f>PL!Q31</f>
        <v>6326.4613935268444</v>
      </c>
      <c r="J8" s="181">
        <f>PL!R31</f>
        <v>6619.1180245261594</v>
      </c>
      <c r="K8" s="181">
        <f>PL!S31</f>
        <v>4902.4090836997884</v>
      </c>
      <c r="L8" s="181">
        <f>PL!T31</f>
        <v>4187.8473881866203</v>
      </c>
      <c r="M8" s="181">
        <f>PL!U31</f>
        <v>6924.0478370700393</v>
      </c>
      <c r="N8" s="181">
        <f>PL!V31</f>
        <v>4924.2066910140702</v>
      </c>
      <c r="O8" s="181">
        <f>PL!W31</f>
        <v>4469.8232092389208</v>
      </c>
      <c r="P8" s="181">
        <f>PL!X31</f>
        <v>4517.5669978014503</v>
      </c>
      <c r="Q8" s="181">
        <f>PL!Y31</f>
        <v>4074.2608931445925</v>
      </c>
      <c r="R8" s="181">
        <f>PL!Z31</f>
        <v>5045.1413833723</v>
      </c>
      <c r="S8" s="181">
        <f>PL!AA31</f>
        <v>4489.4867788461543</v>
      </c>
      <c r="T8" s="181">
        <f>PL!AB31</f>
        <v>7569.8152669130914</v>
      </c>
      <c r="U8" s="181">
        <f>PL!AC31</f>
        <v>4387.533486903847</v>
      </c>
    </row>
    <row r="9" spans="1:21" ht="15.75" customHeight="1" x14ac:dyDescent="0.2">
      <c r="A9" s="186"/>
      <c r="B9" s="228" t="s">
        <v>462</v>
      </c>
      <c r="C9" s="180" t="s">
        <v>491</v>
      </c>
      <c r="D9" s="181">
        <f>PL!L36-PL!L35</f>
        <v>0</v>
      </c>
      <c r="E9" s="181">
        <f>PL!M36-PL!M35</f>
        <v>0</v>
      </c>
      <c r="F9" s="181">
        <f>PL!N36-PL!N35</f>
        <v>0</v>
      </c>
      <c r="G9" s="181">
        <f>PL!O36-PL!O35</f>
        <v>5259.7707700362171</v>
      </c>
      <c r="H9" s="181">
        <f>PL!P36-PL!P35</f>
        <v>2555.6461576514812</v>
      </c>
      <c r="I9" s="181">
        <f>PL!Q36-PL!Q35</f>
        <v>2458.0309315643021</v>
      </c>
      <c r="J9" s="181">
        <f>PL!R36-PL!R35</f>
        <v>3131.7161727310545</v>
      </c>
      <c r="K9" s="181">
        <f>PL!S36-PL!S35</f>
        <v>4232.2897682118264</v>
      </c>
      <c r="L9" s="181">
        <f>PL!T36-PL!T35</f>
        <v>3992.2783628225452</v>
      </c>
      <c r="M9" s="181">
        <f>PL!U36-PL!U35</f>
        <v>3358.1615063953304</v>
      </c>
      <c r="N9" s="181">
        <f>PL!V36-PL!V35</f>
        <v>4371.5846884783259</v>
      </c>
      <c r="O9" s="181">
        <f>PL!W36-PL!W35</f>
        <v>3495.2335510091361</v>
      </c>
      <c r="P9" s="181">
        <f>PL!X36-PL!X35</f>
        <v>2926.3199282773235</v>
      </c>
      <c r="Q9" s="181">
        <f>PL!Y36-PL!Y35</f>
        <v>5135.3931033981989</v>
      </c>
      <c r="R9" s="181">
        <f>PL!Z36-PL!Z35</f>
        <v>0</v>
      </c>
      <c r="S9" s="181">
        <f>PL!AA36-PL!AA35</f>
        <v>0</v>
      </c>
      <c r="T9" s="181">
        <f>PL!AB36-PL!AB35</f>
        <v>0</v>
      </c>
      <c r="U9" s="181">
        <f>PL!AC36-PL!AC35</f>
        <v>0</v>
      </c>
    </row>
    <row r="10" spans="1:21" ht="15.75" customHeight="1" x14ac:dyDescent="0.2">
      <c r="A10" s="186"/>
      <c r="B10" s="228" t="s">
        <v>463</v>
      </c>
      <c r="C10" s="180" t="s">
        <v>495</v>
      </c>
      <c r="D10" s="181">
        <f>BS!L11</f>
        <v>123260.14541765302</v>
      </c>
      <c r="E10" s="181">
        <f>BS!M11</f>
        <v>175264.67674798219</v>
      </c>
      <c r="F10" s="181">
        <f>BS!N11</f>
        <v>168605.88338026835</v>
      </c>
      <c r="G10" s="181">
        <f>BS!O11</f>
        <v>121617.92732788215</v>
      </c>
      <c r="H10" s="181">
        <f>BS!P11</f>
        <v>102994.74447046476</v>
      </c>
      <c r="I10" s="181">
        <f>BS!Q11</f>
        <v>105089.59000650214</v>
      </c>
      <c r="J10" s="181">
        <f>BS!R11</f>
        <v>84338.67256966421</v>
      </c>
      <c r="K10" s="181">
        <f>BS!S11</f>
        <v>113339.04409388624</v>
      </c>
      <c r="L10" s="181">
        <f>BS!T11</f>
        <v>62329.855011239255</v>
      </c>
      <c r="M10" s="181">
        <f>BS!U11</f>
        <v>119595.55855720089</v>
      </c>
      <c r="N10" s="181">
        <f>BS!V11</f>
        <v>104211.82996275507</v>
      </c>
      <c r="O10" s="181">
        <f>BS!W11</f>
        <v>110054.01216850527</v>
      </c>
      <c r="P10" s="181">
        <f>BS!X11</f>
        <v>94619.010428851208</v>
      </c>
      <c r="Q10" s="181">
        <f>BS!Y11</f>
        <v>105277.11276361525</v>
      </c>
      <c r="R10" s="181">
        <f>BS!Z11</f>
        <v>119279.71071805501</v>
      </c>
      <c r="S10" s="181">
        <f>BS!AA11</f>
        <v>141684.92736950549</v>
      </c>
      <c r="T10" s="181">
        <f>BS!AB11</f>
        <v>120621.24086650048</v>
      </c>
      <c r="U10" s="181">
        <f>BS!AC11</f>
        <v>115736.53843528709</v>
      </c>
    </row>
    <row r="11" spans="1:21" ht="15.75" customHeight="1" x14ac:dyDescent="0.2">
      <c r="A11" s="186"/>
      <c r="B11" s="228" t="s">
        <v>465</v>
      </c>
      <c r="C11" s="180" t="s">
        <v>496</v>
      </c>
      <c r="D11" s="181">
        <f>BS!K11</f>
        <v>174055.865393705</v>
      </c>
      <c r="E11" s="181">
        <f>BS!L11</f>
        <v>123260.14541765302</v>
      </c>
      <c r="F11" s="181">
        <f>BS!M11</f>
        <v>175264.67674798219</v>
      </c>
      <c r="G11" s="181">
        <f>BS!N11</f>
        <v>168605.88338026835</v>
      </c>
      <c r="H11" s="181">
        <f>BS!O11</f>
        <v>121617.92732788215</v>
      </c>
      <c r="I11" s="181">
        <f>BS!P11</f>
        <v>102994.74447046476</v>
      </c>
      <c r="J11" s="181">
        <f>BS!Q11</f>
        <v>105089.59000650214</v>
      </c>
      <c r="K11" s="181">
        <f>BS!R11</f>
        <v>84338.67256966421</v>
      </c>
      <c r="L11" s="181">
        <f>BS!S11</f>
        <v>113339.04409388624</v>
      </c>
      <c r="M11" s="181">
        <f>BS!T11</f>
        <v>62329.855011239255</v>
      </c>
      <c r="N11" s="181">
        <f>BS!U11</f>
        <v>119595.55855720089</v>
      </c>
      <c r="O11" s="181">
        <f>BS!V11</f>
        <v>104211.82996275507</v>
      </c>
      <c r="P11" s="181">
        <f>BS!W11</f>
        <v>110054.01216850527</v>
      </c>
      <c r="Q11" s="181">
        <f>BS!X11</f>
        <v>94619.010428851208</v>
      </c>
      <c r="R11" s="181">
        <f>BS!Y11</f>
        <v>105277.11276361525</v>
      </c>
      <c r="S11" s="181">
        <f>BS!Z11</f>
        <v>119279.71071805501</v>
      </c>
      <c r="T11" s="181">
        <f>BS!AA11</f>
        <v>141684.92736950549</v>
      </c>
      <c r="U11" s="181">
        <f>BS!AB11</f>
        <v>120621.24086650048</v>
      </c>
    </row>
    <row r="12" spans="1:21" ht="15.75" customHeight="1" x14ac:dyDescent="0.2">
      <c r="A12" s="186"/>
      <c r="B12" s="228" t="s">
        <v>466</v>
      </c>
      <c r="C12" s="180" t="s">
        <v>493</v>
      </c>
      <c r="D12" s="181">
        <f>BS!L13-BS!K13</f>
        <v>11555.347150094123</v>
      </c>
      <c r="E12" s="181">
        <f>BS!M13-BS!L13</f>
        <v>-23717.382059490781</v>
      </c>
      <c r="F12" s="181">
        <f>BS!N13-BS!M13</f>
        <v>-2046.4417382306347</v>
      </c>
      <c r="G12" s="181">
        <f>BS!O13-BS!N13</f>
        <v>21911.265011151991</v>
      </c>
      <c r="H12" s="181">
        <f>BS!P13-BS!O13</f>
        <v>-29154.7679419657</v>
      </c>
      <c r="I12" s="181">
        <f>BS!Q13-BS!P13</f>
        <v>-11251.359039900111</v>
      </c>
      <c r="J12" s="181">
        <f>BS!R13-BS!Q13</f>
        <v>1683.2524488967974</v>
      </c>
      <c r="K12" s="181">
        <f>BS!S13-BS!R13</f>
        <v>-1595.1656491646936</v>
      </c>
      <c r="L12" s="181">
        <f>BS!T13-BS!S13</f>
        <v>-9138.6627871753299</v>
      </c>
      <c r="M12" s="181">
        <f>BS!U13-BS!T13</f>
        <v>13930.154437415709</v>
      </c>
      <c r="N12" s="181">
        <f>BS!V13-BS!U13</f>
        <v>21844.777385094822</v>
      </c>
      <c r="O12" s="181">
        <f>BS!W13-BS!V13</f>
        <v>-14930.183024903192</v>
      </c>
      <c r="P12" s="181">
        <f>BS!X13-BS!W13</f>
        <v>-13358.086008285318</v>
      </c>
      <c r="Q12" s="181">
        <f>BS!Y13-BS!X13</f>
        <v>2077.9336277381008</v>
      </c>
      <c r="R12" s="181">
        <f>BS!Z13-BS!Y13</f>
        <v>36389.381208514904</v>
      </c>
      <c r="S12" s="181">
        <f>BS!AA13-BS!Z13</f>
        <v>9094.9744600980339</v>
      </c>
      <c r="T12" s="181">
        <f>BS!AB13-BS!AA13</f>
        <v>-9641.8075430469908</v>
      </c>
      <c r="U12" s="181">
        <f>BS!AC13-BS!AB13</f>
        <v>9010.9468020601635</v>
      </c>
    </row>
    <row r="13" spans="1:21" ht="15.75" customHeight="1" x14ac:dyDescent="0.2">
      <c r="A13" s="186"/>
      <c r="B13" s="228" t="s">
        <v>467</v>
      </c>
      <c r="C13" s="180" t="s">
        <v>493</v>
      </c>
      <c r="D13" s="181">
        <f>BS!L14</f>
        <v>27706.797429827529</v>
      </c>
      <c r="E13" s="181">
        <f>BS!M14</f>
        <v>46965.245530642882</v>
      </c>
      <c r="F13" s="181">
        <f>BS!N14</f>
        <v>19541.246520505723</v>
      </c>
      <c r="G13" s="181">
        <f>BS!O14</f>
        <v>28012.59835318998</v>
      </c>
      <c r="H13" s="181">
        <f>BS!P14</f>
        <v>28876.684915253689</v>
      </c>
      <c r="I13" s="181">
        <f>BS!Q14</f>
        <v>36771.893071243016</v>
      </c>
      <c r="J13" s="181">
        <f>BS!R14</f>
        <v>46901.838917164627</v>
      </c>
      <c r="K13" s="181">
        <f>BS!S14</f>
        <v>26245.591639638562</v>
      </c>
      <c r="L13" s="181">
        <f>BS!T14</f>
        <v>20271.382129553007</v>
      </c>
      <c r="M13" s="181">
        <f>BS!U14</f>
        <v>42505.758103608416</v>
      </c>
      <c r="N13" s="181">
        <f>BS!V14</f>
        <v>32517.031797367017</v>
      </c>
      <c r="O13" s="181">
        <f>BS!W14</f>
        <v>55124.337303229899</v>
      </c>
      <c r="P13" s="181">
        <f>BS!X14</f>
        <v>41846.754767012717</v>
      </c>
      <c r="Q13" s="181">
        <f>BS!Y14</f>
        <v>46699.17560244484</v>
      </c>
      <c r="R13" s="181">
        <f>BS!Z14</f>
        <v>49240.689040188736</v>
      </c>
      <c r="S13" s="181">
        <f>BS!AA14</f>
        <v>79902.576751373708</v>
      </c>
      <c r="T13" s="181">
        <f>BS!AB14</f>
        <v>65855.433851972863</v>
      </c>
      <c r="U13" s="181">
        <f>BS!AC14</f>
        <v>49658.610869379772</v>
      </c>
    </row>
    <row r="14" spans="1:21" ht="15.75" customHeight="1" x14ac:dyDescent="0.2">
      <c r="A14" s="186"/>
      <c r="B14" s="228" t="s">
        <v>468</v>
      </c>
      <c r="C14" s="180" t="s">
        <v>497</v>
      </c>
      <c r="D14" s="181">
        <f>BS!L28</f>
        <v>5145.4176530267168</v>
      </c>
      <c r="E14" s="181">
        <f>BS!M28</f>
        <v>8713.2803819915607</v>
      </c>
      <c r="F14" s="181">
        <f>BS!N28</f>
        <v>1754.5084657323575</v>
      </c>
      <c r="G14" s="181">
        <f>BS!O28</f>
        <v>517.57123632685125</v>
      </c>
      <c r="H14" s="181">
        <f>BS!P28</f>
        <v>1317.7183675756498</v>
      </c>
      <c r="I14" s="181">
        <f>BS!Q28</f>
        <v>1637.58922313925</v>
      </c>
      <c r="J14" s="181">
        <f>BS!R28</f>
        <v>2111.2697928093921</v>
      </c>
      <c r="K14" s="181">
        <f>BS!S28</f>
        <v>3591.7724072005417</v>
      </c>
      <c r="L14" s="181">
        <f>BS!T28</f>
        <v>1045.5945495796595</v>
      </c>
      <c r="M14" s="181">
        <f>BS!U28</f>
        <v>1273.0711858392658</v>
      </c>
      <c r="N14" s="181">
        <f>BS!V28</f>
        <v>823.59052459059421</v>
      </c>
      <c r="O14" s="181">
        <f>BS!W28</f>
        <v>3800.3143090994045</v>
      </c>
      <c r="P14" s="181">
        <f>BS!X28</f>
        <v>858.32906011677005</v>
      </c>
      <c r="Q14" s="181">
        <f>BS!Y28</f>
        <v>1600.8476119997063</v>
      </c>
      <c r="R14" s="181">
        <f>BS!Z28</f>
        <v>1652.764236384739</v>
      </c>
      <c r="S14" s="181">
        <f>BS!AA28</f>
        <v>1000.7079326923076</v>
      </c>
      <c r="T14" s="181">
        <f>BS!AB28</f>
        <v>1836.8077881887732</v>
      </c>
      <c r="U14" s="181">
        <f>BS!AC28</f>
        <v>1300.3203651565566</v>
      </c>
    </row>
    <row r="15" spans="1:21" ht="15.75" customHeight="1" x14ac:dyDescent="0.2">
      <c r="A15" s="186"/>
      <c r="B15" s="228" t="s">
        <v>469</v>
      </c>
      <c r="C15" s="180" t="s">
        <v>496</v>
      </c>
      <c r="D15" s="181">
        <f>BS!K14</f>
        <v>34520.370545420199</v>
      </c>
      <c r="E15" s="181">
        <f>BS!L14</f>
        <v>27706.797429827529</v>
      </c>
      <c r="F15" s="181">
        <f>BS!M14</f>
        <v>46965.245530642882</v>
      </c>
      <c r="G15" s="181">
        <f>BS!N14</f>
        <v>19541.246520505723</v>
      </c>
      <c r="H15" s="181">
        <f>BS!O14</f>
        <v>28012.59835318998</v>
      </c>
      <c r="I15" s="181">
        <f>BS!P14</f>
        <v>28876.684915253689</v>
      </c>
      <c r="J15" s="181">
        <f>BS!Q14</f>
        <v>36771.893071243016</v>
      </c>
      <c r="K15" s="181">
        <f>BS!R14</f>
        <v>46901.838917164627</v>
      </c>
      <c r="L15" s="181">
        <f>BS!S14</f>
        <v>26245.591639638562</v>
      </c>
      <c r="M15" s="181">
        <f>BS!T14</f>
        <v>20271.382129553007</v>
      </c>
      <c r="N15" s="181">
        <f>BS!U14</f>
        <v>42505.758103608416</v>
      </c>
      <c r="O15" s="181">
        <f>BS!V14</f>
        <v>32517.031797367017</v>
      </c>
      <c r="P15" s="181">
        <f>BS!W14</f>
        <v>55124.337303229899</v>
      </c>
      <c r="Q15" s="181">
        <f>BS!X14</f>
        <v>41846.754767012717</v>
      </c>
      <c r="R15" s="181">
        <f>BS!Y14</f>
        <v>46699.17560244484</v>
      </c>
      <c r="S15" s="181">
        <f>BS!Z14</f>
        <v>49240.689040188736</v>
      </c>
      <c r="T15" s="181">
        <f>BS!AA14</f>
        <v>79902.576751373708</v>
      </c>
      <c r="U15" s="181">
        <f>BS!AB14</f>
        <v>65855.433851972863</v>
      </c>
    </row>
    <row r="16" spans="1:21" ht="15.75" customHeight="1" x14ac:dyDescent="0.2">
      <c r="A16" s="186"/>
      <c r="B16" s="228" t="s">
        <v>470</v>
      </c>
      <c r="C16" s="180" t="s">
        <v>464</v>
      </c>
      <c r="D16" s="181">
        <f>BS!K28</f>
        <v>3269.0235371963304</v>
      </c>
      <c r="E16" s="181">
        <f>BS!L28</f>
        <v>5145.4176530267168</v>
      </c>
      <c r="F16" s="181">
        <f>BS!M28</f>
        <v>8713.2803819915607</v>
      </c>
      <c r="G16" s="181">
        <f>BS!N28</f>
        <v>1754.5084657323575</v>
      </c>
      <c r="H16" s="181">
        <f>BS!O28</f>
        <v>517.57123632685125</v>
      </c>
      <c r="I16" s="181">
        <f>BS!P28</f>
        <v>1317.7183675756498</v>
      </c>
      <c r="J16" s="181">
        <f>BS!Q28</f>
        <v>1637.58922313925</v>
      </c>
      <c r="K16" s="181">
        <f>BS!R28</f>
        <v>2111.2697928093921</v>
      </c>
      <c r="L16" s="181">
        <f>BS!S28</f>
        <v>3591.7724072005417</v>
      </c>
      <c r="M16" s="181">
        <f>BS!T28</f>
        <v>1045.5945495796595</v>
      </c>
      <c r="N16" s="181">
        <f>BS!U28</f>
        <v>1273.0711858392658</v>
      </c>
      <c r="O16" s="181">
        <f>BS!V28</f>
        <v>823.59052459059421</v>
      </c>
      <c r="P16" s="181">
        <f>BS!W28</f>
        <v>3800.3143090994045</v>
      </c>
      <c r="Q16" s="181">
        <f>BS!X28</f>
        <v>858.32906011677005</v>
      </c>
      <c r="R16" s="181">
        <f>BS!Y28</f>
        <v>1600.8476119997063</v>
      </c>
      <c r="S16" s="181">
        <f>BS!Z28</f>
        <v>1652.764236384739</v>
      </c>
      <c r="T16" s="181">
        <f>BS!AA28</f>
        <v>1000.7079326923076</v>
      </c>
      <c r="U16" s="181">
        <f>BS!AB28</f>
        <v>1836.8077881887732</v>
      </c>
    </row>
    <row r="17" spans="1:21" ht="15.75" customHeight="1" x14ac:dyDescent="0.2">
      <c r="A17" s="186"/>
      <c r="B17" s="228" t="s">
        <v>471</v>
      </c>
      <c r="C17" s="180" t="s">
        <v>499</v>
      </c>
      <c r="D17" s="181">
        <f>BS!L32</f>
        <v>102072.62428136624</v>
      </c>
      <c r="E17" s="181">
        <f>BS!M32</f>
        <v>99880.546237067436</v>
      </c>
      <c r="F17" s="181">
        <f>BS!N32</f>
        <v>144808.7835209677</v>
      </c>
      <c r="G17" s="181">
        <f>BS!O32</f>
        <v>108571.86835556627</v>
      </c>
      <c r="H17" s="181">
        <f>BS!P32</f>
        <v>107137.44109218111</v>
      </c>
      <c r="I17" s="181">
        <f>BS!Q32</f>
        <v>93784.378428831129</v>
      </c>
      <c r="J17" s="181">
        <f>BS!R32</f>
        <v>59785.603658693013</v>
      </c>
      <c r="K17" s="181">
        <f>BS!S32</f>
        <v>77418.736803886582</v>
      </c>
      <c r="L17" s="181">
        <f>BS!T32</f>
        <v>39894.394255890045</v>
      </c>
      <c r="M17" s="181">
        <f>BS!U32</f>
        <v>65742.434996712182</v>
      </c>
      <c r="N17" s="181">
        <f>BS!V32</f>
        <v>88588.231435859678</v>
      </c>
      <c r="O17" s="181">
        <f>BS!W32</f>
        <v>93769.943817416817</v>
      </c>
      <c r="P17" s="181">
        <f>BS!X32</f>
        <v>78013.99335862197</v>
      </c>
      <c r="Q17" s="181">
        <f>BS!Y32</f>
        <v>88557.217452120283</v>
      </c>
      <c r="R17" s="181">
        <f>BS!Z32</f>
        <v>101155.4127949588</v>
      </c>
      <c r="S17" s="181">
        <f>BS!AA32</f>
        <v>125537.50506524724</v>
      </c>
      <c r="T17" s="181">
        <f>BS!AB32</f>
        <v>105592.24198401099</v>
      </c>
      <c r="U17" s="181">
        <f>BS!AC32</f>
        <v>102662.84608821773</v>
      </c>
    </row>
    <row r="18" spans="1:21" ht="15.75" customHeight="1" x14ac:dyDescent="0.2">
      <c r="A18" s="186"/>
      <c r="B18" s="228" t="s">
        <v>472</v>
      </c>
      <c r="C18" s="180" t="s">
        <v>498</v>
      </c>
      <c r="D18" s="181">
        <f>BS!K32</f>
        <v>156883.35381415999</v>
      </c>
      <c r="E18" s="181">
        <f>BS!L32</f>
        <v>102072.62428136624</v>
      </c>
      <c r="F18" s="181">
        <f>BS!M32</f>
        <v>99880.546237067436</v>
      </c>
      <c r="G18" s="181">
        <f>BS!N32</f>
        <v>144808.7835209677</v>
      </c>
      <c r="H18" s="181">
        <f>BS!O32</f>
        <v>108571.86835556627</v>
      </c>
      <c r="I18" s="181">
        <f>BS!P32</f>
        <v>107137.44109218111</v>
      </c>
      <c r="J18" s="181">
        <f>BS!Q32</f>
        <v>93784.378428831129</v>
      </c>
      <c r="K18" s="181">
        <f>BS!R32</f>
        <v>59785.603658693013</v>
      </c>
      <c r="L18" s="181">
        <f>BS!S32</f>
        <v>77418.736803886582</v>
      </c>
      <c r="M18" s="181">
        <f>BS!T32</f>
        <v>39894.394255890045</v>
      </c>
      <c r="N18" s="181">
        <f>BS!U32</f>
        <v>65742.434996712182</v>
      </c>
      <c r="O18" s="181">
        <f>BS!V32</f>
        <v>88588.231435859678</v>
      </c>
      <c r="P18" s="181">
        <f>BS!W32</f>
        <v>93769.943817416817</v>
      </c>
      <c r="Q18" s="181">
        <f>BS!X32</f>
        <v>78013.99335862197</v>
      </c>
      <c r="R18" s="181">
        <f>BS!Y32</f>
        <v>88557.217452120283</v>
      </c>
      <c r="S18" s="181">
        <f>BS!Z32</f>
        <v>101155.4127949588</v>
      </c>
      <c r="T18" s="181">
        <f>BS!AA32</f>
        <v>125537.50506524724</v>
      </c>
      <c r="U18" s="181">
        <f>BS!AB32</f>
        <v>105592.24198401099</v>
      </c>
    </row>
    <row r="19" spans="1:21" ht="15.75" customHeight="1" x14ac:dyDescent="0.2">
      <c r="A19" s="186"/>
      <c r="B19" s="228" t="s">
        <v>473</v>
      </c>
      <c r="C19" s="180" t="s">
        <v>494</v>
      </c>
      <c r="D19" s="181">
        <f>BS!L36+BS!L42</f>
        <v>143674.07845789654</v>
      </c>
      <c r="E19" s="181">
        <f>BS!M36+BS!M42</f>
        <v>119327.48762610808</v>
      </c>
      <c r="F19" s="181">
        <f>BS!N36+BS!N42</f>
        <v>54707.073052956424</v>
      </c>
      <c r="G19" s="181">
        <f>BS!O36+BS!O42</f>
        <v>92456.555140202981</v>
      </c>
      <c r="H19" s="181">
        <f>BS!P36+BS!P42</f>
        <v>53839.132124434967</v>
      </c>
      <c r="I19" s="181">
        <f>BS!Q36+BS!Q42</f>
        <v>57307.985014803809</v>
      </c>
      <c r="J19" s="181">
        <f>BS!R36+BS!R42</f>
        <v>69684.17721760516</v>
      </c>
      <c r="K19" s="181">
        <f>BS!S36+BS!S42</f>
        <v>49131.441308936563</v>
      </c>
      <c r="L19" s="181">
        <f>BS!T36+BS!T42</f>
        <v>44116.796251468542</v>
      </c>
      <c r="M19" s="181">
        <f>BS!U36+BS!U42</f>
        <v>108055.16122782024</v>
      </c>
      <c r="N19" s="181">
        <f>BS!V36+BS!V42</f>
        <v>94103.041657785783</v>
      </c>
      <c r="O19" s="181">
        <f>BS!W36+BS!W42</f>
        <v>87310.918760868997</v>
      </c>
      <c r="P19" s="181">
        <f>BS!X36+BS!X42</f>
        <v>82502.396983788567</v>
      </c>
      <c r="Q19" s="181">
        <f>BS!Y36+BS!Y42</f>
        <v>105691.01895661869</v>
      </c>
      <c r="R19" s="181">
        <f>BS!Z36+BS!Z42</f>
        <v>86526.538046266825</v>
      </c>
      <c r="S19" s="181">
        <f>BS!AA36+BS!AA42</f>
        <v>112051.27026098905</v>
      </c>
      <c r="T19" s="181">
        <f>BS!AB36+BS!AB42</f>
        <v>107164.26201323821</v>
      </c>
      <c r="U19" s="181">
        <f>BS!AC36+BS!AC42</f>
        <v>96955.191109973617</v>
      </c>
    </row>
    <row r="20" spans="1:21" ht="15.75" customHeight="1" x14ac:dyDescent="0.2">
      <c r="A20" s="186"/>
      <c r="B20" s="229" t="s">
        <v>474</v>
      </c>
      <c r="C20" s="180" t="s">
        <v>498</v>
      </c>
      <c r="D20" s="181">
        <f>BS!K36+BS!K42</f>
        <v>103254.0882881179</v>
      </c>
      <c r="E20" s="181">
        <f>BS!L36+BS!L42</f>
        <v>143674.07845789654</v>
      </c>
      <c r="F20" s="181">
        <f>BS!M36+BS!M42</f>
        <v>119327.48762610808</v>
      </c>
      <c r="G20" s="181">
        <f>BS!N36+BS!N42</f>
        <v>54707.073052956424</v>
      </c>
      <c r="H20" s="181">
        <f>BS!O36+BS!O42</f>
        <v>92456.555140202981</v>
      </c>
      <c r="I20" s="181">
        <f>BS!P36+BS!P42</f>
        <v>53839.132124434967</v>
      </c>
      <c r="J20" s="181">
        <f>BS!Q36+BS!Q42</f>
        <v>57307.985014803809</v>
      </c>
      <c r="K20" s="181">
        <f>BS!R36+BS!R42</f>
        <v>69684.17721760516</v>
      </c>
      <c r="L20" s="181">
        <f>BS!S36+BS!S42</f>
        <v>49131.441308936563</v>
      </c>
      <c r="M20" s="181">
        <f>BS!T36+BS!T42</f>
        <v>44116.796251468542</v>
      </c>
      <c r="N20" s="181">
        <f>BS!U36+BS!U42</f>
        <v>108055.16122782024</v>
      </c>
      <c r="O20" s="181">
        <f>BS!V36+BS!V42</f>
        <v>94103.041657785783</v>
      </c>
      <c r="P20" s="181">
        <f>BS!W36+BS!W42</f>
        <v>87310.918760868997</v>
      </c>
      <c r="Q20" s="181">
        <f>BS!X36+BS!X42</f>
        <v>82502.396983788567</v>
      </c>
      <c r="R20" s="181">
        <f>BS!Y36+BS!Y42</f>
        <v>105691.01895661869</v>
      </c>
      <c r="S20" s="181">
        <f>BS!Z36+BS!Z42</f>
        <v>86526.538046266825</v>
      </c>
      <c r="T20" s="181">
        <f>BS!AA36+BS!AA42</f>
        <v>112051.27026098905</v>
      </c>
      <c r="U20" s="181">
        <f>BS!AB36+BS!AB42</f>
        <v>107164.26201323821</v>
      </c>
    </row>
    <row r="21" spans="1:21" ht="15.75" customHeight="1" x14ac:dyDescent="0.2">
      <c r="A21" s="186"/>
      <c r="B21" s="230" t="s">
        <v>475</v>
      </c>
      <c r="C21" s="182" t="s">
        <v>500</v>
      </c>
      <c r="D21" s="183"/>
      <c r="E21" s="183"/>
      <c r="F21" s="183"/>
      <c r="G21" s="183"/>
      <c r="H21" s="183"/>
      <c r="I21" s="183"/>
      <c r="J21" s="183"/>
      <c r="K21" s="183"/>
      <c r="L21" s="183"/>
      <c r="M21" s="183"/>
      <c r="N21" s="183"/>
      <c r="O21" s="183"/>
      <c r="P21" s="183"/>
      <c r="Q21" s="183"/>
      <c r="R21" s="183"/>
      <c r="S21" s="183"/>
      <c r="T21" s="183"/>
      <c r="U21" s="183"/>
    </row>
    <row r="22" spans="1:21" ht="15.75" customHeight="1" x14ac:dyDescent="0.2">
      <c r="A22" s="187"/>
      <c r="B22" s="209" t="s">
        <v>476</v>
      </c>
      <c r="C22" s="225"/>
      <c r="D22" s="226">
        <f t="shared" ref="D22:K22" si="0">D5+D6-D7+D8+D9-D10+D11-D12-D13-D14+D15+D16+D17-D18+D19-D20-D21</f>
        <v>65680.961938525114</v>
      </c>
      <c r="E22" s="226">
        <f t="shared" si="0"/>
        <v>-33818.830859703536</v>
      </c>
      <c r="F22" s="226">
        <f t="shared" si="0"/>
        <v>55475.00309975454</v>
      </c>
      <c r="G22" s="226">
        <f t="shared" si="0"/>
        <v>55416.740088319064</v>
      </c>
      <c r="H22" s="226">
        <f t="shared" si="0"/>
        <v>47159.617772403173</v>
      </c>
      <c r="I22" s="226">
        <f t="shared" si="0"/>
        <v>13776.386072763053</v>
      </c>
      <c r="J22" s="226">
        <f t="shared" si="0"/>
        <v>16044.101133166158</v>
      </c>
      <c r="K22" s="226">
        <f t="shared" si="0"/>
        <v>14441.299032219031</v>
      </c>
      <c r="L22" s="226">
        <f t="shared" ref="L22:U22" si="1">L5+L6-L7+L8+L9-L10+L11-L12-L13-L14+L15+L16+L17-L18+L19-L20-L21</f>
        <v>46829.491268469988</v>
      </c>
      <c r="M22" s="226">
        <f t="shared" si="1"/>
        <v>36877.19361827011</v>
      </c>
      <c r="N22" s="226">
        <f t="shared" si="1"/>
        <v>52839.441916414478</v>
      </c>
      <c r="O22" s="226">
        <f t="shared" si="1"/>
        <v>22875.886019483092</v>
      </c>
      <c r="P22" s="226">
        <f t="shared" si="1"/>
        <v>69750.215916630303</v>
      </c>
      <c r="Q22" s="226">
        <f t="shared" ref="Q22:R22" si="2">Q5+Q6-Q7+Q8+Q9-Q10+Q11-Q12-Q13-Q14+Q15+Q16+Q17-Q18+Q19-Q20-Q21</f>
        <v>64150.529908599288</v>
      </c>
      <c r="R22" s="226">
        <f t="shared" si="2"/>
        <v>-16525.310109269863</v>
      </c>
      <c r="S22" s="226">
        <f t="shared" ref="S22:T22" si="3">S5+S6-S7+S8+S9-S10+S11-S12-S13-S14+S15+S16+S17-S18+S19-S20-S21</f>
        <v>28273.229936436648</v>
      </c>
      <c r="T22" s="226">
        <f t="shared" si="3"/>
        <v>45914.894661510858</v>
      </c>
      <c r="U22" s="226">
        <f t="shared" si="1"/>
        <v>37054.783861605858</v>
      </c>
    </row>
    <row r="23" spans="1:21" ht="15.75" customHeight="1" x14ac:dyDescent="0.2">
      <c r="A23" s="184" t="s">
        <v>477</v>
      </c>
      <c r="B23" s="222"/>
      <c r="C23" s="223"/>
      <c r="D23" s="224"/>
      <c r="E23" s="224"/>
      <c r="F23" s="224"/>
      <c r="G23" s="224"/>
      <c r="H23" s="224"/>
      <c r="I23" s="224"/>
      <c r="J23" s="224"/>
      <c r="K23" s="224"/>
      <c r="L23" s="224"/>
      <c r="M23" s="224"/>
      <c r="N23" s="224"/>
      <c r="O23" s="224"/>
      <c r="P23" s="224"/>
      <c r="Q23" s="224"/>
      <c r="R23" s="224"/>
      <c r="S23" s="224"/>
      <c r="T23" s="224"/>
      <c r="U23" s="224"/>
    </row>
    <row r="24" spans="1:21" ht="15.75" customHeight="1" x14ac:dyDescent="0.2">
      <c r="A24" s="232"/>
      <c r="B24" s="227" t="s">
        <v>501</v>
      </c>
      <c r="C24" s="178" t="s">
        <v>491</v>
      </c>
      <c r="D24" s="179">
        <f>D37</f>
        <v>-43931.567923998431</v>
      </c>
      <c r="E24" s="179">
        <f>E37</f>
        <v>18698.887655025974</v>
      </c>
      <c r="F24" s="179">
        <f t="shared" ref="F24:K24" si="4">F37</f>
        <v>3740.6886893780902</v>
      </c>
      <c r="G24" s="179">
        <f t="shared" si="4"/>
        <v>33433.574095810371</v>
      </c>
      <c r="H24" s="179">
        <f t="shared" si="4"/>
        <v>-14370.023247260906</v>
      </c>
      <c r="I24" s="179">
        <f t="shared" si="4"/>
        <v>12816.563174599738</v>
      </c>
      <c r="J24" s="179">
        <f t="shared" si="4"/>
        <v>-32418.772567766981</v>
      </c>
      <c r="K24" s="179">
        <f t="shared" si="4"/>
        <v>-4301.2967841815116</v>
      </c>
      <c r="L24" s="179">
        <f t="shared" ref="L24:U24" si="5">L37</f>
        <v>-11945.861557931275</v>
      </c>
      <c r="M24" s="179">
        <f t="shared" si="5"/>
        <v>16035.859289788044</v>
      </c>
      <c r="N24" s="179">
        <f t="shared" si="5"/>
        <v>35087.902107017202</v>
      </c>
      <c r="O24" s="179">
        <f t="shared" si="5"/>
        <v>-35369.824977503857</v>
      </c>
      <c r="P24" s="179">
        <f t="shared" si="5"/>
        <v>66077.757059012161</v>
      </c>
      <c r="Q24" s="179">
        <f t="shared" ref="Q24:R24" si="6">Q37</f>
        <v>8081.3389254183276</v>
      </c>
      <c r="R24" s="179">
        <f t="shared" si="6"/>
        <v>-18307.123441699223</v>
      </c>
      <c r="S24" s="179">
        <f t="shared" ref="S24:T24" si="7">S37</f>
        <v>26833.87719324269</v>
      </c>
      <c r="T24" s="179">
        <f t="shared" si="7"/>
        <v>14470.599419109116</v>
      </c>
      <c r="U24" s="179">
        <f t="shared" si="5"/>
        <v>-3538.7052297751652</v>
      </c>
    </row>
    <row r="25" spans="1:21" ht="15.75" customHeight="1" x14ac:dyDescent="0.2">
      <c r="A25" s="186"/>
      <c r="B25" s="231" t="s">
        <v>478</v>
      </c>
      <c r="C25" s="182" t="s">
        <v>502</v>
      </c>
      <c r="D25" s="183">
        <f>D22+D33</f>
        <v>21746.421899768684</v>
      </c>
      <c r="E25" s="183">
        <f>E22+E33</f>
        <v>-5250.1441052369191</v>
      </c>
      <c r="F25" s="183">
        <f t="shared" ref="F25:K25" si="8">F22+F33</f>
        <v>-25272.224348320015</v>
      </c>
      <c r="G25" s="183">
        <f t="shared" si="8"/>
        <v>113423.25677576959</v>
      </c>
      <c r="H25" s="183">
        <f t="shared" si="8"/>
        <v>79848.114319537359</v>
      </c>
      <c r="I25" s="183">
        <f t="shared" si="8"/>
        <v>-23582.436689023853</v>
      </c>
      <c r="J25" s="183">
        <f t="shared" si="8"/>
        <v>-62407.839945813685</v>
      </c>
      <c r="K25" s="183">
        <f t="shared" si="8"/>
        <v>35245.633582863273</v>
      </c>
      <c r="L25" s="183">
        <f t="shared" ref="L25:U25" si="9">L22+L33</f>
        <v>24555.735369651167</v>
      </c>
      <c r="M25" s="183">
        <f t="shared" si="9"/>
        <v>124634.45735898323</v>
      </c>
      <c r="N25" s="183">
        <f t="shared" si="9"/>
        <v>4770.5146568757773</v>
      </c>
      <c r="O25" s="183">
        <f t="shared" si="9"/>
        <v>43537.107261621903</v>
      </c>
      <c r="P25" s="183">
        <f t="shared" si="9"/>
        <v>61486.153064620295</v>
      </c>
      <c r="Q25" s="183">
        <f t="shared" ref="Q25:R25" si="10">Q22+Q33</f>
        <v>75398.786208910358</v>
      </c>
      <c r="R25" s="183">
        <f t="shared" si="10"/>
        <v>5593.1218992109207</v>
      </c>
      <c r="S25" s="183">
        <f t="shared" ref="S25:T25" si="11">S22+S33</f>
        <v>117458.38522780831</v>
      </c>
      <c r="T25" s="183">
        <f t="shared" si="11"/>
        <v>22523.633839140501</v>
      </c>
      <c r="U25" s="183">
        <f t="shared" si="9"/>
        <v>17278.558307411789</v>
      </c>
    </row>
    <row r="26" spans="1:21" ht="15.75" customHeight="1" x14ac:dyDescent="0.2">
      <c r="A26" s="187"/>
      <c r="B26" s="209" t="s">
        <v>476</v>
      </c>
      <c r="C26" s="225"/>
      <c r="D26" s="226">
        <f t="shared" ref="D26:K26" si="12">D24-D25</f>
        <v>-65677.989823767115</v>
      </c>
      <c r="E26" s="226">
        <f t="shared" si="12"/>
        <v>23949.031760262893</v>
      </c>
      <c r="F26" s="226">
        <f t="shared" si="12"/>
        <v>29012.913037698105</v>
      </c>
      <c r="G26" s="226">
        <f t="shared" si="12"/>
        <v>-79989.682679959224</v>
      </c>
      <c r="H26" s="226">
        <f t="shared" si="12"/>
        <v>-94218.137566798265</v>
      </c>
      <c r="I26" s="226">
        <f t="shared" si="12"/>
        <v>36398.99986362359</v>
      </c>
      <c r="J26" s="226">
        <f t="shared" si="12"/>
        <v>29989.067378046704</v>
      </c>
      <c r="K26" s="226">
        <f t="shared" si="12"/>
        <v>-39546.930367044784</v>
      </c>
      <c r="L26" s="226">
        <f t="shared" ref="L26:U26" si="13">L24-L25</f>
        <v>-36501.596927582446</v>
      </c>
      <c r="M26" s="226">
        <f t="shared" si="13"/>
        <v>-108598.59806919518</v>
      </c>
      <c r="N26" s="226">
        <f t="shared" si="13"/>
        <v>30317.387450141425</v>
      </c>
      <c r="O26" s="226">
        <f t="shared" si="13"/>
        <v>-78906.932239125759</v>
      </c>
      <c r="P26" s="226">
        <f t="shared" si="13"/>
        <v>4591.6039943918659</v>
      </c>
      <c r="Q26" s="226">
        <f t="shared" ref="Q26:R26" si="14">Q24-Q25</f>
        <v>-67317.447283492031</v>
      </c>
      <c r="R26" s="226">
        <f t="shared" si="14"/>
        <v>-23900.245340910144</v>
      </c>
      <c r="S26" s="226">
        <f t="shared" ref="S26:T26" si="15">S24-S25</f>
        <v>-90624.508034565617</v>
      </c>
      <c r="T26" s="226">
        <f t="shared" si="15"/>
        <v>-8053.0344200313848</v>
      </c>
      <c r="U26" s="226">
        <f t="shared" si="13"/>
        <v>-20817.263537186955</v>
      </c>
    </row>
    <row r="27" spans="1:21" ht="15.75" customHeight="1" x14ac:dyDescent="0.2">
      <c r="A27" s="184" t="s">
        <v>479</v>
      </c>
      <c r="B27" s="222"/>
      <c r="C27" s="223"/>
      <c r="D27" s="224"/>
      <c r="E27" s="224"/>
      <c r="F27" s="224"/>
      <c r="G27" s="224"/>
      <c r="H27" s="224"/>
      <c r="I27" s="224"/>
      <c r="J27" s="224"/>
      <c r="K27" s="224"/>
      <c r="L27" s="224"/>
      <c r="M27" s="224"/>
      <c r="N27" s="224"/>
      <c r="O27" s="224"/>
      <c r="P27" s="224"/>
      <c r="Q27" s="224"/>
      <c r="R27" s="224"/>
      <c r="S27" s="224"/>
      <c r="T27" s="224"/>
      <c r="U27" s="224"/>
    </row>
    <row r="28" spans="1:21" ht="15.75" customHeight="1" x14ac:dyDescent="0.2">
      <c r="A28" s="232"/>
      <c r="B28" s="227" t="s">
        <v>480</v>
      </c>
      <c r="C28" s="178" t="s">
        <v>494</v>
      </c>
      <c r="D28" s="179">
        <f>(BS!L33+BS!L34)-(BS!K33+BS!K34)</f>
        <v>-5084.5061072141107</v>
      </c>
      <c r="E28" s="179">
        <f>(BS!M33+BS!M34)-(BS!L33+BS!L34)</f>
        <v>-14373.316559960847</v>
      </c>
      <c r="F28" s="179">
        <f>(BS!N33+BS!N34)-(BS!M33+BS!M34)</f>
        <v>-18480.394546334297</v>
      </c>
      <c r="G28" s="179">
        <f>(BS!O33+BS!O34)-(BS!N33+BS!N34)</f>
        <v>6682.9309455326511</v>
      </c>
      <c r="H28" s="179">
        <f>(BS!P33+BS!P34)-(BS!O33+BS!O34)</f>
        <v>11517.545848096641</v>
      </c>
      <c r="I28" s="179">
        <f>(BS!Q33+BS!Q34)-(BS!P33+BS!P34)</f>
        <v>-4536.716704879218</v>
      </c>
      <c r="J28" s="179">
        <f>(BS!R33+BS!R34)-(BS!Q33+BS!Q34)</f>
        <v>-16433.828784022844</v>
      </c>
      <c r="K28" s="179">
        <f>(BS!S33+BS!S34)-(BS!R33+BS!R34)</f>
        <v>-7911.3228464139611</v>
      </c>
      <c r="L28" s="179">
        <f>(BS!T33+BS!T34)-(BS!S33+BS!S34)</f>
        <v>952.64123539346474</v>
      </c>
      <c r="M28" s="179">
        <f>(BS!U33+BS!U34)-(BS!T33+BS!T34)</f>
        <v>3676.6729603865679</v>
      </c>
      <c r="N28" s="179">
        <f>(BS!V33+BS!V34)-(BS!U33+BS!U34)</f>
        <v>4575.7911645176646</v>
      </c>
      <c r="O28" s="179">
        <f>(BS!W33+BS!W34)-(BS!V33+BS!V34)</f>
        <v>-6900.9591308033632</v>
      </c>
      <c r="P28" s="179">
        <f>(BS!X33+BS!X34)-(BS!W33+BS!W34)</f>
        <v>16033.400660712658</v>
      </c>
      <c r="Q28" s="179">
        <f>(BS!Y33+BS!Y34)-(BS!X33+BS!X34)</f>
        <v>-13368.246049152069</v>
      </c>
      <c r="R28" s="179">
        <f>(BS!Z33+BS!Z34)-(BS!Y33+BS!Y34)</f>
        <v>12545.05337221449</v>
      </c>
      <c r="S28" s="179">
        <f>(BS!AA33+BS!AA34)-(BS!Z33+BS!Z34)</f>
        <v>25643.99551015297</v>
      </c>
      <c r="T28" s="179">
        <f>(BS!AB33+BS!AB34)-(BS!AA33+BS!AA34)</f>
        <v>1540.6867632905778</v>
      </c>
      <c r="U28" s="179">
        <f>(BS!AC33+BS!AC34)-(BS!AB33+BS!AB34)</f>
        <v>-19778.098853085088</v>
      </c>
    </row>
    <row r="29" spans="1:21" ht="15.75" customHeight="1" x14ac:dyDescent="0.2">
      <c r="A29" s="186"/>
      <c r="B29" s="228" t="s">
        <v>481</v>
      </c>
      <c r="C29" s="180" t="s">
        <v>499</v>
      </c>
      <c r="D29" s="181">
        <f>(BS!L38+BS!L39+BS!L40)-(BS!K38+BS!K39+BS!K40)</f>
        <v>-54941.386245675385</v>
      </c>
      <c r="E29" s="181">
        <f>(BS!M38+BS!M39+BS!M40)-(BS!L38+BS!L39+BS!L40)</f>
        <v>53371.254935227451</v>
      </c>
      <c r="F29" s="181">
        <f>(BS!N38+BS!N39+BS!N40)-(BS!M38+BS!M39+BS!M40)</f>
        <v>-45895.777493024929</v>
      </c>
      <c r="G29" s="181">
        <f>(BS!O38+BS!O39+BS!O40)-(BS!N38+BS!N39+BS!N40)</f>
        <v>59161.130836998505</v>
      </c>
      <c r="H29" s="181">
        <f>(BS!P38+BS!P39+BS!P40)-(BS!O38+BS!O39+BS!O40)</f>
        <v>15932.300388186704</v>
      </c>
      <c r="I29" s="181">
        <f>(BS!Q38+BS!Q39+BS!Q40)-(BS!P38+BS!P39+BS!P40)</f>
        <v>-34944.853032319952</v>
      </c>
      <c r="J29" s="181">
        <f>(BS!R38+BS!R39+BS!R40)-(BS!Q38+BS!Q39+BS!Q40)</f>
        <v>-55580.558832255236</v>
      </c>
      <c r="K29" s="181">
        <f>(BS!S38+BS!S39+BS!S40)-(BS!R38+BS!R39+BS!R40)</f>
        <v>19930.961195716736</v>
      </c>
      <c r="L29" s="181">
        <f>(BS!T38+BS!T39+BS!T40)-(BS!S38+BS!S39+BS!S40)</f>
        <v>-17476.980477437392</v>
      </c>
      <c r="M29" s="181">
        <f>(BS!U38+BS!U39+BS!U40)-(BS!T38+BS!T39+BS!T40)</f>
        <v>32221.70132289191</v>
      </c>
      <c r="N29" s="181">
        <f>(BS!V38+BS!V39+BS!V40)-(BS!U38+BS!U39+BS!U40)</f>
        <v>-2211.8200857305783</v>
      </c>
      <c r="O29" s="181">
        <f>(BS!W38+BS!W39+BS!W40)-(BS!V38+BS!V39+BS!V40)</f>
        <v>9868.8612007838674</v>
      </c>
      <c r="P29" s="181">
        <f>(BS!X38+BS!X39+BS!X40)-(BS!W38+BS!W39+BS!W40)</f>
        <v>-27880.438403506298</v>
      </c>
      <c r="Q29" s="181">
        <f>(BS!Y38+BS!Y39+BS!Y40)-(BS!X38+BS!X39+BS!X40)</f>
        <v>31384.567464297608</v>
      </c>
      <c r="R29" s="181">
        <f>(BS!Z38+BS!Z39+BS!Z40)-(BS!Y38+BS!Y39+BS!Y40)</f>
        <v>11208.041899866483</v>
      </c>
      <c r="S29" s="181">
        <f>(BS!AA38+BS!AA39+BS!AA40)-(BS!Z38+BS!Z39+BS!Z40)</f>
        <v>30484.811109905422</v>
      </c>
      <c r="T29" s="181">
        <f>(BS!AB38+BS!AB39+BS!AB40)-(BS!AA38+BS!AA39+BS!AA40)</f>
        <v>4311.0167096916412</v>
      </c>
      <c r="U29" s="181">
        <f>(BS!AC38+BS!AC39+BS!AC40)-(BS!AB38+BS!AB39+BS!AB40)</f>
        <v>-5420.4049133177323</v>
      </c>
    </row>
    <row r="30" spans="1:21" ht="15.75" customHeight="1" x14ac:dyDescent="0.2">
      <c r="A30" s="186"/>
      <c r="B30" s="228" t="s">
        <v>482</v>
      </c>
      <c r="C30" s="180" t="s">
        <v>499</v>
      </c>
      <c r="D30" s="181">
        <f>BS!L45+BS!L46</f>
        <v>50307.913425769366</v>
      </c>
      <c r="E30" s="181">
        <f>BS!M45+BS!M46</f>
        <v>39878.661804969379</v>
      </c>
      <c r="F30" s="181">
        <f>BS!N45+BS!N46</f>
        <v>23507.606396254057</v>
      </c>
      <c r="G30" s="181">
        <f>BS!O45+BS!O46</f>
        <v>15670.061301173437</v>
      </c>
      <c r="H30" s="181">
        <f>BS!P45+BS!P46</f>
        <v>20908.711612024279</v>
      </c>
      <c r="I30" s="181">
        <f>BS!Q45+BS!Q46</f>
        <v>23031.458587436544</v>
      </c>
      <c r="J30" s="181">
        <f>BS!R45+BS!R46</f>
        <v>16593.905124734778</v>
      </c>
      <c r="K30" s="181">
        <f>BS!S45+BS!S46</f>
        <v>25378.601326076241</v>
      </c>
      <c r="L30" s="181">
        <f>BS!T45+BS!T46</f>
        <v>19629.184669301347</v>
      </c>
      <c r="M30" s="181">
        <f>BS!U45+BS!U46</f>
        <v>71488.074126735999</v>
      </c>
      <c r="N30" s="181">
        <f>BS!V45+BS!V46</f>
        <v>21055.175788410208</v>
      </c>
      <c r="O30" s="181">
        <f>BS!W45+BS!W46</f>
        <v>38748.494960568511</v>
      </c>
      <c r="P30" s="181">
        <f>BS!X45+BS!X46</f>
        <v>42331.469851352143</v>
      </c>
      <c r="Q30" s="181">
        <f>BS!Y45+BS!Y46</f>
        <v>35563.404736517674</v>
      </c>
      <c r="R30" s="181">
        <f>BS!Z45+BS!Z46</f>
        <v>33928.741472917485</v>
      </c>
      <c r="S30" s="181">
        <f>BS!AA45+BS!AA46</f>
        <v>66985.090144230766</v>
      </c>
      <c r="T30" s="181">
        <f>BS!AB45+BS!AB46</f>
        <v>37742.12584887819</v>
      </c>
      <c r="U30" s="181">
        <f>BS!AC45+BS!AC46</f>
        <v>43164.404061086942</v>
      </c>
    </row>
    <row r="31" spans="1:21" ht="15.75" customHeight="1" x14ac:dyDescent="0.2">
      <c r="A31" s="186"/>
      <c r="B31" s="228" t="s">
        <v>483</v>
      </c>
      <c r="C31" s="180" t="s">
        <v>498</v>
      </c>
      <c r="D31" s="181">
        <f>BS!K45+BS!K46</f>
        <v>34216.5611116363</v>
      </c>
      <c r="E31" s="181">
        <f>BS!L45+BS!L46</f>
        <v>50307.913425769366</v>
      </c>
      <c r="F31" s="181">
        <f>BS!M45+BS!M46</f>
        <v>39878.661804969379</v>
      </c>
      <c r="G31" s="181">
        <f>BS!N45+BS!N46</f>
        <v>23507.606396254057</v>
      </c>
      <c r="H31" s="181">
        <f>BS!O45+BS!O46</f>
        <v>15670.061301173437</v>
      </c>
      <c r="I31" s="181">
        <f>BS!P45+BS!P46</f>
        <v>20908.711612024279</v>
      </c>
      <c r="J31" s="181">
        <f>BS!Q45+BS!Q46</f>
        <v>23031.458587436544</v>
      </c>
      <c r="K31" s="181">
        <f>BS!R45+BS!R46</f>
        <v>16593.905124734778</v>
      </c>
      <c r="L31" s="181">
        <f>BS!S45+BS!S46</f>
        <v>25378.601326076241</v>
      </c>
      <c r="M31" s="181">
        <f>BS!T45+BS!T46</f>
        <v>19629.184669301347</v>
      </c>
      <c r="N31" s="181">
        <f>BS!U45+BS!U46</f>
        <v>71488.074126735999</v>
      </c>
      <c r="O31" s="181">
        <f>BS!V45+BS!V46</f>
        <v>21055.175788410208</v>
      </c>
      <c r="P31" s="181">
        <f>BS!W45+BS!W46</f>
        <v>38748.494960568511</v>
      </c>
      <c r="Q31" s="181">
        <f>BS!X45+BS!X46</f>
        <v>42331.469851352143</v>
      </c>
      <c r="R31" s="181">
        <f>BS!Y45+BS!Y46</f>
        <v>35563.404736517674</v>
      </c>
      <c r="S31" s="181">
        <f>BS!Z45+BS!Z46</f>
        <v>33928.741472917485</v>
      </c>
      <c r="T31" s="181">
        <f>BS!AA45+BS!AA46</f>
        <v>66985.090144230766</v>
      </c>
      <c r="U31" s="181">
        <f>BS!AB45+BS!AB46</f>
        <v>37742.12584887819</v>
      </c>
    </row>
    <row r="32" spans="1:21" ht="15.75" customHeight="1" x14ac:dyDescent="0.2">
      <c r="A32" s="186"/>
      <c r="B32" s="230" t="s">
        <v>484</v>
      </c>
      <c r="C32" s="182" t="s">
        <v>503</v>
      </c>
      <c r="D32" s="183"/>
      <c r="E32" s="183"/>
      <c r="F32" s="183"/>
      <c r="G32" s="183"/>
      <c r="H32" s="183"/>
      <c r="I32" s="183"/>
      <c r="J32" s="183"/>
      <c r="K32" s="183"/>
      <c r="L32" s="183"/>
      <c r="M32" s="183"/>
      <c r="N32" s="183"/>
      <c r="O32" s="183"/>
      <c r="P32" s="183"/>
      <c r="Q32" s="183"/>
      <c r="R32" s="183"/>
      <c r="S32" s="183"/>
      <c r="T32" s="183"/>
      <c r="U32" s="183"/>
    </row>
    <row r="33" spans="1:21" ht="15.75" customHeight="1" x14ac:dyDescent="0.2">
      <c r="A33" s="187"/>
      <c r="B33" s="209" t="s">
        <v>476</v>
      </c>
      <c r="C33" s="225"/>
      <c r="D33" s="226">
        <f t="shared" ref="D33:K33" si="16">D28+D29+D30-D31-D32</f>
        <v>-43934.54003875643</v>
      </c>
      <c r="E33" s="226">
        <f t="shared" si="16"/>
        <v>28568.686754466617</v>
      </c>
      <c r="F33" s="226">
        <f t="shared" si="16"/>
        <v>-80747.227448074555</v>
      </c>
      <c r="G33" s="226">
        <f t="shared" si="16"/>
        <v>58006.51668745053</v>
      </c>
      <c r="H33" s="226">
        <f t="shared" si="16"/>
        <v>32688.496547134186</v>
      </c>
      <c r="I33" s="226">
        <f t="shared" si="16"/>
        <v>-37358.822761786905</v>
      </c>
      <c r="J33" s="226">
        <f t="shared" si="16"/>
        <v>-78451.941078979842</v>
      </c>
      <c r="K33" s="226">
        <f t="shared" si="16"/>
        <v>20804.334550644238</v>
      </c>
      <c r="L33" s="226">
        <f t="shared" ref="L33:U33" si="17">L28+L29+L30-L31-L32</f>
        <v>-22273.755898818821</v>
      </c>
      <c r="M33" s="226">
        <f t="shared" si="17"/>
        <v>87757.263740713126</v>
      </c>
      <c r="N33" s="226">
        <f t="shared" si="17"/>
        <v>-48068.927259538701</v>
      </c>
      <c r="O33" s="226">
        <f t="shared" si="17"/>
        <v>20661.221242138807</v>
      </c>
      <c r="P33" s="226">
        <f t="shared" si="17"/>
        <v>-8264.0628520100072</v>
      </c>
      <c r="Q33" s="226">
        <f t="shared" ref="Q33:R33" si="18">Q28+Q29+Q30-Q31-Q32</f>
        <v>11248.25630031107</v>
      </c>
      <c r="R33" s="226">
        <f t="shared" si="18"/>
        <v>22118.432008480784</v>
      </c>
      <c r="S33" s="226">
        <f t="shared" ref="S33:T33" si="19">S28+S29+S30-S31-S32</f>
        <v>89185.155291371659</v>
      </c>
      <c r="T33" s="226">
        <f t="shared" si="19"/>
        <v>-23391.260822370357</v>
      </c>
      <c r="U33" s="226">
        <f t="shared" si="17"/>
        <v>-19776.225554194069</v>
      </c>
    </row>
    <row r="34" spans="1:21" ht="15.75" customHeight="1" x14ac:dyDescent="0.2">
      <c r="A34" s="184" t="s">
        <v>485</v>
      </c>
      <c r="B34" s="222"/>
      <c r="C34" s="223"/>
      <c r="D34" s="224"/>
      <c r="E34" s="224"/>
      <c r="F34" s="224"/>
      <c r="G34" s="224"/>
      <c r="H34" s="224"/>
      <c r="I34" s="224"/>
      <c r="J34" s="224"/>
      <c r="K34" s="224"/>
      <c r="L34" s="224"/>
      <c r="M34" s="224"/>
      <c r="N34" s="224"/>
      <c r="O34" s="224"/>
      <c r="P34" s="224"/>
      <c r="Q34" s="224"/>
      <c r="R34" s="224"/>
      <c r="S34" s="224"/>
      <c r="T34" s="224"/>
      <c r="U34" s="224"/>
    </row>
    <row r="35" spans="1:21" ht="15.75" customHeight="1" x14ac:dyDescent="0.2">
      <c r="A35" s="232"/>
      <c r="B35" s="227" t="s">
        <v>486</v>
      </c>
      <c r="C35" s="178" t="s">
        <v>492</v>
      </c>
      <c r="D35" s="179">
        <f>BS!L10</f>
        <v>66014.457220155557</v>
      </c>
      <c r="E35" s="179">
        <f>BS!M10</f>
        <v>84713.34487518153</v>
      </c>
      <c r="F35" s="179">
        <f>BS!N10</f>
        <v>88454.033564559621</v>
      </c>
      <c r="G35" s="179">
        <f>BS!O10</f>
        <v>121887.60766036999</v>
      </c>
      <c r="H35" s="179">
        <f>BS!P10</f>
        <v>107517.58441310909</v>
      </c>
      <c r="I35" s="179">
        <f>BS!Q10</f>
        <v>120334.14758770882</v>
      </c>
      <c r="J35" s="179">
        <f>BS!R10</f>
        <v>87915.375019941843</v>
      </c>
      <c r="K35" s="179">
        <f>BS!S10</f>
        <v>83614.078235760331</v>
      </c>
      <c r="L35" s="179">
        <f>BS!T10</f>
        <v>71668.216677829056</v>
      </c>
      <c r="M35" s="179">
        <f>BS!U10</f>
        <v>87704.0759676171</v>
      </c>
      <c r="N35" s="179">
        <f>BS!V10</f>
        <v>122791.9780746343</v>
      </c>
      <c r="O35" s="179">
        <f>BS!W10</f>
        <v>87422.153097130446</v>
      </c>
      <c r="P35" s="179">
        <f>BS!X10</f>
        <v>153499.91015614261</v>
      </c>
      <c r="Q35" s="179">
        <f>BS!Y10</f>
        <v>161581.24908156093</v>
      </c>
      <c r="R35" s="179">
        <f>BS!Z10</f>
        <v>143274.12563986171</v>
      </c>
      <c r="S35" s="179">
        <f>BS!AA10</f>
        <v>170108.0028331044</v>
      </c>
      <c r="T35" s="179">
        <f>BS!AB10</f>
        <v>184578.60225221352</v>
      </c>
      <c r="U35" s="179">
        <f>BS!AC10</f>
        <v>181039.89702243835</v>
      </c>
    </row>
    <row r="36" spans="1:21" ht="15.75" customHeight="1" x14ac:dyDescent="0.2">
      <c r="A36" s="186"/>
      <c r="B36" s="230" t="s">
        <v>487</v>
      </c>
      <c r="C36" s="182" t="s">
        <v>498</v>
      </c>
      <c r="D36" s="183">
        <f>BS!K10</f>
        <v>109946.02514415399</v>
      </c>
      <c r="E36" s="183">
        <f>BS!L10</f>
        <v>66014.457220155557</v>
      </c>
      <c r="F36" s="183">
        <f>BS!M10</f>
        <v>84713.34487518153</v>
      </c>
      <c r="G36" s="183">
        <f>BS!N10</f>
        <v>88454.033564559621</v>
      </c>
      <c r="H36" s="183">
        <f>BS!O10</f>
        <v>121887.60766036999</v>
      </c>
      <c r="I36" s="183">
        <f>BS!P10</f>
        <v>107517.58441310909</v>
      </c>
      <c r="J36" s="183">
        <f>BS!Q10</f>
        <v>120334.14758770882</v>
      </c>
      <c r="K36" s="183">
        <f>BS!R10</f>
        <v>87915.375019941843</v>
      </c>
      <c r="L36" s="183">
        <f>BS!S10</f>
        <v>83614.078235760331</v>
      </c>
      <c r="M36" s="183">
        <f>BS!T10</f>
        <v>71668.216677829056</v>
      </c>
      <c r="N36" s="183">
        <f>BS!U10</f>
        <v>87704.0759676171</v>
      </c>
      <c r="O36" s="183">
        <f>BS!V10</f>
        <v>122791.9780746343</v>
      </c>
      <c r="P36" s="183">
        <f>BS!W10</f>
        <v>87422.153097130446</v>
      </c>
      <c r="Q36" s="183">
        <f>BS!X10</f>
        <v>153499.91015614261</v>
      </c>
      <c r="R36" s="183">
        <f>BS!Y10</f>
        <v>161581.24908156093</v>
      </c>
      <c r="S36" s="183">
        <f>BS!Z10</f>
        <v>143274.12563986171</v>
      </c>
      <c r="T36" s="183">
        <f>BS!AA10</f>
        <v>170108.0028331044</v>
      </c>
      <c r="U36" s="183">
        <f>BS!AB10</f>
        <v>184578.60225221352</v>
      </c>
    </row>
    <row r="37" spans="1:21" ht="15.75" customHeight="1" x14ac:dyDescent="0.2">
      <c r="A37" s="187"/>
      <c r="B37" s="209" t="s">
        <v>476</v>
      </c>
      <c r="C37" s="225"/>
      <c r="D37" s="226">
        <f t="shared" ref="D37:K37" si="20">+D35-D36</f>
        <v>-43931.567923998431</v>
      </c>
      <c r="E37" s="226">
        <f t="shared" si="20"/>
        <v>18698.887655025974</v>
      </c>
      <c r="F37" s="226">
        <f t="shared" si="20"/>
        <v>3740.6886893780902</v>
      </c>
      <c r="G37" s="226">
        <f t="shared" si="20"/>
        <v>33433.574095810371</v>
      </c>
      <c r="H37" s="226">
        <f t="shared" si="20"/>
        <v>-14370.023247260906</v>
      </c>
      <c r="I37" s="226">
        <f t="shared" si="20"/>
        <v>12816.563174599738</v>
      </c>
      <c r="J37" s="226">
        <f t="shared" si="20"/>
        <v>-32418.772567766981</v>
      </c>
      <c r="K37" s="226">
        <f t="shared" si="20"/>
        <v>-4301.2967841815116</v>
      </c>
      <c r="L37" s="226">
        <f t="shared" ref="L37:U37" si="21">+L35-L36</f>
        <v>-11945.861557931275</v>
      </c>
      <c r="M37" s="226">
        <f t="shared" si="21"/>
        <v>16035.859289788044</v>
      </c>
      <c r="N37" s="226">
        <f t="shared" si="21"/>
        <v>35087.902107017202</v>
      </c>
      <c r="O37" s="226">
        <f t="shared" si="21"/>
        <v>-35369.824977503857</v>
      </c>
      <c r="P37" s="226">
        <f t="shared" si="21"/>
        <v>66077.757059012161</v>
      </c>
      <c r="Q37" s="226">
        <f t="shared" ref="Q37:R37" si="22">+Q35-Q36</f>
        <v>8081.3389254183276</v>
      </c>
      <c r="R37" s="226">
        <f t="shared" si="22"/>
        <v>-18307.123441699223</v>
      </c>
      <c r="S37" s="226">
        <f t="shared" ref="S37:T37" si="23">+S35-S36</f>
        <v>26833.87719324269</v>
      </c>
      <c r="T37" s="226">
        <f t="shared" si="23"/>
        <v>14470.599419109116</v>
      </c>
      <c r="U37" s="226">
        <f t="shared" si="21"/>
        <v>-3538.7052297751652</v>
      </c>
    </row>
    <row r="38" spans="1:21" ht="15.75" customHeight="1" x14ac:dyDescent="0.2">
      <c r="A38" s="184" t="s">
        <v>488</v>
      </c>
      <c r="B38" s="185"/>
      <c r="C38" s="175"/>
      <c r="D38" s="236"/>
      <c r="E38" s="236"/>
      <c r="F38" s="236"/>
      <c r="G38" s="236"/>
      <c r="H38" s="236"/>
      <c r="I38" s="236"/>
      <c r="J38" s="236"/>
      <c r="K38" s="236"/>
      <c r="L38" s="236"/>
      <c r="M38" s="236"/>
      <c r="N38" s="236"/>
      <c r="O38" s="236"/>
      <c r="P38" s="236"/>
      <c r="Q38" s="236"/>
      <c r="R38" s="236"/>
      <c r="S38" s="236"/>
      <c r="T38" s="236"/>
      <c r="U38" s="236"/>
    </row>
    <row r="39" spans="1:21" ht="15.75" customHeight="1" x14ac:dyDescent="0.2">
      <c r="A39" s="232"/>
      <c r="B39" s="233" t="s">
        <v>489</v>
      </c>
      <c r="C39" s="234" t="s">
        <v>504</v>
      </c>
      <c r="D39" s="235">
        <f>D22</f>
        <v>65680.961938525114</v>
      </c>
      <c r="E39" s="235">
        <f>E22</f>
        <v>-33818.830859703536</v>
      </c>
      <c r="F39" s="235">
        <f t="shared" ref="F39:K39" si="24">F22</f>
        <v>55475.00309975454</v>
      </c>
      <c r="G39" s="235">
        <f t="shared" si="24"/>
        <v>55416.740088319064</v>
      </c>
      <c r="H39" s="235">
        <f t="shared" si="24"/>
        <v>47159.617772403173</v>
      </c>
      <c r="I39" s="235">
        <f t="shared" si="24"/>
        <v>13776.386072763053</v>
      </c>
      <c r="J39" s="235">
        <f t="shared" si="24"/>
        <v>16044.101133166158</v>
      </c>
      <c r="K39" s="235">
        <f t="shared" si="24"/>
        <v>14441.299032219031</v>
      </c>
      <c r="L39" s="235">
        <f t="shared" ref="L39:U39" si="25">L22</f>
        <v>46829.491268469988</v>
      </c>
      <c r="M39" s="235">
        <f t="shared" si="25"/>
        <v>36877.19361827011</v>
      </c>
      <c r="N39" s="235">
        <f t="shared" si="25"/>
        <v>52839.441916414478</v>
      </c>
      <c r="O39" s="235">
        <f t="shared" si="25"/>
        <v>22875.886019483092</v>
      </c>
      <c r="P39" s="235">
        <f t="shared" si="25"/>
        <v>69750.215916630303</v>
      </c>
      <c r="Q39" s="235">
        <f t="shared" ref="Q39:R39" si="26">Q22</f>
        <v>64150.529908599288</v>
      </c>
      <c r="R39" s="235">
        <f t="shared" si="26"/>
        <v>-16525.310109269863</v>
      </c>
      <c r="S39" s="235">
        <f t="shared" ref="S39:T39" si="27">S22</f>
        <v>28273.229936436648</v>
      </c>
      <c r="T39" s="235">
        <f t="shared" si="27"/>
        <v>45914.894661510858</v>
      </c>
      <c r="U39" s="235">
        <f t="shared" si="25"/>
        <v>37054.783861605858</v>
      </c>
    </row>
    <row r="40" spans="1:21" ht="15.75" customHeight="1" x14ac:dyDescent="0.2">
      <c r="A40" s="186"/>
      <c r="B40" s="230" t="s">
        <v>490</v>
      </c>
      <c r="C40" s="182" t="s">
        <v>491</v>
      </c>
      <c r="D40" s="183">
        <f>D26</f>
        <v>-65677.989823767115</v>
      </c>
      <c r="E40" s="183">
        <f>E26</f>
        <v>23949.031760262893</v>
      </c>
      <c r="F40" s="183">
        <f t="shared" ref="F40:K40" si="28">F26</f>
        <v>29012.913037698105</v>
      </c>
      <c r="G40" s="183">
        <f t="shared" si="28"/>
        <v>-79989.682679959224</v>
      </c>
      <c r="H40" s="183">
        <f t="shared" si="28"/>
        <v>-94218.137566798265</v>
      </c>
      <c r="I40" s="183">
        <f t="shared" si="28"/>
        <v>36398.99986362359</v>
      </c>
      <c r="J40" s="183">
        <f t="shared" si="28"/>
        <v>29989.067378046704</v>
      </c>
      <c r="K40" s="183">
        <f t="shared" si="28"/>
        <v>-39546.930367044784</v>
      </c>
      <c r="L40" s="183">
        <f t="shared" ref="L40:U40" si="29">L26</f>
        <v>-36501.596927582446</v>
      </c>
      <c r="M40" s="183">
        <f t="shared" si="29"/>
        <v>-108598.59806919518</v>
      </c>
      <c r="N40" s="183">
        <f t="shared" si="29"/>
        <v>30317.387450141425</v>
      </c>
      <c r="O40" s="183">
        <f t="shared" si="29"/>
        <v>-78906.932239125759</v>
      </c>
      <c r="P40" s="183">
        <f t="shared" si="29"/>
        <v>4591.6039943918659</v>
      </c>
      <c r="Q40" s="183">
        <f t="shared" ref="Q40:R40" si="30">Q26</f>
        <v>-67317.447283492031</v>
      </c>
      <c r="R40" s="183">
        <f t="shared" si="30"/>
        <v>-23900.245340910144</v>
      </c>
      <c r="S40" s="183">
        <f t="shared" ref="S40:T40" si="31">S26</f>
        <v>-90624.508034565617</v>
      </c>
      <c r="T40" s="183">
        <f t="shared" si="31"/>
        <v>-8053.0344200313848</v>
      </c>
      <c r="U40" s="183">
        <f t="shared" si="29"/>
        <v>-20817.263537186955</v>
      </c>
    </row>
    <row r="41" spans="1:21" ht="15.75" customHeight="1" x14ac:dyDescent="0.2">
      <c r="A41" s="187"/>
      <c r="B41" s="209" t="s">
        <v>476</v>
      </c>
      <c r="C41" s="225"/>
      <c r="D41" s="226">
        <f t="shared" ref="D41:K41" si="32">D39+D40</f>
        <v>2.9721147579984972</v>
      </c>
      <c r="E41" s="226">
        <f t="shared" si="32"/>
        <v>-9869.7990994406427</v>
      </c>
      <c r="F41" s="226">
        <f t="shared" si="32"/>
        <v>84487.916137452645</v>
      </c>
      <c r="G41" s="226">
        <f t="shared" si="32"/>
        <v>-24572.94259164016</v>
      </c>
      <c r="H41" s="226">
        <f t="shared" si="32"/>
        <v>-47058.519794395092</v>
      </c>
      <c r="I41" s="226">
        <f t="shared" si="32"/>
        <v>50175.385936386643</v>
      </c>
      <c r="J41" s="226">
        <f t="shared" si="32"/>
        <v>46033.168511212862</v>
      </c>
      <c r="K41" s="226">
        <f t="shared" si="32"/>
        <v>-25105.631334825754</v>
      </c>
      <c r="L41" s="226">
        <f t="shared" ref="L41:U41" si="33">L39+L40</f>
        <v>10327.894340887542</v>
      </c>
      <c r="M41" s="226">
        <f t="shared" si="33"/>
        <v>-71721.404450925067</v>
      </c>
      <c r="N41" s="226">
        <f t="shared" si="33"/>
        <v>83156.829366555903</v>
      </c>
      <c r="O41" s="226">
        <f t="shared" si="33"/>
        <v>-56031.046219642667</v>
      </c>
      <c r="P41" s="226">
        <f t="shared" si="33"/>
        <v>74341.819911022176</v>
      </c>
      <c r="Q41" s="226">
        <f t="shared" ref="Q41:R41" si="34">Q39+Q40</f>
        <v>-3166.9173748927424</v>
      </c>
      <c r="R41" s="226">
        <f t="shared" si="34"/>
        <v>-40425.555450180007</v>
      </c>
      <c r="S41" s="226">
        <f t="shared" ref="S41:T41" si="35">S39+S40</f>
        <v>-62351.278098128969</v>
      </c>
      <c r="T41" s="226">
        <f t="shared" si="35"/>
        <v>37861.860241479473</v>
      </c>
      <c r="U41" s="226">
        <f t="shared" si="33"/>
        <v>16237.520324418903</v>
      </c>
    </row>
    <row r="42" spans="1:21" x14ac:dyDescent="0.2">
      <c r="B42" s="31" t="s">
        <v>582</v>
      </c>
    </row>
  </sheetData>
  <sheetProtection algorithmName="SHA-512" hashValue="UvGJYa50R+NTzTx/XML+cHAX6j2LY5RKyRgBIaanRe6n0YRFHWObDdCsAui46UT7pzakQ+2DKt8nDqmQQlRxiw==" saltValue="gBmxigVchrVZbJaa8jVgjA==" spinCount="100000" sheet="1"/>
  <phoneticPr fontId="3"/>
  <pageMargins left="0.75" right="0.75" top="1" bottom="1" header="0.51200000000000001" footer="0.51200000000000001"/>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85"/>
  <sheetViews>
    <sheetView topLeftCell="A73" workbookViewId="0">
      <selection sqref="A1:C2"/>
    </sheetView>
  </sheetViews>
  <sheetFormatPr defaultColWidth="9" defaultRowHeight="12" x14ac:dyDescent="0.2"/>
  <cols>
    <col min="1" max="1" width="2.21875" style="31" customWidth="1"/>
    <col min="2" max="2" width="37.44140625" style="31" customWidth="1"/>
    <col min="3" max="3" width="5.77734375" style="66" customWidth="1"/>
    <col min="4" max="4" width="4.77734375" style="31" customWidth="1"/>
    <col min="5" max="5" width="24.88671875" style="31" customWidth="1"/>
    <col min="6" max="7" width="19.21875" style="31" customWidth="1"/>
    <col min="8" max="16384" width="9" style="31"/>
  </cols>
  <sheetData>
    <row r="1" spans="1:7" x14ac:dyDescent="0.2">
      <c r="A1" s="406" t="s">
        <v>187</v>
      </c>
      <c r="B1" s="406"/>
      <c r="C1" s="406"/>
      <c r="D1" s="30"/>
      <c r="E1" s="30"/>
      <c r="F1" s="30"/>
      <c r="G1" s="30"/>
    </row>
    <row r="2" spans="1:7" ht="13.8" thickBot="1" x14ac:dyDescent="0.25">
      <c r="A2" s="406"/>
      <c r="B2" s="406"/>
      <c r="C2" s="406"/>
      <c r="D2" s="30"/>
      <c r="E2" s="407" t="s">
        <v>188</v>
      </c>
      <c r="F2" s="407"/>
      <c r="G2" s="407"/>
    </row>
    <row r="3" spans="1:7" ht="18" customHeight="1" x14ac:dyDescent="0.2">
      <c r="A3" s="408"/>
      <c r="B3" s="410" t="s">
        <v>189</v>
      </c>
      <c r="C3" s="412" t="s">
        <v>106</v>
      </c>
      <c r="D3" s="414" t="s">
        <v>190</v>
      </c>
      <c r="E3" s="416" t="s">
        <v>191</v>
      </c>
      <c r="F3" s="418" t="s">
        <v>192</v>
      </c>
      <c r="G3" s="419"/>
    </row>
    <row r="4" spans="1:7" ht="18" customHeight="1" thickBot="1" x14ac:dyDescent="0.25">
      <c r="A4" s="409"/>
      <c r="B4" s="411"/>
      <c r="C4" s="413"/>
      <c r="D4" s="415"/>
      <c r="E4" s="417"/>
      <c r="F4" s="32" t="s">
        <v>193</v>
      </c>
      <c r="G4" s="33" t="s">
        <v>194</v>
      </c>
    </row>
    <row r="5" spans="1:7" ht="18" customHeight="1" x14ac:dyDescent="0.2">
      <c r="A5" s="395" t="s">
        <v>195</v>
      </c>
      <c r="B5" s="396"/>
      <c r="C5" s="397"/>
      <c r="D5" s="34"/>
      <c r="E5" s="35"/>
      <c r="F5" s="35"/>
      <c r="G5" s="36"/>
    </row>
    <row r="6" spans="1:7" ht="24.75" customHeight="1" x14ac:dyDescent="0.2">
      <c r="A6" s="37"/>
      <c r="B6" s="38" t="s">
        <v>109</v>
      </c>
      <c r="C6" s="398" t="s">
        <v>110</v>
      </c>
      <c r="D6" s="400"/>
      <c r="E6" s="402" t="s">
        <v>196</v>
      </c>
      <c r="F6" s="402" t="s">
        <v>197</v>
      </c>
      <c r="G6" s="404" t="s">
        <v>198</v>
      </c>
    </row>
    <row r="7" spans="1:7" ht="24.75" customHeight="1" x14ac:dyDescent="0.2">
      <c r="A7" s="37"/>
      <c r="B7" s="39" t="s">
        <v>199</v>
      </c>
      <c r="C7" s="399"/>
      <c r="D7" s="401"/>
      <c r="E7" s="403"/>
      <c r="F7" s="403"/>
      <c r="G7" s="405"/>
    </row>
    <row r="8" spans="1:7" ht="24.75" customHeight="1" x14ac:dyDescent="0.2">
      <c r="A8" s="37"/>
      <c r="B8" s="38" t="s">
        <v>113</v>
      </c>
      <c r="C8" s="398" t="s">
        <v>110</v>
      </c>
      <c r="D8" s="400"/>
      <c r="E8" s="420" t="s">
        <v>200</v>
      </c>
      <c r="F8" s="420" t="s">
        <v>201</v>
      </c>
      <c r="G8" s="422" t="s">
        <v>202</v>
      </c>
    </row>
    <row r="9" spans="1:7" ht="24.75" customHeight="1" thickBot="1" x14ac:dyDescent="0.25">
      <c r="A9" s="37"/>
      <c r="B9" s="40" t="s">
        <v>203</v>
      </c>
      <c r="C9" s="399"/>
      <c r="D9" s="401"/>
      <c r="E9" s="421"/>
      <c r="F9" s="421"/>
      <c r="G9" s="423"/>
    </row>
    <row r="10" spans="1:7" ht="18" customHeight="1" x14ac:dyDescent="0.2">
      <c r="A10" s="426" t="s">
        <v>115</v>
      </c>
      <c r="B10" s="427"/>
      <c r="C10" s="428"/>
      <c r="D10" s="41"/>
      <c r="E10" s="42"/>
      <c r="F10" s="42"/>
      <c r="G10" s="43"/>
    </row>
    <row r="11" spans="1:7" ht="24.75" customHeight="1" x14ac:dyDescent="0.2">
      <c r="A11" s="44"/>
      <c r="B11" s="38" t="s">
        <v>116</v>
      </c>
      <c r="C11" s="424" t="s">
        <v>117</v>
      </c>
      <c r="D11" s="400"/>
      <c r="E11" s="420" t="s">
        <v>204</v>
      </c>
      <c r="F11" s="420" t="s">
        <v>205</v>
      </c>
      <c r="G11" s="422" t="s">
        <v>206</v>
      </c>
    </row>
    <row r="12" spans="1:7" ht="24.75" customHeight="1" x14ac:dyDescent="0.2">
      <c r="A12" s="44"/>
      <c r="B12" s="40" t="s">
        <v>207</v>
      </c>
      <c r="C12" s="425"/>
      <c r="D12" s="401"/>
      <c r="E12" s="421"/>
      <c r="F12" s="421"/>
      <c r="G12" s="423"/>
    </row>
    <row r="13" spans="1:7" ht="24.75" customHeight="1" x14ac:dyDescent="0.2">
      <c r="A13" s="45"/>
      <c r="B13" s="38" t="s">
        <v>120</v>
      </c>
      <c r="C13" s="424" t="s">
        <v>117</v>
      </c>
      <c r="D13" s="400"/>
      <c r="E13" s="420" t="s">
        <v>208</v>
      </c>
      <c r="F13" s="420" t="s">
        <v>209</v>
      </c>
      <c r="G13" s="422" t="s">
        <v>210</v>
      </c>
    </row>
    <row r="14" spans="1:7" ht="24.75" customHeight="1" x14ac:dyDescent="0.2">
      <c r="A14" s="45"/>
      <c r="B14" s="40" t="s">
        <v>211</v>
      </c>
      <c r="C14" s="425"/>
      <c r="D14" s="401"/>
      <c r="E14" s="421"/>
      <c r="F14" s="421"/>
      <c r="G14" s="423"/>
    </row>
    <row r="15" spans="1:7" ht="24.75" customHeight="1" x14ac:dyDescent="0.2">
      <c r="A15" s="45"/>
      <c r="B15" s="38" t="s">
        <v>122</v>
      </c>
      <c r="C15" s="424" t="s">
        <v>212</v>
      </c>
      <c r="D15" s="400"/>
      <c r="E15" s="420" t="s">
        <v>213</v>
      </c>
      <c r="F15" s="420" t="s">
        <v>214</v>
      </c>
      <c r="G15" s="422" t="s">
        <v>215</v>
      </c>
    </row>
    <row r="16" spans="1:7" ht="24.75" customHeight="1" x14ac:dyDescent="0.2">
      <c r="A16" s="45"/>
      <c r="B16" s="40" t="s">
        <v>216</v>
      </c>
      <c r="C16" s="425"/>
      <c r="D16" s="401"/>
      <c r="E16" s="421"/>
      <c r="F16" s="421"/>
      <c r="G16" s="423"/>
    </row>
    <row r="17" spans="1:7" ht="24.75" customHeight="1" x14ac:dyDescent="0.2">
      <c r="A17" s="45"/>
      <c r="B17" s="38" t="s">
        <v>124</v>
      </c>
      <c r="C17" s="424" t="s">
        <v>117</v>
      </c>
      <c r="D17" s="400"/>
      <c r="E17" s="420" t="s">
        <v>217</v>
      </c>
      <c r="F17" s="420" t="s">
        <v>218</v>
      </c>
      <c r="G17" s="422" t="s">
        <v>219</v>
      </c>
    </row>
    <row r="18" spans="1:7" ht="24.75" customHeight="1" x14ac:dyDescent="0.2">
      <c r="A18" s="45"/>
      <c r="B18" s="40" t="s">
        <v>220</v>
      </c>
      <c r="C18" s="425"/>
      <c r="D18" s="401"/>
      <c r="E18" s="421"/>
      <c r="F18" s="421"/>
      <c r="G18" s="423"/>
    </row>
    <row r="19" spans="1:7" ht="24.75" customHeight="1" x14ac:dyDescent="0.2">
      <c r="A19" s="45"/>
      <c r="B19" s="38" t="s">
        <v>127</v>
      </c>
      <c r="C19" s="424" t="s">
        <v>221</v>
      </c>
      <c r="D19" s="400"/>
      <c r="E19" s="420" t="s">
        <v>222</v>
      </c>
      <c r="F19" s="420" t="s">
        <v>223</v>
      </c>
      <c r="G19" s="422" t="s">
        <v>224</v>
      </c>
    </row>
    <row r="20" spans="1:7" ht="24.75" customHeight="1" thickBot="1" x14ac:dyDescent="0.25">
      <c r="A20" s="45"/>
      <c r="B20" s="40" t="s">
        <v>225</v>
      </c>
      <c r="C20" s="425"/>
      <c r="D20" s="401"/>
      <c r="E20" s="421"/>
      <c r="F20" s="421"/>
      <c r="G20" s="423"/>
    </row>
    <row r="21" spans="1:7" ht="18" customHeight="1" x14ac:dyDescent="0.2">
      <c r="A21" s="395" t="s">
        <v>128</v>
      </c>
      <c r="B21" s="396"/>
      <c r="C21" s="397"/>
      <c r="D21" s="34"/>
      <c r="E21" s="35"/>
      <c r="F21" s="35"/>
      <c r="G21" s="36"/>
    </row>
    <row r="22" spans="1:7" ht="24.75" customHeight="1" x14ac:dyDescent="0.2">
      <c r="A22" s="46"/>
      <c r="B22" s="38" t="s">
        <v>291</v>
      </c>
      <c r="C22" s="434" t="s">
        <v>226</v>
      </c>
      <c r="D22" s="435"/>
      <c r="E22" s="436" t="s">
        <v>227</v>
      </c>
      <c r="F22" s="437" t="s">
        <v>228</v>
      </c>
      <c r="G22" s="438"/>
    </row>
    <row r="23" spans="1:7" ht="24.75" customHeight="1" x14ac:dyDescent="0.2">
      <c r="A23" s="46"/>
      <c r="B23" s="40" t="s">
        <v>293</v>
      </c>
      <c r="C23" s="434"/>
      <c r="D23" s="435"/>
      <c r="E23" s="436"/>
      <c r="F23" s="437"/>
      <c r="G23" s="438"/>
    </row>
    <row r="24" spans="1:7" ht="24.75" customHeight="1" x14ac:dyDescent="0.2">
      <c r="A24" s="46"/>
      <c r="B24" s="47" t="s">
        <v>131</v>
      </c>
      <c r="C24" s="429" t="s">
        <v>229</v>
      </c>
      <c r="D24" s="431"/>
      <c r="E24" s="432" t="s">
        <v>230</v>
      </c>
      <c r="F24" s="439" t="s">
        <v>231</v>
      </c>
      <c r="G24" s="440"/>
    </row>
    <row r="25" spans="1:7" ht="24.75" customHeight="1" thickBot="1" x14ac:dyDescent="0.25">
      <c r="A25" s="48"/>
      <c r="B25" s="49" t="s">
        <v>292</v>
      </c>
      <c r="C25" s="430"/>
      <c r="D25" s="417"/>
      <c r="E25" s="433"/>
      <c r="F25" s="441"/>
      <c r="G25" s="442"/>
    </row>
    <row r="26" spans="1:7" ht="18" customHeight="1" x14ac:dyDescent="0.2">
      <c r="A26" s="426" t="s">
        <v>134</v>
      </c>
      <c r="B26" s="443"/>
      <c r="C26" s="428"/>
      <c r="D26" s="41"/>
      <c r="E26" s="42"/>
      <c r="F26" s="42"/>
      <c r="G26" s="43"/>
    </row>
    <row r="27" spans="1:7" ht="24.75" customHeight="1" x14ac:dyDescent="0.2">
      <c r="A27" s="45"/>
      <c r="B27" s="38" t="s">
        <v>135</v>
      </c>
      <c r="C27" s="424" t="s">
        <v>136</v>
      </c>
      <c r="D27" s="400"/>
      <c r="E27" s="420" t="s">
        <v>232</v>
      </c>
      <c r="F27" s="420" t="s">
        <v>233</v>
      </c>
      <c r="G27" s="422" t="s">
        <v>234</v>
      </c>
    </row>
    <row r="28" spans="1:7" ht="24.75" customHeight="1" x14ac:dyDescent="0.2">
      <c r="A28" s="45"/>
      <c r="B28" s="40" t="s">
        <v>235</v>
      </c>
      <c r="C28" s="425"/>
      <c r="D28" s="401"/>
      <c r="E28" s="421"/>
      <c r="F28" s="421"/>
      <c r="G28" s="423"/>
    </row>
    <row r="29" spans="1:7" ht="24.75" customHeight="1" x14ac:dyDescent="0.2">
      <c r="A29" s="45"/>
      <c r="B29" s="38" t="s">
        <v>137</v>
      </c>
      <c r="C29" s="424" t="s">
        <v>136</v>
      </c>
      <c r="D29" s="400"/>
      <c r="E29" s="420" t="s">
        <v>236</v>
      </c>
      <c r="F29" s="420" t="s">
        <v>237</v>
      </c>
      <c r="G29" s="422" t="s">
        <v>238</v>
      </c>
    </row>
    <row r="30" spans="1:7" ht="24.75" customHeight="1" x14ac:dyDescent="0.2">
      <c r="A30" s="45"/>
      <c r="B30" s="40" t="s">
        <v>239</v>
      </c>
      <c r="C30" s="425"/>
      <c r="D30" s="401"/>
      <c r="E30" s="421"/>
      <c r="F30" s="421"/>
      <c r="G30" s="423"/>
    </row>
    <row r="31" spans="1:7" ht="24.75" customHeight="1" x14ac:dyDescent="0.2">
      <c r="A31" s="45"/>
      <c r="B31" s="38" t="s">
        <v>138</v>
      </c>
      <c r="C31" s="424" t="s">
        <v>139</v>
      </c>
      <c r="D31" s="400"/>
      <c r="E31" s="420" t="s">
        <v>240</v>
      </c>
      <c r="F31" s="420" t="s">
        <v>241</v>
      </c>
      <c r="G31" s="422" t="s">
        <v>242</v>
      </c>
    </row>
    <row r="32" spans="1:7" ht="24.75" customHeight="1" x14ac:dyDescent="0.2">
      <c r="A32" s="45"/>
      <c r="B32" s="50" t="s">
        <v>243</v>
      </c>
      <c r="C32" s="425"/>
      <c r="D32" s="401"/>
      <c r="E32" s="421"/>
      <c r="F32" s="421"/>
      <c r="G32" s="423"/>
    </row>
    <row r="33" spans="1:7" ht="24.75" customHeight="1" x14ac:dyDescent="0.2">
      <c r="A33" s="45"/>
      <c r="B33" s="38" t="s">
        <v>140</v>
      </c>
      <c r="C33" s="424" t="s">
        <v>139</v>
      </c>
      <c r="D33" s="400"/>
      <c r="E33" s="420" t="s">
        <v>244</v>
      </c>
      <c r="F33" s="420" t="s">
        <v>245</v>
      </c>
      <c r="G33" s="422" t="s">
        <v>246</v>
      </c>
    </row>
    <row r="34" spans="1:7" ht="24.75" customHeight="1" x14ac:dyDescent="0.2">
      <c r="A34" s="45"/>
      <c r="B34" s="40" t="s">
        <v>247</v>
      </c>
      <c r="C34" s="425"/>
      <c r="D34" s="401"/>
      <c r="E34" s="421"/>
      <c r="F34" s="421"/>
      <c r="G34" s="423"/>
    </row>
    <row r="35" spans="1:7" ht="24.75" customHeight="1" x14ac:dyDescent="0.2">
      <c r="A35" s="45"/>
      <c r="B35" s="38" t="s">
        <v>142</v>
      </c>
      <c r="C35" s="424" t="s">
        <v>139</v>
      </c>
      <c r="D35" s="449" t="s">
        <v>248</v>
      </c>
      <c r="E35" s="420" t="s">
        <v>249</v>
      </c>
      <c r="F35" s="420" t="s">
        <v>250</v>
      </c>
      <c r="G35" s="422" t="s">
        <v>251</v>
      </c>
    </row>
    <row r="36" spans="1:7" ht="24.75" customHeight="1" thickBot="1" x14ac:dyDescent="0.25">
      <c r="A36" s="51"/>
      <c r="B36" s="52" t="s">
        <v>252</v>
      </c>
      <c r="C36" s="413"/>
      <c r="D36" s="450"/>
      <c r="E36" s="433"/>
      <c r="F36" s="433"/>
      <c r="G36" s="444"/>
    </row>
    <row r="37" spans="1:7" ht="18" customHeight="1" x14ac:dyDescent="0.2">
      <c r="A37" s="395" t="s">
        <v>253</v>
      </c>
      <c r="B37" s="445"/>
      <c r="C37" s="446"/>
      <c r="D37" s="34"/>
      <c r="E37" s="35"/>
      <c r="F37" s="35"/>
      <c r="G37" s="36"/>
    </row>
    <row r="38" spans="1:7" ht="24.75" customHeight="1" x14ac:dyDescent="0.2">
      <c r="A38" s="53"/>
      <c r="B38" s="47" t="s">
        <v>145</v>
      </c>
      <c r="C38" s="447" t="s">
        <v>254</v>
      </c>
      <c r="D38" s="431"/>
      <c r="E38" s="432" t="s">
        <v>255</v>
      </c>
      <c r="F38" s="432" t="s">
        <v>256</v>
      </c>
      <c r="G38" s="448" t="s">
        <v>257</v>
      </c>
    </row>
    <row r="39" spans="1:7" ht="24.75" customHeight="1" x14ac:dyDescent="0.2">
      <c r="A39" s="53"/>
      <c r="B39" s="40" t="s">
        <v>258</v>
      </c>
      <c r="C39" s="425"/>
      <c r="D39" s="401"/>
      <c r="E39" s="421"/>
      <c r="F39" s="421"/>
      <c r="G39" s="423"/>
    </row>
    <row r="40" spans="1:7" ht="24.75" customHeight="1" x14ac:dyDescent="0.2">
      <c r="A40" s="53"/>
      <c r="B40" s="54" t="s">
        <v>146</v>
      </c>
      <c r="C40" s="424" t="s">
        <v>254</v>
      </c>
      <c r="D40" s="400"/>
      <c r="E40" s="420" t="s">
        <v>255</v>
      </c>
      <c r="F40" s="420" t="s">
        <v>256</v>
      </c>
      <c r="G40" s="422" t="s">
        <v>257</v>
      </c>
    </row>
    <row r="41" spans="1:7" ht="24.75" customHeight="1" thickBot="1" x14ac:dyDescent="0.25">
      <c r="A41" s="55"/>
      <c r="B41" s="52" t="s">
        <v>259</v>
      </c>
      <c r="C41" s="413"/>
      <c r="D41" s="417"/>
      <c r="E41" s="433"/>
      <c r="F41" s="433"/>
      <c r="G41" s="444"/>
    </row>
    <row r="42" spans="1:7" ht="18" customHeight="1" x14ac:dyDescent="0.2">
      <c r="A42" s="453" t="s">
        <v>147</v>
      </c>
      <c r="B42" s="454"/>
      <c r="C42" s="455"/>
      <c r="D42" s="56"/>
      <c r="E42" s="57"/>
      <c r="F42" s="57"/>
      <c r="G42" s="58"/>
    </row>
    <row r="43" spans="1:7" ht="24" customHeight="1" x14ac:dyDescent="0.2">
      <c r="A43" s="45"/>
      <c r="B43" s="38" t="s">
        <v>148</v>
      </c>
      <c r="C43" s="447" t="s">
        <v>149</v>
      </c>
      <c r="D43" s="400"/>
      <c r="E43" s="420" t="s">
        <v>260</v>
      </c>
      <c r="F43" s="451" t="s">
        <v>261</v>
      </c>
      <c r="G43" s="422" t="s">
        <v>262</v>
      </c>
    </row>
    <row r="44" spans="1:7" ht="24" customHeight="1" x14ac:dyDescent="0.2">
      <c r="A44" s="45"/>
      <c r="B44" s="40" t="s">
        <v>263</v>
      </c>
      <c r="C44" s="425"/>
      <c r="D44" s="401"/>
      <c r="E44" s="421"/>
      <c r="F44" s="452"/>
      <c r="G44" s="423"/>
    </row>
    <row r="45" spans="1:7" ht="24" customHeight="1" x14ac:dyDescent="0.2">
      <c r="A45" s="45"/>
      <c r="B45" s="38" t="s">
        <v>151</v>
      </c>
      <c r="C45" s="424" t="s">
        <v>264</v>
      </c>
      <c r="D45" s="400"/>
      <c r="E45" s="420" t="s">
        <v>265</v>
      </c>
      <c r="F45" s="420" t="s">
        <v>266</v>
      </c>
      <c r="G45" s="422" t="s">
        <v>267</v>
      </c>
    </row>
    <row r="46" spans="1:7" ht="24" customHeight="1" thickBot="1" x14ac:dyDescent="0.25">
      <c r="A46" s="45"/>
      <c r="B46" s="59" t="s">
        <v>268</v>
      </c>
      <c r="C46" s="447"/>
      <c r="D46" s="431"/>
      <c r="E46" s="432"/>
      <c r="F46" s="432"/>
      <c r="G46" s="448"/>
    </row>
    <row r="47" spans="1:7" ht="18" customHeight="1" x14ac:dyDescent="0.2">
      <c r="A47" s="395" t="s">
        <v>269</v>
      </c>
      <c r="B47" s="445"/>
      <c r="C47" s="446"/>
      <c r="D47" s="34"/>
      <c r="E47" s="35"/>
      <c r="F47" s="35"/>
      <c r="G47" s="36"/>
    </row>
    <row r="48" spans="1:7" ht="24.75" customHeight="1" x14ac:dyDescent="0.2">
      <c r="A48" s="53"/>
      <c r="B48" s="47" t="s">
        <v>153</v>
      </c>
      <c r="C48" s="447" t="s">
        <v>149</v>
      </c>
      <c r="D48" s="431"/>
      <c r="E48" s="432" t="s">
        <v>270</v>
      </c>
      <c r="F48" s="432" t="s">
        <v>271</v>
      </c>
      <c r="G48" s="448" t="s">
        <v>272</v>
      </c>
    </row>
    <row r="49" spans="1:7" ht="24.75" customHeight="1" x14ac:dyDescent="0.2">
      <c r="A49" s="53"/>
      <c r="B49" s="40" t="s">
        <v>294</v>
      </c>
      <c r="C49" s="425"/>
      <c r="D49" s="401"/>
      <c r="E49" s="421"/>
      <c r="F49" s="421"/>
      <c r="G49" s="423"/>
    </row>
    <row r="50" spans="1:7" ht="24.75" customHeight="1" x14ac:dyDescent="0.2">
      <c r="A50" s="53"/>
      <c r="B50" s="47" t="s">
        <v>154</v>
      </c>
      <c r="C50" s="447" t="s">
        <v>212</v>
      </c>
      <c r="D50" s="431"/>
      <c r="E50" s="432" t="s">
        <v>296</v>
      </c>
      <c r="F50" s="432" t="s">
        <v>297</v>
      </c>
      <c r="G50" s="448" t="s">
        <v>298</v>
      </c>
    </row>
    <row r="51" spans="1:7" ht="24.75" customHeight="1" thickBot="1" x14ac:dyDescent="0.25">
      <c r="A51" s="53"/>
      <c r="B51" s="40" t="s">
        <v>295</v>
      </c>
      <c r="C51" s="425"/>
      <c r="D51" s="401"/>
      <c r="E51" s="421"/>
      <c r="F51" s="421"/>
      <c r="G51" s="423"/>
    </row>
    <row r="52" spans="1:7" ht="18" customHeight="1" x14ac:dyDescent="0.2">
      <c r="A52" s="426" t="s">
        <v>156</v>
      </c>
      <c r="B52" s="456"/>
      <c r="C52" s="457"/>
      <c r="D52" s="41"/>
      <c r="E52" s="42"/>
      <c r="F52" s="42"/>
      <c r="G52" s="43"/>
    </row>
    <row r="53" spans="1:7" ht="24.75" customHeight="1" x14ac:dyDescent="0.2">
      <c r="A53" s="45"/>
      <c r="B53" s="38" t="s">
        <v>157</v>
      </c>
      <c r="C53" s="424" t="s">
        <v>132</v>
      </c>
      <c r="D53" s="400"/>
      <c r="E53" s="420" t="s">
        <v>273</v>
      </c>
      <c r="F53" s="420" t="s">
        <v>274</v>
      </c>
      <c r="G53" s="422" t="s">
        <v>275</v>
      </c>
    </row>
    <row r="54" spans="1:7" ht="24.75" customHeight="1" x14ac:dyDescent="0.2">
      <c r="A54" s="45"/>
      <c r="B54" s="50" t="s">
        <v>276</v>
      </c>
      <c r="C54" s="425"/>
      <c r="D54" s="401"/>
      <c r="E54" s="421"/>
      <c r="F54" s="421"/>
      <c r="G54" s="423"/>
    </row>
    <row r="55" spans="1:7" ht="24.75" customHeight="1" x14ac:dyDescent="0.2">
      <c r="A55" s="45"/>
      <c r="B55" s="38" t="s">
        <v>277</v>
      </c>
      <c r="C55" s="424" t="s">
        <v>278</v>
      </c>
      <c r="D55" s="400"/>
      <c r="E55" s="420" t="s">
        <v>279</v>
      </c>
      <c r="F55" s="420" t="s">
        <v>280</v>
      </c>
      <c r="G55" s="422" t="s">
        <v>281</v>
      </c>
    </row>
    <row r="56" spans="1:7" ht="24.75" customHeight="1" thickBot="1" x14ac:dyDescent="0.25">
      <c r="A56" s="51"/>
      <c r="B56" s="49" t="s">
        <v>282</v>
      </c>
      <c r="C56" s="413"/>
      <c r="D56" s="417"/>
      <c r="E56" s="433"/>
      <c r="F56" s="433"/>
      <c r="G56" s="444"/>
    </row>
    <row r="57" spans="1:7" ht="18" customHeight="1" x14ac:dyDescent="0.2">
      <c r="A57" s="395" t="s">
        <v>159</v>
      </c>
      <c r="B57" s="396"/>
      <c r="C57" s="397"/>
      <c r="D57" s="60"/>
      <c r="E57" s="61"/>
      <c r="F57" s="61"/>
      <c r="G57" s="62"/>
    </row>
    <row r="58" spans="1:7" ht="24" customHeight="1" x14ac:dyDescent="0.2">
      <c r="A58" s="53"/>
      <c r="B58" s="38" t="s">
        <v>160</v>
      </c>
      <c r="C58" s="424" t="s">
        <v>161</v>
      </c>
      <c r="D58" s="400"/>
      <c r="E58" s="420" t="s">
        <v>305</v>
      </c>
      <c r="F58" s="458" t="s">
        <v>283</v>
      </c>
      <c r="G58" s="459"/>
    </row>
    <row r="59" spans="1:7" ht="24" customHeight="1" x14ac:dyDescent="0.2">
      <c r="A59" s="53"/>
      <c r="B59" s="50" t="s">
        <v>299</v>
      </c>
      <c r="C59" s="425"/>
      <c r="D59" s="401"/>
      <c r="E59" s="421"/>
      <c r="F59" s="460"/>
      <c r="G59" s="461"/>
    </row>
    <row r="60" spans="1:7" ht="24" customHeight="1" x14ac:dyDescent="0.2">
      <c r="A60" s="53"/>
      <c r="B60" s="38" t="s">
        <v>163</v>
      </c>
      <c r="C60" s="424" t="s">
        <v>229</v>
      </c>
      <c r="D60" s="400"/>
      <c r="E60" s="420" t="s">
        <v>306</v>
      </c>
      <c r="F60" s="402" t="s">
        <v>307</v>
      </c>
      <c r="G60" s="404" t="s">
        <v>2</v>
      </c>
    </row>
    <row r="61" spans="1:7" ht="24" customHeight="1" x14ac:dyDescent="0.2">
      <c r="A61" s="53"/>
      <c r="B61" s="50" t="s">
        <v>300</v>
      </c>
      <c r="C61" s="425"/>
      <c r="D61" s="401"/>
      <c r="E61" s="421"/>
      <c r="F61" s="403"/>
      <c r="G61" s="405"/>
    </row>
    <row r="62" spans="1:7" ht="24" customHeight="1" x14ac:dyDescent="0.2">
      <c r="A62" s="53"/>
      <c r="B62" s="38" t="s">
        <v>165</v>
      </c>
      <c r="C62" s="424" t="s">
        <v>284</v>
      </c>
      <c r="D62" s="400" t="s">
        <v>1</v>
      </c>
      <c r="E62" s="420" t="s">
        <v>0</v>
      </c>
      <c r="F62" s="458" t="s">
        <v>5</v>
      </c>
      <c r="G62" s="459"/>
    </row>
    <row r="63" spans="1:7" ht="24" customHeight="1" x14ac:dyDescent="0.2">
      <c r="A63" s="53"/>
      <c r="B63" s="50" t="s">
        <v>301</v>
      </c>
      <c r="C63" s="425"/>
      <c r="D63" s="401"/>
      <c r="E63" s="421"/>
      <c r="F63" s="460"/>
      <c r="G63" s="461"/>
    </row>
    <row r="64" spans="1:7" ht="24" customHeight="1" x14ac:dyDescent="0.2">
      <c r="A64" s="53"/>
      <c r="B64" s="38" t="s">
        <v>166</v>
      </c>
      <c r="C64" s="424" t="s">
        <v>284</v>
      </c>
      <c r="D64" s="400" t="s">
        <v>1</v>
      </c>
      <c r="E64" s="420" t="s">
        <v>3</v>
      </c>
      <c r="F64" s="458" t="s">
        <v>4</v>
      </c>
      <c r="G64" s="459"/>
    </row>
    <row r="65" spans="1:7" ht="24" customHeight="1" x14ac:dyDescent="0.2">
      <c r="A65" s="53"/>
      <c r="B65" s="50" t="s">
        <v>302</v>
      </c>
      <c r="C65" s="425"/>
      <c r="D65" s="401"/>
      <c r="E65" s="421"/>
      <c r="F65" s="460"/>
      <c r="G65" s="461"/>
    </row>
    <row r="66" spans="1:7" ht="24" customHeight="1" x14ac:dyDescent="0.2">
      <c r="A66" s="53"/>
      <c r="B66" s="47" t="s">
        <v>303</v>
      </c>
      <c r="C66" s="447" t="s">
        <v>285</v>
      </c>
      <c r="D66" s="431"/>
      <c r="E66" s="432" t="s">
        <v>6</v>
      </c>
      <c r="F66" s="462" t="s">
        <v>7</v>
      </c>
      <c r="G66" s="463"/>
    </row>
    <row r="67" spans="1:7" ht="24" customHeight="1" thickBot="1" x14ac:dyDescent="0.25">
      <c r="A67" s="55"/>
      <c r="B67" s="52" t="s">
        <v>304</v>
      </c>
      <c r="C67" s="413"/>
      <c r="D67" s="417"/>
      <c r="E67" s="433"/>
      <c r="F67" s="464"/>
      <c r="G67" s="465"/>
    </row>
    <row r="68" spans="1:7" ht="18" customHeight="1" x14ac:dyDescent="0.2">
      <c r="A68" s="426" t="s">
        <v>171</v>
      </c>
      <c r="B68" s="427"/>
      <c r="C68" s="428"/>
      <c r="D68" s="63"/>
      <c r="E68" s="64"/>
      <c r="F68" s="64"/>
      <c r="G68" s="65"/>
    </row>
    <row r="69" spans="1:7" ht="24" customHeight="1" x14ac:dyDescent="0.2">
      <c r="A69" s="45"/>
      <c r="B69" s="38" t="s">
        <v>25</v>
      </c>
      <c r="C69" s="424" t="s">
        <v>167</v>
      </c>
      <c r="D69" s="400"/>
      <c r="E69" s="420" t="s">
        <v>8</v>
      </c>
      <c r="F69" s="420" t="s">
        <v>286</v>
      </c>
      <c r="G69" s="422" t="s">
        <v>287</v>
      </c>
    </row>
    <row r="70" spans="1:7" ht="24" customHeight="1" x14ac:dyDescent="0.2">
      <c r="A70" s="45"/>
      <c r="B70" s="50" t="s">
        <v>9</v>
      </c>
      <c r="C70" s="425"/>
      <c r="D70" s="401"/>
      <c r="E70" s="421"/>
      <c r="F70" s="421"/>
      <c r="G70" s="423"/>
    </row>
    <row r="71" spans="1:7" ht="24.75" customHeight="1" x14ac:dyDescent="0.2">
      <c r="A71" s="45"/>
      <c r="B71" s="38" t="s">
        <v>174</v>
      </c>
      <c r="C71" s="424" t="s">
        <v>117</v>
      </c>
      <c r="D71" s="400"/>
      <c r="E71" s="420" t="s">
        <v>11</v>
      </c>
      <c r="F71" s="462" t="s">
        <v>12</v>
      </c>
      <c r="G71" s="463"/>
    </row>
    <row r="72" spans="1:7" ht="24.75" customHeight="1" x14ac:dyDescent="0.2">
      <c r="A72" s="45"/>
      <c r="B72" s="40" t="s">
        <v>10</v>
      </c>
      <c r="C72" s="425"/>
      <c r="D72" s="401"/>
      <c r="E72" s="421"/>
      <c r="F72" s="466"/>
      <c r="G72" s="467"/>
    </row>
    <row r="73" spans="1:7" ht="24.75" customHeight="1" x14ac:dyDescent="0.2">
      <c r="A73" s="45"/>
      <c r="B73" s="54" t="s">
        <v>288</v>
      </c>
      <c r="C73" s="424" t="s">
        <v>149</v>
      </c>
      <c r="D73" s="400"/>
      <c r="E73" s="420" t="s">
        <v>14</v>
      </c>
      <c r="F73" s="420" t="s">
        <v>289</v>
      </c>
      <c r="G73" s="422" t="s">
        <v>290</v>
      </c>
    </row>
    <row r="74" spans="1:7" ht="24.75" customHeight="1" x14ac:dyDescent="0.2">
      <c r="A74" s="45"/>
      <c r="B74" s="50" t="s">
        <v>13</v>
      </c>
      <c r="C74" s="425"/>
      <c r="D74" s="401"/>
      <c r="E74" s="421"/>
      <c r="F74" s="421"/>
      <c r="G74" s="423"/>
    </row>
    <row r="75" spans="1:7" ht="24.75" customHeight="1" x14ac:dyDescent="0.2">
      <c r="A75" s="45"/>
      <c r="B75" s="54" t="s">
        <v>179</v>
      </c>
      <c r="C75" s="424" t="s">
        <v>254</v>
      </c>
      <c r="D75" s="400"/>
      <c r="E75" s="420" t="s">
        <v>16</v>
      </c>
      <c r="F75" s="420" t="s">
        <v>21</v>
      </c>
      <c r="G75" s="422" t="s">
        <v>22</v>
      </c>
    </row>
    <row r="76" spans="1:7" ht="24.75" customHeight="1" thickBot="1" x14ac:dyDescent="0.25">
      <c r="A76" s="51"/>
      <c r="B76" s="52" t="s">
        <v>15</v>
      </c>
      <c r="C76" s="413"/>
      <c r="D76" s="417"/>
      <c r="E76" s="433"/>
      <c r="F76" s="433"/>
      <c r="G76" s="444"/>
    </row>
    <row r="77" spans="1:7" ht="18" customHeight="1" x14ac:dyDescent="0.2">
      <c r="A77" s="395" t="s">
        <v>180</v>
      </c>
      <c r="B77" s="396"/>
      <c r="C77" s="397"/>
      <c r="D77" s="60"/>
      <c r="E77" s="61"/>
      <c r="F77" s="61"/>
      <c r="G77" s="62"/>
    </row>
    <row r="78" spans="1:7" ht="24" customHeight="1" x14ac:dyDescent="0.2">
      <c r="A78" s="53"/>
      <c r="B78" s="38" t="s">
        <v>181</v>
      </c>
      <c r="C78" s="424" t="s">
        <v>167</v>
      </c>
      <c r="D78" s="400"/>
      <c r="E78" s="420" t="s">
        <v>18</v>
      </c>
      <c r="F78" s="420" t="s">
        <v>19</v>
      </c>
      <c r="G78" s="422" t="s">
        <v>20</v>
      </c>
    </row>
    <row r="79" spans="1:7" ht="24" customHeight="1" x14ac:dyDescent="0.2">
      <c r="A79" s="53"/>
      <c r="B79" s="50" t="s">
        <v>17</v>
      </c>
      <c r="C79" s="425"/>
      <c r="D79" s="401"/>
      <c r="E79" s="421"/>
      <c r="F79" s="421"/>
      <c r="G79" s="423"/>
    </row>
    <row r="80" spans="1:7" ht="24" customHeight="1" x14ac:dyDescent="0.2">
      <c r="A80" s="53"/>
      <c r="B80" s="47" t="s">
        <v>568</v>
      </c>
      <c r="C80" s="447" t="s">
        <v>441</v>
      </c>
      <c r="D80" s="431"/>
      <c r="E80" s="432" t="s">
        <v>570</v>
      </c>
      <c r="F80" s="432" t="s">
        <v>571</v>
      </c>
      <c r="G80" s="448" t="s">
        <v>572</v>
      </c>
    </row>
    <row r="81" spans="1:7" ht="24" customHeight="1" thickBot="1" x14ac:dyDescent="0.25">
      <c r="A81" s="55"/>
      <c r="B81" s="52" t="s">
        <v>574</v>
      </c>
      <c r="C81" s="413"/>
      <c r="D81" s="417"/>
      <c r="E81" s="433"/>
      <c r="F81" s="433"/>
      <c r="G81" s="444"/>
    </row>
    <row r="82" spans="1:7" ht="18" customHeight="1" x14ac:dyDescent="0.2">
      <c r="A82" s="31" t="s">
        <v>23</v>
      </c>
      <c r="B82" s="31" t="s">
        <v>24</v>
      </c>
    </row>
    <row r="83" spans="1:7" ht="18" customHeight="1" x14ac:dyDescent="0.2">
      <c r="A83" s="31" t="s">
        <v>23</v>
      </c>
      <c r="B83" s="31" t="s">
        <v>513</v>
      </c>
    </row>
    <row r="84" spans="1:7" ht="18" customHeight="1" x14ac:dyDescent="0.2">
      <c r="A84" s="31" t="s">
        <v>23</v>
      </c>
      <c r="B84" s="31" t="s">
        <v>569</v>
      </c>
    </row>
    <row r="85" spans="1:7" x14ac:dyDescent="0.2">
      <c r="A85" s="31" t="s">
        <v>23</v>
      </c>
      <c r="B85" s="31" t="s">
        <v>575</v>
      </c>
    </row>
  </sheetData>
  <mergeCells count="177">
    <mergeCell ref="C80:C81"/>
    <mergeCell ref="D80:D81"/>
    <mergeCell ref="E80:E81"/>
    <mergeCell ref="F80:F81"/>
    <mergeCell ref="G80:G81"/>
    <mergeCell ref="E78:E79"/>
    <mergeCell ref="G73:G74"/>
    <mergeCell ref="C75:C76"/>
    <mergeCell ref="D75:D76"/>
    <mergeCell ref="F78:F79"/>
    <mergeCell ref="G78:G79"/>
    <mergeCell ref="C78:C79"/>
    <mergeCell ref="D78:D79"/>
    <mergeCell ref="E73:E74"/>
    <mergeCell ref="F73:F74"/>
    <mergeCell ref="C71:C72"/>
    <mergeCell ref="D71:D72"/>
    <mergeCell ref="E71:E72"/>
    <mergeCell ref="E75:E76"/>
    <mergeCell ref="F71:G72"/>
    <mergeCell ref="A77:C77"/>
    <mergeCell ref="F75:F76"/>
    <mergeCell ref="G75:G76"/>
    <mergeCell ref="C73:C74"/>
    <mergeCell ref="D73:D74"/>
    <mergeCell ref="C66:C67"/>
    <mergeCell ref="D66:D67"/>
    <mergeCell ref="E66:E67"/>
    <mergeCell ref="F66:G67"/>
    <mergeCell ref="A68:C68"/>
    <mergeCell ref="C69:C70"/>
    <mergeCell ref="D69:D70"/>
    <mergeCell ref="E69:E70"/>
    <mergeCell ref="F69:F70"/>
    <mergeCell ref="G69:G70"/>
    <mergeCell ref="F60:F61"/>
    <mergeCell ref="G60:G61"/>
    <mergeCell ref="C64:C65"/>
    <mergeCell ref="D64:D65"/>
    <mergeCell ref="E64:E65"/>
    <mergeCell ref="F64:G65"/>
    <mergeCell ref="D55:D56"/>
    <mergeCell ref="E55:E56"/>
    <mergeCell ref="F55:F56"/>
    <mergeCell ref="C62:C63"/>
    <mergeCell ref="D62:D63"/>
    <mergeCell ref="E62:E63"/>
    <mergeCell ref="F62:G63"/>
    <mergeCell ref="C60:C61"/>
    <mergeCell ref="D60:D61"/>
    <mergeCell ref="E60:E61"/>
    <mergeCell ref="G55:G56"/>
    <mergeCell ref="A57:C57"/>
    <mergeCell ref="C58:C59"/>
    <mergeCell ref="D58:D59"/>
    <mergeCell ref="E58:E59"/>
    <mergeCell ref="F58:G59"/>
    <mergeCell ref="C55:C56"/>
    <mergeCell ref="A52:C52"/>
    <mergeCell ref="C53:C54"/>
    <mergeCell ref="D53:D54"/>
    <mergeCell ref="E53:E54"/>
    <mergeCell ref="F53:F54"/>
    <mergeCell ref="G53:G54"/>
    <mergeCell ref="A47:C47"/>
    <mergeCell ref="C48:C49"/>
    <mergeCell ref="D48:D49"/>
    <mergeCell ref="E48:E49"/>
    <mergeCell ref="F48:F49"/>
    <mergeCell ref="G48:G49"/>
    <mergeCell ref="C45:C46"/>
    <mergeCell ref="G50:G51"/>
    <mergeCell ref="C50:C51"/>
    <mergeCell ref="D50:D51"/>
    <mergeCell ref="E50:E51"/>
    <mergeCell ref="F50:F51"/>
    <mergeCell ref="F40:F41"/>
    <mergeCell ref="D45:D46"/>
    <mergeCell ref="E45:E46"/>
    <mergeCell ref="F45:F46"/>
    <mergeCell ref="G40:G41"/>
    <mergeCell ref="F43:F44"/>
    <mergeCell ref="G43:G44"/>
    <mergeCell ref="A42:C42"/>
    <mergeCell ref="C43:C44"/>
    <mergeCell ref="D43:D44"/>
    <mergeCell ref="E43:E44"/>
    <mergeCell ref="C40:C41"/>
    <mergeCell ref="D40:D41"/>
    <mergeCell ref="E40:E41"/>
    <mergeCell ref="G45:G46"/>
    <mergeCell ref="G35:G36"/>
    <mergeCell ref="A37:C37"/>
    <mergeCell ref="C38:C39"/>
    <mergeCell ref="D38:D39"/>
    <mergeCell ref="E38:E39"/>
    <mergeCell ref="F38:F39"/>
    <mergeCell ref="G38:G39"/>
    <mergeCell ref="C35:C36"/>
    <mergeCell ref="D35:D36"/>
    <mergeCell ref="E35:E36"/>
    <mergeCell ref="F35:F36"/>
    <mergeCell ref="G31:G32"/>
    <mergeCell ref="C33:C34"/>
    <mergeCell ref="D33:D34"/>
    <mergeCell ref="E33:E34"/>
    <mergeCell ref="F33:F34"/>
    <mergeCell ref="G33:G34"/>
    <mergeCell ref="C31:C32"/>
    <mergeCell ref="D31:D32"/>
    <mergeCell ref="E31:E32"/>
    <mergeCell ref="F31:F32"/>
    <mergeCell ref="F27:F28"/>
    <mergeCell ref="G27:G28"/>
    <mergeCell ref="G29:G30"/>
    <mergeCell ref="C29:C30"/>
    <mergeCell ref="D29:D30"/>
    <mergeCell ref="E29:E30"/>
    <mergeCell ref="F29:F30"/>
    <mergeCell ref="A26:C26"/>
    <mergeCell ref="C27:C28"/>
    <mergeCell ref="D27:D28"/>
    <mergeCell ref="E27:E28"/>
    <mergeCell ref="G15:G16"/>
    <mergeCell ref="C17:C18"/>
    <mergeCell ref="D17:D18"/>
    <mergeCell ref="E17:E18"/>
    <mergeCell ref="F17:F18"/>
    <mergeCell ref="G17:G18"/>
    <mergeCell ref="C15:C16"/>
    <mergeCell ref="D15:D16"/>
    <mergeCell ref="C24:C25"/>
    <mergeCell ref="D24:D25"/>
    <mergeCell ref="E24:E25"/>
    <mergeCell ref="E15:E16"/>
    <mergeCell ref="F15:F16"/>
    <mergeCell ref="C22:C23"/>
    <mergeCell ref="D22:D23"/>
    <mergeCell ref="E22:E23"/>
    <mergeCell ref="F22:G23"/>
    <mergeCell ref="F24:G25"/>
    <mergeCell ref="G19:G20"/>
    <mergeCell ref="A21:C21"/>
    <mergeCell ref="C19:C20"/>
    <mergeCell ref="D19:D20"/>
    <mergeCell ref="E19:E20"/>
    <mergeCell ref="F19:F20"/>
    <mergeCell ref="G11:G12"/>
    <mergeCell ref="C13:C14"/>
    <mergeCell ref="D13:D14"/>
    <mergeCell ref="E13:E14"/>
    <mergeCell ref="F13:F14"/>
    <mergeCell ref="G13:G14"/>
    <mergeCell ref="C11:C12"/>
    <mergeCell ref="D11:D12"/>
    <mergeCell ref="G8:G9"/>
    <mergeCell ref="A10:C10"/>
    <mergeCell ref="E11:E12"/>
    <mergeCell ref="F11:F12"/>
    <mergeCell ref="A5:C5"/>
    <mergeCell ref="C6:C7"/>
    <mergeCell ref="D6:D7"/>
    <mergeCell ref="E6:E7"/>
    <mergeCell ref="F6:F7"/>
    <mergeCell ref="G6:G7"/>
    <mergeCell ref="C8:C9"/>
    <mergeCell ref="D8:D9"/>
    <mergeCell ref="A1:C2"/>
    <mergeCell ref="E2:G2"/>
    <mergeCell ref="A3:A4"/>
    <mergeCell ref="B3:B4"/>
    <mergeCell ref="C3:C4"/>
    <mergeCell ref="D3:D4"/>
    <mergeCell ref="E3:E4"/>
    <mergeCell ref="F3:G3"/>
    <mergeCell ref="E8:E9"/>
    <mergeCell ref="F8:F9"/>
  </mergeCells>
  <phoneticPr fontId="3"/>
  <pageMargins left="0.6" right="0.35" top="0.8" bottom="0.69" header="0.36" footer="0.51200000000000001"/>
  <pageSetup paperSize="9" scale="80" fitToHeight="2" orientation="portrait" r:id="rId1"/>
  <headerFooter alignWithMargins="0"/>
  <rowBreaks count="1" manualBreakCount="1">
    <brk id="4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総合評価</vt:lpstr>
      <vt:lpstr>総合評価２</vt:lpstr>
      <vt:lpstr>経営指標</vt:lpstr>
      <vt:lpstr>比率分析</vt:lpstr>
      <vt:lpstr>Lベンチマーク</vt:lpstr>
      <vt:lpstr>PL</vt:lpstr>
      <vt:lpstr>BS</vt:lpstr>
      <vt:lpstr>ＣＦ</vt:lpstr>
      <vt:lpstr>指標説明</vt:lpstr>
      <vt:lpstr>指標説明!Print_Titles</vt:lpstr>
    </vt:vector>
  </TitlesOfParts>
  <Company>業務監査室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森川雅章</dc:creator>
  <cp:lastModifiedBy>森川 雅章</cp:lastModifiedBy>
  <cp:lastPrinted>2016-06-02T03:51:42Z</cp:lastPrinted>
  <dcterms:created xsi:type="dcterms:W3CDTF">2009-06-23T03:53:45Z</dcterms:created>
  <dcterms:modified xsi:type="dcterms:W3CDTF">2023-03-31T03:00:36Z</dcterms:modified>
</cp:coreProperties>
</file>