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5_業種別経営指標/R05_業種別/H16-R05_業種別_K不動産業物品賃貸業/"/>
    </mc:Choice>
  </mc:AlternateContent>
  <xr:revisionPtr revIDLastSave="515" documentId="13_ncr:1_{E5AE67E6-62E8-44DA-819B-45E9D73CA082}" xr6:coauthVersionLast="47" xr6:coauthVersionMax="47" xr10:uidLastSave="{11113F17-E1DA-4BB7-9E8A-224DDB03B444}"/>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38" i="5" l="1"/>
  <c r="V33" i="5"/>
  <c r="V32" i="5"/>
  <c r="V30" i="5"/>
  <c r="V29" i="5"/>
  <c r="V28" i="5"/>
  <c r="V27" i="5"/>
  <c r="V26" i="5"/>
  <c r="V25" i="5"/>
  <c r="U40" i="5"/>
  <c r="U41" i="5" s="1"/>
  <c r="U38" i="5"/>
  <c r="U33" i="5"/>
  <c r="U32" i="5"/>
  <c r="U31" i="5"/>
  <c r="U30" i="5"/>
  <c r="U35" i="5" s="1"/>
  <c r="U29" i="5"/>
  <c r="U28" i="5"/>
  <c r="U27" i="5"/>
  <c r="U26" i="5"/>
  <c r="U25" i="5"/>
  <c r="U24" i="5"/>
  <c r="U23" i="5"/>
  <c r="U20" i="5"/>
  <c r="U19" i="5"/>
  <c r="U44" i="5" s="1"/>
  <c r="U18" i="5"/>
  <c r="U17" i="5"/>
  <c r="U16" i="5"/>
  <c r="U15" i="5"/>
  <c r="U13" i="5"/>
  <c r="U12" i="5"/>
  <c r="U45" i="5" s="1"/>
  <c r="U11" i="5"/>
  <c r="U22" i="5" s="1"/>
  <c r="U9" i="5"/>
  <c r="U8" i="5"/>
  <c r="U7" i="5"/>
  <c r="U6" i="5"/>
  <c r="U5" i="5"/>
  <c r="U47" i="5" s="1"/>
  <c r="AO8" i="6"/>
  <c r="U25" i="6"/>
  <c r="AO25" i="6" s="1"/>
  <c r="U24" i="6"/>
  <c r="AO24" i="6" s="1"/>
  <c r="U23" i="6"/>
  <c r="U22" i="6"/>
  <c r="U21" i="6"/>
  <c r="AO21" i="6" s="1"/>
  <c r="U20" i="6"/>
  <c r="AO20" i="6" s="1"/>
  <c r="U19" i="6"/>
  <c r="AO19" i="6" s="1"/>
  <c r="U18" i="6"/>
  <c r="AO18" i="6" s="1"/>
  <c r="U17" i="6"/>
  <c r="AO17" i="6" s="1"/>
  <c r="U16" i="6"/>
  <c r="AO16" i="6" s="1"/>
  <c r="U14" i="6"/>
  <c r="U13" i="6"/>
  <c r="AO13" i="6" s="1"/>
  <c r="U12" i="6"/>
  <c r="U11" i="6"/>
  <c r="AO11" i="6" s="1"/>
  <c r="U10" i="6"/>
  <c r="AO10" i="6" s="1"/>
  <c r="U9" i="6"/>
  <c r="AO9" i="6" s="1"/>
  <c r="U8" i="6"/>
  <c r="U7" i="6"/>
  <c r="AO7" i="6" s="1"/>
  <c r="U6" i="6"/>
  <c r="AO6" i="6" s="1"/>
  <c r="U5" i="6"/>
  <c r="AO12" i="6" s="1"/>
  <c r="CQ81" i="3"/>
  <c r="CT80" i="3" s="1"/>
  <c r="CQ78" i="3"/>
  <c r="CQ80" i="3" s="1"/>
  <c r="CQ76" i="3"/>
  <c r="CQ71" i="3"/>
  <c r="CQ67" i="3"/>
  <c r="CV65" i="3"/>
  <c r="CQ65" i="3"/>
  <c r="CT64" i="3" s="1"/>
  <c r="CV64" i="3"/>
  <c r="CQ64" i="3"/>
  <c r="CV63" i="3"/>
  <c r="CV59" i="3"/>
  <c r="CQ54" i="3"/>
  <c r="CQ53" i="3"/>
  <c r="CQ50" i="3"/>
  <c r="CQ45" i="3"/>
  <c r="CQ44" i="3"/>
  <c r="CQ46" i="3" s="1"/>
  <c r="CT45" i="3" s="1"/>
  <c r="CQ43" i="3"/>
  <c r="CQ39" i="3"/>
  <c r="CQ41" i="3" s="1"/>
  <c r="CQ35" i="3"/>
  <c r="CQ33" i="3"/>
  <c r="CQ31" i="3"/>
  <c r="CQ30" i="3"/>
  <c r="CQ19" i="3"/>
  <c r="CV62" i="3" s="1"/>
  <c r="CQ15" i="3"/>
  <c r="CQ12" i="3"/>
  <c r="CQ36" i="3" s="1"/>
  <c r="CT35" i="3" s="1"/>
  <c r="CQ9" i="3"/>
  <c r="CQ51" i="3" s="1"/>
  <c r="CT50" i="3" s="1"/>
  <c r="CQ7" i="3"/>
  <c r="CQ6" i="3"/>
  <c r="CQ40" i="3" s="1"/>
  <c r="CQ55" i="3"/>
  <c r="CQ32" i="3"/>
  <c r="CT31" i="3" s="1"/>
  <c r="CQ28" i="3"/>
  <c r="W70" i="7"/>
  <c r="W71" i="7" s="1"/>
  <c r="W69" i="7"/>
  <c r="W68" i="7"/>
  <c r="W64" i="7"/>
  <c r="W51" i="7"/>
  <c r="W44" i="7"/>
  <c r="W40" i="7"/>
  <c r="W35" i="7"/>
  <c r="W34" i="7"/>
  <c r="W30" i="7"/>
  <c r="W29" i="7"/>
  <c r="W28" i="7"/>
  <c r="W16" i="7"/>
  <c r="W15" i="7"/>
  <c r="W14" i="7"/>
  <c r="W13" i="7"/>
  <c r="W26" i="7" s="1"/>
  <c r="W12" i="7"/>
  <c r="W25" i="7" s="1"/>
  <c r="W11" i="7"/>
  <c r="W10" i="7"/>
  <c r="W9" i="7"/>
  <c r="W53" i="7" s="1"/>
  <c r="W8" i="7"/>
  <c r="W56" i="7" s="1"/>
  <c r="W7" i="7"/>
  <c r="W6" i="7"/>
  <c r="W5" i="7"/>
  <c r="W57" i="7" s="1"/>
  <c r="W4" i="7"/>
  <c r="W50" i="7" s="1"/>
  <c r="T16" i="9"/>
  <c r="U14" i="9"/>
  <c r="U13" i="9"/>
  <c r="U12" i="9"/>
  <c r="U11" i="9"/>
  <c r="U10" i="9"/>
  <c r="U9" i="9"/>
  <c r="U8" i="9"/>
  <c r="U7" i="9"/>
  <c r="U6" i="9"/>
  <c r="U4" i="9"/>
  <c r="U16" i="9" s="1"/>
  <c r="V36" i="8"/>
  <c r="V31" i="8"/>
  <c r="V29" i="8"/>
  <c r="V28" i="8"/>
  <c r="V20" i="8"/>
  <c r="V18" i="8"/>
  <c r="V16" i="8"/>
  <c r="V15" i="8"/>
  <c r="V12" i="8"/>
  <c r="V11" i="8"/>
  <c r="U36" i="8"/>
  <c r="U35" i="8"/>
  <c r="U37" i="8" s="1"/>
  <c r="U24" i="8" s="1"/>
  <c r="U31" i="8"/>
  <c r="U30" i="8"/>
  <c r="U29" i="8"/>
  <c r="U28" i="8"/>
  <c r="U33" i="8" s="1"/>
  <c r="U20" i="8"/>
  <c r="U19" i="8"/>
  <c r="U18" i="8"/>
  <c r="U17" i="8"/>
  <c r="U16" i="8"/>
  <c r="U15" i="8"/>
  <c r="U14" i="8"/>
  <c r="U13" i="8"/>
  <c r="U12" i="8"/>
  <c r="U11" i="8"/>
  <c r="U10" i="8"/>
  <c r="U9" i="8"/>
  <c r="U8" i="8"/>
  <c r="U7" i="8"/>
  <c r="U6" i="8"/>
  <c r="U5" i="8"/>
  <c r="AC47" i="1"/>
  <c r="U48" i="5" s="1"/>
  <c r="AC46" i="1"/>
  <c r="AC45" i="1"/>
  <c r="CQ22" i="3" s="1"/>
  <c r="AC43" i="1"/>
  <c r="AC44" i="1" s="1"/>
  <c r="CQ23" i="3" s="1"/>
  <c r="CT22" i="3" s="1"/>
  <c r="CQ24" i="3" s="1"/>
  <c r="AC42" i="1"/>
  <c r="U10" i="5" s="1"/>
  <c r="AC41" i="1"/>
  <c r="CQ11" i="3" s="1"/>
  <c r="T40" i="5"/>
  <c r="T38" i="5"/>
  <c r="T33" i="5"/>
  <c r="T32" i="5"/>
  <c r="T31" i="5"/>
  <c r="T30" i="5"/>
  <c r="T29" i="5"/>
  <c r="T28" i="5"/>
  <c r="T27" i="5"/>
  <c r="T26" i="5"/>
  <c r="T25" i="5"/>
  <c r="T24" i="5"/>
  <c r="T23" i="5"/>
  <c r="T20" i="5"/>
  <c r="T19" i="5"/>
  <c r="T44" i="5" s="1"/>
  <c r="T18" i="5"/>
  <c r="T17" i="5"/>
  <c r="T16" i="5"/>
  <c r="T15" i="5"/>
  <c r="T13" i="5"/>
  <c r="T12" i="5"/>
  <c r="T11" i="5"/>
  <c r="T22" i="5" s="1"/>
  <c r="T9" i="5"/>
  <c r="T8" i="5"/>
  <c r="T7" i="5"/>
  <c r="T6" i="5"/>
  <c r="T5" i="5"/>
  <c r="T25" i="6"/>
  <c r="AN25" i="6" s="1"/>
  <c r="T24" i="6"/>
  <c r="AN24" i="6" s="1"/>
  <c r="T23" i="6"/>
  <c r="T22" i="6"/>
  <c r="T21" i="6"/>
  <c r="T20" i="6"/>
  <c r="AN20" i="6" s="1"/>
  <c r="T19" i="6"/>
  <c r="T18" i="6"/>
  <c r="T17" i="6"/>
  <c r="AN17" i="6" s="1"/>
  <c r="T16" i="6"/>
  <c r="AN16" i="6" s="1"/>
  <c r="T14" i="6"/>
  <c r="T13" i="6"/>
  <c r="T12" i="6"/>
  <c r="T11" i="6"/>
  <c r="T10" i="6"/>
  <c r="T9" i="6"/>
  <c r="T8" i="6"/>
  <c r="T7" i="6"/>
  <c r="T6" i="6"/>
  <c r="T5" i="6"/>
  <c r="CV81" i="3"/>
  <c r="CY80" i="3" s="1"/>
  <c r="CL81" i="3"/>
  <c r="CL78" i="3"/>
  <c r="CL80" i="3" s="1"/>
  <c r="CL76" i="3"/>
  <c r="CL71" i="3"/>
  <c r="CL65" i="3"/>
  <c r="CO64" i="3" s="1"/>
  <c r="CL64" i="3"/>
  <c r="CL54" i="3"/>
  <c r="CL53" i="3"/>
  <c r="CL55" i="3" s="1"/>
  <c r="CL50" i="3"/>
  <c r="CL45" i="3"/>
  <c r="CL44" i="3"/>
  <c r="CL46" i="3" s="1"/>
  <c r="CO45" i="3" s="1"/>
  <c r="CL43" i="3"/>
  <c r="CL39" i="3"/>
  <c r="CL41" i="3" s="1"/>
  <c r="CL35" i="3"/>
  <c r="CL33" i="3"/>
  <c r="CL31" i="3"/>
  <c r="CL30" i="3"/>
  <c r="CL19" i="3"/>
  <c r="CQ63" i="3" s="1"/>
  <c r="CL15" i="3"/>
  <c r="CQ61" i="3" s="1"/>
  <c r="CL12" i="3"/>
  <c r="CL70" i="3" s="1"/>
  <c r="CL9" i="3"/>
  <c r="CL51" i="3" s="1"/>
  <c r="CO50" i="3" s="1"/>
  <c r="CL7" i="3"/>
  <c r="CL6" i="3"/>
  <c r="CL40" i="3" s="1"/>
  <c r="V70" i="7"/>
  <c r="V71" i="7" s="1"/>
  <c r="V69" i="7"/>
  <c r="V68" i="7"/>
  <c r="V64" i="7"/>
  <c r="V51" i="7"/>
  <c r="V44" i="7"/>
  <c r="V40" i="7"/>
  <c r="V35" i="7"/>
  <c r="V34" i="7"/>
  <c r="V30" i="7"/>
  <c r="V29" i="7"/>
  <c r="V28" i="7"/>
  <c r="V16" i="7"/>
  <c r="V15" i="7"/>
  <c r="V14" i="7"/>
  <c r="V13" i="7"/>
  <c r="V11" i="7"/>
  <c r="V10" i="7"/>
  <c r="V9" i="7"/>
  <c r="V8" i="7"/>
  <c r="V7" i="7"/>
  <c r="V6" i="7"/>
  <c r="V5" i="7"/>
  <c r="V4" i="7"/>
  <c r="T14" i="9"/>
  <c r="T13" i="9"/>
  <c r="T12" i="9"/>
  <c r="T11" i="9"/>
  <c r="T10" i="9"/>
  <c r="T21" i="9" s="1"/>
  <c r="T9" i="9"/>
  <c r="T8" i="9"/>
  <c r="T7" i="9"/>
  <c r="T6" i="9"/>
  <c r="T4" i="9"/>
  <c r="T35" i="8"/>
  <c r="T30" i="8"/>
  <c r="T29" i="8"/>
  <c r="T28" i="8"/>
  <c r="T19" i="8"/>
  <c r="T17" i="8"/>
  <c r="T14" i="8"/>
  <c r="T13" i="8"/>
  <c r="T12" i="8"/>
  <c r="V10" i="8"/>
  <c r="T10" i="8"/>
  <c r="T36" i="8"/>
  <c r="T31" i="8"/>
  <c r="T20" i="8"/>
  <c r="T18" i="8"/>
  <c r="T16" i="8"/>
  <c r="T15" i="8"/>
  <c r="T11" i="8"/>
  <c r="T9" i="8"/>
  <c r="T8" i="8"/>
  <c r="T7" i="8"/>
  <c r="T6" i="8"/>
  <c r="T5" i="8"/>
  <c r="AB47" i="1"/>
  <c r="T48" i="5" s="1"/>
  <c r="AB46" i="1"/>
  <c r="AB45" i="1"/>
  <c r="CL22" i="3" s="1"/>
  <c r="AB43" i="1"/>
  <c r="AB44" i="1" s="1"/>
  <c r="CL23" i="3" s="1"/>
  <c r="CO22" i="3" s="1"/>
  <c r="CL24"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S24" i="6"/>
  <c r="S23" i="6"/>
  <c r="S22" i="6"/>
  <c r="S21" i="6"/>
  <c r="S20" i="6"/>
  <c r="S19" i="6"/>
  <c r="S18" i="6"/>
  <c r="S17" i="6"/>
  <c r="AM17" i="6" s="1"/>
  <c r="S16" i="6"/>
  <c r="S14" i="6"/>
  <c r="S13" i="6"/>
  <c r="S12" i="6"/>
  <c r="S11" i="6"/>
  <c r="S10" i="6"/>
  <c r="S9" i="6"/>
  <c r="S8" i="6"/>
  <c r="S7" i="6"/>
  <c r="S6" i="6"/>
  <c r="S5" i="6"/>
  <c r="CG81" i="3"/>
  <c r="CV78" i="3"/>
  <c r="CV80" i="3" s="1"/>
  <c r="CG78" i="3"/>
  <c r="CG80" i="3" s="1"/>
  <c r="CV76" i="3"/>
  <c r="CG76" i="3"/>
  <c r="CV71" i="3"/>
  <c r="CG71" i="3"/>
  <c r="CG64" i="3"/>
  <c r="CV54" i="3"/>
  <c r="CG54" i="3"/>
  <c r="CV53" i="3"/>
  <c r="CV55" i="3" s="1"/>
  <c r="CG53" i="3"/>
  <c r="CV50" i="3"/>
  <c r="CG50" i="3"/>
  <c r="CV45" i="3"/>
  <c r="CG45" i="3"/>
  <c r="CG44" i="3"/>
  <c r="CV44" i="3"/>
  <c r="CV43" i="3"/>
  <c r="CG43" i="3"/>
  <c r="CV39" i="3"/>
  <c r="CV41" i="3" s="1"/>
  <c r="CG39" i="3"/>
  <c r="CV35" i="3"/>
  <c r="CG35" i="3"/>
  <c r="CV33" i="3"/>
  <c r="CG33" i="3"/>
  <c r="CV31" i="3"/>
  <c r="CG31" i="3"/>
  <c r="CV30" i="3"/>
  <c r="CG30" i="3"/>
  <c r="CV19" i="3"/>
  <c r="CG19" i="3"/>
  <c r="CV15" i="3"/>
  <c r="CG15" i="3"/>
  <c r="CL61" i="3" s="1"/>
  <c r="CV12" i="3"/>
  <c r="CV70" i="3" s="1"/>
  <c r="CG12" i="3"/>
  <c r="CL59" i="3" s="1"/>
  <c r="CV9" i="3"/>
  <c r="CG9" i="3"/>
  <c r="CV7" i="3"/>
  <c r="CV49" i="3" s="1"/>
  <c r="CV6" i="3"/>
  <c r="CV17" i="3" s="1"/>
  <c r="CG7" i="3"/>
  <c r="CL66" i="3" s="1"/>
  <c r="CG6" i="3"/>
  <c r="CV32" i="3"/>
  <c r="CY31" i="3" s="1"/>
  <c r="U70" i="7"/>
  <c r="U71" i="7" s="1"/>
  <c r="U69" i="7"/>
  <c r="U68" i="7"/>
  <c r="U64" i="7"/>
  <c r="U51" i="7"/>
  <c r="U44" i="7"/>
  <c r="U40" i="7"/>
  <c r="U35" i="7"/>
  <c r="U34" i="7"/>
  <c r="U30" i="7"/>
  <c r="U29" i="7"/>
  <c r="U28" i="7"/>
  <c r="U16" i="7"/>
  <c r="U15" i="7"/>
  <c r="U14" i="7"/>
  <c r="U13" i="7"/>
  <c r="U11" i="7"/>
  <c r="U10" i="7"/>
  <c r="U9" i="7"/>
  <c r="U8" i="7"/>
  <c r="U7" i="7"/>
  <c r="U6" i="7"/>
  <c r="U5" i="7"/>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V40" i="5"/>
  <c r="V31" i="5"/>
  <c r="V24" i="5"/>
  <c r="V23" i="5"/>
  <c r="V20" i="5"/>
  <c r="V19" i="5"/>
  <c r="V18" i="5"/>
  <c r="V17" i="5"/>
  <c r="V16" i="5"/>
  <c r="V15" i="5"/>
  <c r="V13" i="5"/>
  <c r="V12" i="5"/>
  <c r="V11" i="5"/>
  <c r="V22" i="5" s="1"/>
  <c r="V9" i="5"/>
  <c r="V8" i="5"/>
  <c r="V7" i="5"/>
  <c r="V6" i="5"/>
  <c r="V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Y40" i="3" l="1"/>
  <c r="CV60" i="3"/>
  <c r="CY43" i="3"/>
  <c r="CY53" i="3"/>
  <c r="W66" i="7"/>
  <c r="CV61" i="3"/>
  <c r="U32" i="6"/>
  <c r="U49" i="5"/>
  <c r="U22" i="8"/>
  <c r="W60" i="7" s="1"/>
  <c r="U20" i="9"/>
  <c r="CT11" i="3"/>
  <c r="CQ58" i="3"/>
  <c r="CQ60" i="3"/>
  <c r="CT60" i="3" s="1"/>
  <c r="CQ62" i="3"/>
  <c r="CT62" i="3" s="1"/>
  <c r="AO5" i="6"/>
  <c r="U5" i="9"/>
  <c r="U17" i="9" s="1"/>
  <c r="W63" i="7"/>
  <c r="CT40" i="3"/>
  <c r="CV58" i="3"/>
  <c r="CQ69" i="3"/>
  <c r="W24" i="7"/>
  <c r="CT6" i="3"/>
  <c r="CQ13" i="3"/>
  <c r="CQ59" i="3"/>
  <c r="U34" i="6"/>
  <c r="U30" i="6"/>
  <c r="AO22" i="6"/>
  <c r="W48" i="7"/>
  <c r="W33" i="7"/>
  <c r="W59" i="7"/>
  <c r="CQ66" i="3"/>
  <c r="U29" i="6"/>
  <c r="AO23" i="6"/>
  <c r="U37" i="5"/>
  <c r="CT53" i="3"/>
  <c r="CV67" i="3"/>
  <c r="CY66" i="3" s="1"/>
  <c r="U27" i="6"/>
  <c r="S37" i="8"/>
  <c r="S24" i="8" s="1"/>
  <c r="U21" i="9"/>
  <c r="W54" i="7"/>
  <c r="W20" i="7"/>
  <c r="CQ48" i="3"/>
  <c r="CT43" i="3"/>
  <c r="CV66" i="3"/>
  <c r="U34" i="5"/>
  <c r="U36" i="5" s="1"/>
  <c r="U46" i="5"/>
  <c r="U39" i="5"/>
  <c r="U43" i="5"/>
  <c r="S31" i="6"/>
  <c r="U31" i="6"/>
  <c r="U35" i="6"/>
  <c r="U33" i="6"/>
  <c r="U28" i="6"/>
  <c r="AN10" i="6"/>
  <c r="AN7" i="6"/>
  <c r="AN11" i="6"/>
  <c r="CQ14" i="3"/>
  <c r="CT13" i="3" s="1"/>
  <c r="CQ70" i="3"/>
  <c r="CQ18" i="3"/>
  <c r="CQ27" i="3"/>
  <c r="CT27" i="3" s="1"/>
  <c r="CQ79" i="3"/>
  <c r="CT78" i="3" s="1"/>
  <c r="CQ8" i="3"/>
  <c r="CQ17" i="3"/>
  <c r="CV14" i="3"/>
  <c r="CT8" i="3"/>
  <c r="CQ20" i="3"/>
  <c r="CT19" i="3" s="1"/>
  <c r="CQ49" i="3"/>
  <c r="CT58" i="3"/>
  <c r="CT66" i="3"/>
  <c r="CQ56" i="3"/>
  <c r="CT55" i="3" s="1"/>
  <c r="CQ74" i="3"/>
  <c r="CQ16" i="3"/>
  <c r="CT15" i="3" s="1"/>
  <c r="CQ25" i="3"/>
  <c r="CT24" i="3" s="1"/>
  <c r="CQ29" i="3"/>
  <c r="CT29" i="3" s="1"/>
  <c r="CQ34" i="3"/>
  <c r="CT33" i="3" s="1"/>
  <c r="CQ38" i="3"/>
  <c r="CT38" i="3" s="1"/>
  <c r="V33" i="7"/>
  <c r="W18" i="7"/>
  <c r="W22" i="7"/>
  <c r="W27" i="7"/>
  <c r="W32" i="7"/>
  <c r="W21" i="7"/>
  <c r="W19" i="7"/>
  <c r="V56" i="7"/>
  <c r="U18" i="9"/>
  <c r="U25" i="8"/>
  <c r="U26" i="8" s="1"/>
  <c r="U40" i="8" s="1"/>
  <c r="U39" i="8"/>
  <c r="CV8" i="3"/>
  <c r="CY8" i="3" s="1"/>
  <c r="V26" i="7"/>
  <c r="CL8" i="3"/>
  <c r="CL58" i="3"/>
  <c r="CL17" i="3"/>
  <c r="AN9" i="6"/>
  <c r="AN22" i="6"/>
  <c r="AN19" i="6"/>
  <c r="T28" i="6"/>
  <c r="T32" i="6"/>
  <c r="T35" i="6" s="1"/>
  <c r="T35" i="5"/>
  <c r="S47" i="5"/>
  <c r="AN12" i="6"/>
  <c r="T47" i="5"/>
  <c r="AN8" i="6"/>
  <c r="AN13" i="6"/>
  <c r="V66" i="7"/>
  <c r="CL69" i="3"/>
  <c r="CO69" i="3" s="1"/>
  <c r="AN6" i="6"/>
  <c r="CO80" i="3"/>
  <c r="T34" i="5"/>
  <c r="U57" i="7"/>
  <c r="AN21" i="6"/>
  <c r="T45" i="5"/>
  <c r="CV28" i="3"/>
  <c r="CY27" i="3" s="1"/>
  <c r="AM22" i="6"/>
  <c r="T37" i="5"/>
  <c r="V57" i="7"/>
  <c r="CO6" i="3"/>
  <c r="V48" i="7"/>
  <c r="V20" i="7"/>
  <c r="T41" i="5"/>
  <c r="V54" i="7"/>
  <c r="AN18" i="6"/>
  <c r="CO11" i="3"/>
  <c r="V63" i="7"/>
  <c r="CL14" i="3"/>
  <c r="CO13" i="3" s="1"/>
  <c r="CO8" i="3"/>
  <c r="CL60" i="3"/>
  <c r="T49" i="5"/>
  <c r="CY60" i="3"/>
  <c r="T20" i="9"/>
  <c r="V12" i="7"/>
  <c r="V25" i="7" s="1"/>
  <c r="CL36" i="3"/>
  <c r="CO35" i="3" s="1"/>
  <c r="AN5" i="6"/>
  <c r="T5" i="9"/>
  <c r="T17" i="9" s="1"/>
  <c r="T10" i="5"/>
  <c r="CY62" i="3"/>
  <c r="CL62" i="3"/>
  <c r="CO40" i="3"/>
  <c r="CL63" i="3"/>
  <c r="CO53" i="3"/>
  <c r="V50" i="7"/>
  <c r="CL48" i="3"/>
  <c r="R44" i="5"/>
  <c r="S41" i="5"/>
  <c r="AM21" i="6"/>
  <c r="T37" i="8"/>
  <c r="T24" i="8" s="1"/>
  <c r="AN23" i="6"/>
  <c r="T46" i="5"/>
  <c r="S21" i="9"/>
  <c r="CY64" i="3"/>
  <c r="CL67" i="3"/>
  <c r="T43" i="5"/>
  <c r="S35" i="5"/>
  <c r="S44" i="5"/>
  <c r="AM18" i="6"/>
  <c r="AM6" i="6"/>
  <c r="AM7" i="6"/>
  <c r="AM11" i="6"/>
  <c r="AM16" i="6"/>
  <c r="AM20" i="6"/>
  <c r="AM24" i="6"/>
  <c r="T31" i="6"/>
  <c r="T27" i="6"/>
  <c r="T30" i="6"/>
  <c r="T29" i="6"/>
  <c r="AM9" i="6"/>
  <c r="S27" i="6"/>
  <c r="S30" i="6"/>
  <c r="AM25" i="6"/>
  <c r="AM10" i="6"/>
  <c r="AM19" i="6"/>
  <c r="S28" i="6"/>
  <c r="CO43" i="3"/>
  <c r="CL18" i="3"/>
  <c r="CO17" i="3" s="1"/>
  <c r="CL27" i="3"/>
  <c r="CL32" i="3"/>
  <c r="CO31" i="3" s="1"/>
  <c r="CL28" i="3"/>
  <c r="CO27" i="3" s="1"/>
  <c r="CL79" i="3"/>
  <c r="CO78" i="3" s="1"/>
  <c r="CL20" i="3"/>
  <c r="CO19" i="3" s="1"/>
  <c r="CL49" i="3"/>
  <c r="CO48" i="3" s="1"/>
  <c r="CL56" i="3"/>
  <c r="CO55" i="3" s="1"/>
  <c r="CL74" i="3"/>
  <c r="CL16" i="3"/>
  <c r="CO15" i="3" s="1"/>
  <c r="CL25" i="3"/>
  <c r="CO24" i="3" s="1"/>
  <c r="CL29" i="3"/>
  <c r="CO29" i="3" s="1"/>
  <c r="CL34" i="3"/>
  <c r="CO33" i="3" s="1"/>
  <c r="CL38" i="3"/>
  <c r="CO38" i="3" s="1"/>
  <c r="V22" i="7"/>
  <c r="V27" i="7"/>
  <c r="V32" i="7"/>
  <c r="V24" i="7"/>
  <c r="V53" i="7"/>
  <c r="V21" i="7"/>
  <c r="V19" i="7"/>
  <c r="U48" i="7"/>
  <c r="U33" i="7"/>
  <c r="U54" i="7"/>
  <c r="U24" i="7"/>
  <c r="U56" i="7"/>
  <c r="U26" i="7"/>
  <c r="T18" i="9"/>
  <c r="S33" i="8"/>
  <c r="CV51" i="3"/>
  <c r="CY50" i="3" s="1"/>
  <c r="U50" i="7"/>
  <c r="AM23" i="6"/>
  <c r="S46" i="5"/>
  <c r="U20" i="7"/>
  <c r="S37" i="5"/>
  <c r="CV48" i="3"/>
  <c r="CY48" i="3" s="1"/>
  <c r="S45" i="5"/>
  <c r="T22" i="8"/>
  <c r="T33" i="8"/>
  <c r="U66" i="7"/>
  <c r="AM8" i="6"/>
  <c r="AM12" i="6"/>
  <c r="S20" i="9"/>
  <c r="U12" i="7"/>
  <c r="U25" i="7" s="1"/>
  <c r="AM13" i="6"/>
  <c r="S10" i="5"/>
  <c r="R47" i="5"/>
  <c r="U63" i="7"/>
  <c r="S49" i="5"/>
  <c r="S34" i="5"/>
  <c r="CG69" i="3"/>
  <c r="S32" i="6"/>
  <c r="S33" i="6" s="1"/>
  <c r="S5" i="9"/>
  <c r="S17" i="9" s="1"/>
  <c r="AM5" i="6"/>
  <c r="S22" i="8"/>
  <c r="S43" i="5"/>
  <c r="V46" i="5"/>
  <c r="V37" i="5"/>
  <c r="S29" i="6"/>
  <c r="CV46" i="3"/>
  <c r="CY45" i="3" s="1"/>
  <c r="CV27" i="3"/>
  <c r="CV79" i="3"/>
  <c r="CY78" i="3" s="1"/>
  <c r="CY6" i="3"/>
  <c r="CV40" i="3"/>
  <c r="CV18" i="3"/>
  <c r="CY17" i="3" s="1"/>
  <c r="CV36" i="3"/>
  <c r="CY35" i="3" s="1"/>
  <c r="CV56" i="3"/>
  <c r="CY55" i="3" s="1"/>
  <c r="CV74" i="3"/>
  <c r="CV20" i="3"/>
  <c r="CY19" i="3" s="1"/>
  <c r="CV16" i="3"/>
  <c r="CY15" i="3" s="1"/>
  <c r="CV25" i="3"/>
  <c r="CV29" i="3"/>
  <c r="CY29" i="3" s="1"/>
  <c r="CV34" i="3"/>
  <c r="CY33" i="3" s="1"/>
  <c r="CV38" i="3"/>
  <c r="CY38" i="3" s="1"/>
  <c r="U22" i="7"/>
  <c r="U27" i="7"/>
  <c r="U32" i="7"/>
  <c r="U19" i="7"/>
  <c r="U53" i="7"/>
  <c r="V47" i="5"/>
  <c r="V35" i="5"/>
  <c r="R35" i="5"/>
  <c r="R37" i="5"/>
  <c r="R34" i="5"/>
  <c r="R43" i="5"/>
  <c r="V45" i="5"/>
  <c r="V41" i="5"/>
  <c r="V44" i="5"/>
  <c r="R46" i="5"/>
  <c r="R41" i="5"/>
  <c r="V34" i="5"/>
  <c r="V43" i="5"/>
  <c r="R45" i="5"/>
  <c r="R25" i="6"/>
  <c r="AL25" i="6" s="1"/>
  <c r="R24" i="6"/>
  <c r="R23" i="6"/>
  <c r="R22" i="6"/>
  <c r="R21" i="6"/>
  <c r="R20" i="6"/>
  <c r="R19" i="6"/>
  <c r="R18" i="6"/>
  <c r="R17" i="6"/>
  <c r="AL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B15" i="3"/>
  <c r="CO60" i="3" s="1"/>
  <c r="CB12" i="3"/>
  <c r="CB9" i="3"/>
  <c r="CB56" i="3" s="1"/>
  <c r="CB7" i="3"/>
  <c r="CB6" i="3"/>
  <c r="CB17" i="3" s="1"/>
  <c r="CB81" i="3"/>
  <c r="BW81" i="3"/>
  <c r="BR81" i="3"/>
  <c r="BM81" i="3"/>
  <c r="BH81" i="3"/>
  <c r="BC81" i="3"/>
  <c r="AX81" i="3"/>
  <c r="AS81" i="3"/>
  <c r="AN81" i="3"/>
  <c r="AI81" i="3"/>
  <c r="AD81" i="3"/>
  <c r="Y81" i="3"/>
  <c r="T81" i="3"/>
  <c r="O81" i="3"/>
  <c r="J81" i="3"/>
  <c r="E81" i="3"/>
  <c r="X70" i="7"/>
  <c r="X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CQ72" i="3" l="1"/>
  <c r="CT71" i="3" s="1"/>
  <c r="CQ73" i="3"/>
  <c r="CQ75" i="3" s="1"/>
  <c r="CT75" i="3" s="1"/>
  <c r="CO62" i="3"/>
  <c r="CO73" i="3"/>
  <c r="CT73" i="3"/>
  <c r="CT17" i="3"/>
  <c r="U19" i="9"/>
  <c r="T33" i="6"/>
  <c r="CT69" i="3"/>
  <c r="W61" i="7"/>
  <c r="T39" i="5"/>
  <c r="CT48" i="3"/>
  <c r="S36" i="5"/>
  <c r="T34" i="6"/>
  <c r="U41" i="8"/>
  <c r="T36" i="5"/>
  <c r="V18" i="7"/>
  <c r="T19" i="9"/>
  <c r="S25" i="8"/>
  <c r="S26" i="8" s="1"/>
  <c r="S40" i="8" s="1"/>
  <c r="S35" i="6"/>
  <c r="CL72" i="3"/>
  <c r="CO71" i="3" s="1"/>
  <c r="CL73" i="3"/>
  <c r="CL75" i="3" s="1"/>
  <c r="CO75" i="3" s="1"/>
  <c r="AL21" i="6"/>
  <c r="S34" i="6"/>
  <c r="CY58" i="3"/>
  <c r="T39" i="8"/>
  <c r="V60" i="7"/>
  <c r="V59" i="7"/>
  <c r="CB70" i="3"/>
  <c r="CO58" i="3"/>
  <c r="CG67" i="3"/>
  <c r="CO66" i="3"/>
  <c r="U21" i="7"/>
  <c r="U18" i="7"/>
  <c r="T25" i="8"/>
  <c r="T26" i="8" s="1"/>
  <c r="T40" i="8" s="1"/>
  <c r="S39" i="8"/>
  <c r="S39" i="5"/>
  <c r="S19" i="9"/>
  <c r="V36" i="5"/>
  <c r="S18" i="9"/>
  <c r="U59" i="7"/>
  <c r="U60" i="7"/>
  <c r="R36" i="5"/>
  <c r="R39" i="5"/>
  <c r="R27" i="6"/>
  <c r="AL18" i="6"/>
  <c r="R30" i="6"/>
  <c r="AL19" i="6"/>
  <c r="AL16" i="6"/>
  <c r="AL20" i="6"/>
  <c r="AL24" i="6"/>
  <c r="AL6" i="6"/>
  <c r="AL10" i="6"/>
  <c r="V39" i="5"/>
  <c r="CB69" i="3"/>
  <c r="R48" i="5"/>
  <c r="R49" i="5" s="1"/>
  <c r="R31" i="6"/>
  <c r="CE53" i="3"/>
  <c r="R28" i="6"/>
  <c r="AL12" i="6"/>
  <c r="CB13" i="3"/>
  <c r="T12" i="7"/>
  <c r="T21" i="7" s="1"/>
  <c r="R32" i="6"/>
  <c r="R33" i="6" s="1"/>
  <c r="T63" i="7"/>
  <c r="T66" i="7"/>
  <c r="AL9" i="6"/>
  <c r="AL7" i="6"/>
  <c r="AL11" i="6"/>
  <c r="R5" i="9"/>
  <c r="CG61" i="3"/>
  <c r="CG59" i="3"/>
  <c r="CG63" i="3"/>
  <c r="AL8" i="6"/>
  <c r="CE69" i="3"/>
  <c r="AL5" i="6"/>
  <c r="AL13" i="6"/>
  <c r="CB79" i="3"/>
  <c r="CE78" i="3" s="1"/>
  <c r="T53" i="7"/>
  <c r="CE64" i="3"/>
  <c r="AL22" i="6"/>
  <c r="AL23" i="6"/>
  <c r="CE55" i="3"/>
  <c r="R29" i="6"/>
  <c r="CE80" i="3"/>
  <c r="T54" i="7"/>
  <c r="T26" i="7"/>
  <c r="R21" i="9"/>
  <c r="R37" i="8"/>
  <c r="R24" i="8" s="1"/>
  <c r="R33" i="8"/>
  <c r="R22" i="8"/>
  <c r="CB51" i="3"/>
  <c r="CE50" i="3" s="1"/>
  <c r="CB48" i="3"/>
  <c r="T50" i="7"/>
  <c r="CB49" i="3"/>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E13" i="3" s="1"/>
  <c r="CB27" i="3"/>
  <c r="CB32" i="3"/>
  <c r="CE31" i="3" s="1"/>
  <c r="P42" i="1"/>
  <c r="CE48" i="3" l="1"/>
  <c r="U61" i="7"/>
  <c r="S41" i="8"/>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K25" i="6" s="1"/>
  <c r="Q24" i="6"/>
  <c r="Q23" i="6"/>
  <c r="Q22" i="6"/>
  <c r="Q21" i="6"/>
  <c r="Q20" i="6"/>
  <c r="Q19" i="6"/>
  <c r="Q18" i="6"/>
  <c r="Q17" i="6"/>
  <c r="AK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S57" i="7" l="1"/>
  <c r="Q34" i="6"/>
  <c r="S32" i="7"/>
  <c r="AK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K18" i="6"/>
  <c r="AK22" i="6"/>
  <c r="Q35" i="5"/>
  <c r="Q41" i="5"/>
  <c r="S54" i="7"/>
  <c r="AK19" i="6"/>
  <c r="AK23" i="6"/>
  <c r="AK16" i="6"/>
  <c r="AK20" i="6"/>
  <c r="AK24" i="6"/>
  <c r="Q44" i="5"/>
  <c r="AK9" i="6"/>
  <c r="AK13" i="6"/>
  <c r="Q35" i="6"/>
  <c r="AK6" i="6"/>
  <c r="AK10" i="6"/>
  <c r="AK7" i="6"/>
  <c r="AK11" i="6"/>
  <c r="BZ22" i="3"/>
  <c r="BW24" i="3" s="1"/>
  <c r="AK8" i="6"/>
  <c r="AK12" i="6"/>
  <c r="AK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Z38" i="3" s="1"/>
  <c r="BW48" i="3"/>
  <c r="BW8" i="3"/>
  <c r="BZ8" i="3" s="1"/>
  <c r="BW14" i="3"/>
  <c r="BZ13" i="3" s="1"/>
  <c r="BW27" i="3"/>
  <c r="BW32" i="3"/>
  <c r="BZ31" i="3" s="1"/>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J25" i="6" s="1"/>
  <c r="P24" i="6"/>
  <c r="P23" i="6"/>
  <c r="P22" i="6"/>
  <c r="P21" i="6"/>
  <c r="AJ21" i="6" s="1"/>
  <c r="P20" i="6"/>
  <c r="P19" i="6"/>
  <c r="P18" i="6"/>
  <c r="P17" i="6"/>
  <c r="AJ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V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J6" i="6"/>
  <c r="AJ7" i="6"/>
  <c r="AJ12" i="6"/>
  <c r="P20" i="9"/>
  <c r="P21" i="9"/>
  <c r="BR46" i="3"/>
  <c r="BU45" i="3" s="1"/>
  <c r="P31" i="6"/>
  <c r="AJ11" i="6"/>
  <c r="P27" i="6"/>
  <c r="AJ18" i="6"/>
  <c r="P30" i="6"/>
  <c r="AJ19" i="6"/>
  <c r="P28" i="6"/>
  <c r="P33" i="8"/>
  <c r="P37" i="8"/>
  <c r="P24" i="8" s="1"/>
  <c r="AJ16" i="6"/>
  <c r="AJ20" i="6"/>
  <c r="AJ24" i="6"/>
  <c r="P44" i="5"/>
  <c r="P35" i="5"/>
  <c r="AJ9" i="6"/>
  <c r="AJ10" i="6"/>
  <c r="P49" i="5"/>
  <c r="BU22" i="3"/>
  <c r="BR24" i="3" s="1"/>
  <c r="P19" i="9"/>
  <c r="BR72" i="3"/>
  <c r="BU71" i="3" s="1"/>
  <c r="BU75" i="3"/>
  <c r="P17" i="9"/>
  <c r="P34" i="6"/>
  <c r="P22" i="8"/>
  <c r="R59" i="7" s="1"/>
  <c r="AJ8" i="6"/>
  <c r="R27" i="7"/>
  <c r="AJ5" i="6"/>
  <c r="AJ13" i="6"/>
  <c r="BU11" i="3"/>
  <c r="P18" i="9"/>
  <c r="R48" i="7"/>
  <c r="R32" i="7"/>
  <c r="R54" i="7"/>
  <c r="R50" i="7"/>
  <c r="R18" i="7"/>
  <c r="P45" i="5"/>
  <c r="AJ22" i="6"/>
  <c r="P46" i="5"/>
  <c r="P41" i="5"/>
  <c r="AJ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I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I7" i="6"/>
  <c r="P41" i="8"/>
  <c r="O41" i="5"/>
  <c r="AI13" i="6"/>
  <c r="AI8" i="6"/>
  <c r="AI6" i="6"/>
  <c r="AI24" i="6"/>
  <c r="AI11" i="6"/>
  <c r="O46" i="5"/>
  <c r="O35" i="5"/>
  <c r="AI10" i="6"/>
  <c r="AI12" i="6"/>
  <c r="AI9" i="6"/>
  <c r="AI21" i="6"/>
  <c r="AI25" i="6"/>
  <c r="O44" i="5"/>
  <c r="O37" i="5"/>
  <c r="AI18" i="6"/>
  <c r="AI22" i="6"/>
  <c r="O31" i="6"/>
  <c r="O27" i="6"/>
  <c r="O30" i="6"/>
  <c r="O35" i="6"/>
  <c r="O49" i="5"/>
  <c r="AI19" i="6"/>
  <c r="AI23" i="6"/>
  <c r="O28" i="6"/>
  <c r="AI17" i="6"/>
  <c r="O34" i="5"/>
  <c r="O45" i="5"/>
  <c r="AI16" i="6"/>
  <c r="AI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V35" i="8"/>
  <c r="V37" i="8" s="1"/>
  <c r="V24" i="8" s="1"/>
  <c r="V30" i="8"/>
  <c r="V19" i="8"/>
  <c r="V17" i="8"/>
  <c r="V14" i="8"/>
  <c r="V13" i="8"/>
  <c r="V9" i="8"/>
  <c r="V8" i="8"/>
  <c r="V7" i="8"/>
  <c r="V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V22" i="8"/>
  <c r="V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V25" i="8"/>
  <c r="V26" i="8" s="1"/>
  <c r="V40" i="8" s="1"/>
  <c r="V39" i="8"/>
  <c r="Q60" i="7"/>
  <c r="Q59" i="7"/>
  <c r="A2" i="9"/>
  <c r="Q61" i="7" l="1"/>
  <c r="V41" i="8"/>
  <c r="D14" i="9"/>
  <c r="E14" i="9"/>
  <c r="F14" i="9"/>
  <c r="G14" i="9"/>
  <c r="H14" i="9"/>
  <c r="I14" i="9"/>
  <c r="J14" i="9"/>
  <c r="K14" i="9"/>
  <c r="L14" i="9"/>
  <c r="M14" i="9"/>
  <c r="N14" i="9"/>
  <c r="V14" i="9"/>
  <c r="C14" i="9"/>
  <c r="D13" i="9"/>
  <c r="E13" i="9"/>
  <c r="F13" i="9"/>
  <c r="G13" i="9"/>
  <c r="H13" i="9"/>
  <c r="I13" i="9"/>
  <c r="J13" i="9"/>
  <c r="K13" i="9"/>
  <c r="L13" i="9"/>
  <c r="M13" i="9"/>
  <c r="N13" i="9"/>
  <c r="V13" i="9"/>
  <c r="C13" i="9"/>
  <c r="D12" i="9"/>
  <c r="E12" i="9"/>
  <c r="F12" i="9"/>
  <c r="G12" i="9"/>
  <c r="H12" i="9"/>
  <c r="I12" i="9"/>
  <c r="J12" i="9"/>
  <c r="K12" i="9"/>
  <c r="L12" i="9"/>
  <c r="M12" i="9"/>
  <c r="N12" i="9"/>
  <c r="V12" i="9"/>
  <c r="C12" i="9"/>
  <c r="D11" i="9"/>
  <c r="E11" i="9"/>
  <c r="F11" i="9"/>
  <c r="G11" i="9"/>
  <c r="H11" i="9"/>
  <c r="I11" i="9"/>
  <c r="J11" i="9"/>
  <c r="K11" i="9"/>
  <c r="L11" i="9"/>
  <c r="M11" i="9"/>
  <c r="N11" i="9"/>
  <c r="V11" i="9"/>
  <c r="C11" i="9"/>
  <c r="D10" i="9"/>
  <c r="E10" i="9"/>
  <c r="F10" i="9"/>
  <c r="G10" i="9"/>
  <c r="H10" i="9"/>
  <c r="I10" i="9"/>
  <c r="J10" i="9"/>
  <c r="K10" i="9"/>
  <c r="L10" i="9"/>
  <c r="M10" i="9"/>
  <c r="M21" i="9" s="1"/>
  <c r="N10" i="9"/>
  <c r="V10" i="9"/>
  <c r="C10" i="9"/>
  <c r="D9" i="9"/>
  <c r="E9" i="9"/>
  <c r="F9" i="9"/>
  <c r="G9" i="9"/>
  <c r="H9" i="9"/>
  <c r="I9" i="9"/>
  <c r="J9" i="9"/>
  <c r="K9" i="9"/>
  <c r="L9" i="9"/>
  <c r="M9" i="9"/>
  <c r="N9" i="9"/>
  <c r="V9" i="9"/>
  <c r="C9" i="9"/>
  <c r="D8" i="9"/>
  <c r="E8" i="9"/>
  <c r="F8" i="9"/>
  <c r="G8" i="9"/>
  <c r="H8" i="9"/>
  <c r="I8" i="9"/>
  <c r="J8" i="9"/>
  <c r="K8" i="9"/>
  <c r="L8" i="9"/>
  <c r="M8" i="9"/>
  <c r="N8" i="9"/>
  <c r="V8" i="9"/>
  <c r="C8" i="9"/>
  <c r="D7" i="9"/>
  <c r="E7" i="9"/>
  <c r="F7" i="9"/>
  <c r="G7" i="9"/>
  <c r="H7" i="9"/>
  <c r="I7" i="9"/>
  <c r="J7" i="9"/>
  <c r="K7" i="9"/>
  <c r="L7" i="9"/>
  <c r="M7" i="9"/>
  <c r="N7" i="9"/>
  <c r="V7" i="9"/>
  <c r="C7" i="9"/>
  <c r="D6" i="9"/>
  <c r="E6" i="9"/>
  <c r="F6" i="9"/>
  <c r="G6" i="9"/>
  <c r="H6" i="9"/>
  <c r="I6" i="9"/>
  <c r="J6" i="9"/>
  <c r="K6" i="9"/>
  <c r="L6" i="9"/>
  <c r="M6" i="9"/>
  <c r="N6" i="9"/>
  <c r="V6" i="9"/>
  <c r="C6" i="9"/>
  <c r="V4" i="9"/>
  <c r="V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H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G5" i="6" s="1"/>
  <c r="L6" i="6"/>
  <c r="M6" i="6"/>
  <c r="L7" i="6"/>
  <c r="M7" i="6"/>
  <c r="L8" i="6"/>
  <c r="M8" i="6"/>
  <c r="L9" i="6"/>
  <c r="AF9" i="6" s="1"/>
  <c r="M9" i="6"/>
  <c r="L10" i="6"/>
  <c r="M10" i="6"/>
  <c r="L11" i="6"/>
  <c r="M11" i="6"/>
  <c r="L12" i="6"/>
  <c r="M12" i="6"/>
  <c r="L13" i="6"/>
  <c r="AF13" i="6" s="1"/>
  <c r="M13" i="6"/>
  <c r="AG13" i="6" s="1"/>
  <c r="L14" i="6"/>
  <c r="M14" i="6"/>
  <c r="L16" i="6"/>
  <c r="M16" i="6"/>
  <c r="L17" i="6"/>
  <c r="M17" i="6"/>
  <c r="L18" i="6"/>
  <c r="M18" i="6"/>
  <c r="L19" i="6"/>
  <c r="M19" i="6"/>
  <c r="L20" i="6"/>
  <c r="M20" i="6"/>
  <c r="L21" i="6"/>
  <c r="M21" i="6"/>
  <c r="L22" i="6"/>
  <c r="M22" i="6"/>
  <c r="L23" i="6"/>
  <c r="M23" i="6"/>
  <c r="L24" i="6"/>
  <c r="M24" i="6"/>
  <c r="L25" i="6"/>
  <c r="AF25" i="6" s="1"/>
  <c r="M25" i="6"/>
  <c r="AG25" i="6" s="1"/>
  <c r="X69" i="7"/>
  <c r="O69" i="7"/>
  <c r="N69" i="7"/>
  <c r="X68" i="7"/>
  <c r="O68" i="7"/>
  <c r="N68" i="7"/>
  <c r="X64" i="7"/>
  <c r="O64" i="7"/>
  <c r="N64" i="7"/>
  <c r="X51" i="7"/>
  <c r="O51" i="7"/>
  <c r="N51" i="7"/>
  <c r="X44" i="7"/>
  <c r="O44" i="7"/>
  <c r="N44" i="7"/>
  <c r="X40" i="7"/>
  <c r="O40" i="7"/>
  <c r="N40" i="7"/>
  <c r="X35" i="7"/>
  <c r="O35" i="7"/>
  <c r="N35" i="7"/>
  <c r="X34" i="7"/>
  <c r="O34" i="7"/>
  <c r="N34" i="7"/>
  <c r="X30" i="7"/>
  <c r="O30" i="7"/>
  <c r="N30" i="7"/>
  <c r="X29" i="7"/>
  <c r="O29" i="7"/>
  <c r="N29" i="7"/>
  <c r="X28" i="7"/>
  <c r="O28" i="7"/>
  <c r="N28" i="7"/>
  <c r="X16" i="7"/>
  <c r="O16" i="7"/>
  <c r="N16" i="7"/>
  <c r="X15" i="7"/>
  <c r="O15" i="7"/>
  <c r="N15" i="7"/>
  <c r="X14" i="7"/>
  <c r="O14" i="7"/>
  <c r="N14" i="7"/>
  <c r="X13" i="7"/>
  <c r="O13" i="7"/>
  <c r="N13" i="7"/>
  <c r="X11" i="7"/>
  <c r="O11" i="7"/>
  <c r="N11" i="7"/>
  <c r="X10" i="7"/>
  <c r="O10" i="7"/>
  <c r="N10" i="7"/>
  <c r="X9" i="7"/>
  <c r="O9" i="7"/>
  <c r="N9" i="7"/>
  <c r="X8" i="7"/>
  <c r="O8" i="7"/>
  <c r="N8" i="7"/>
  <c r="X7" i="7"/>
  <c r="O7" i="7"/>
  <c r="N7" i="7"/>
  <c r="X6" i="7"/>
  <c r="O6" i="7"/>
  <c r="N6" i="7"/>
  <c r="N20" i="7" s="1"/>
  <c r="X5" i="7"/>
  <c r="O5" i="7"/>
  <c r="O57" i="7" s="1"/>
  <c r="N5" i="7"/>
  <c r="X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X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Y5" i="6" s="1"/>
  <c r="F25" i="6"/>
  <c r="F24" i="6"/>
  <c r="F23" i="6"/>
  <c r="F22" i="6"/>
  <c r="F21" i="6"/>
  <c r="F20" i="6"/>
  <c r="F19" i="6"/>
  <c r="F18" i="6"/>
  <c r="F17" i="6"/>
  <c r="F16" i="6"/>
  <c r="F14" i="6"/>
  <c r="F13" i="6"/>
  <c r="F12" i="6"/>
  <c r="F10" i="6"/>
  <c r="F9" i="6"/>
  <c r="F8" i="6"/>
  <c r="F7" i="6"/>
  <c r="F6" i="6"/>
  <c r="F5" i="6"/>
  <c r="G25" i="6"/>
  <c r="G24" i="6"/>
  <c r="G23" i="6"/>
  <c r="G22" i="6"/>
  <c r="G21" i="6"/>
  <c r="AA21" i="6" s="1"/>
  <c r="G20" i="6"/>
  <c r="G19" i="6"/>
  <c r="G18" i="6"/>
  <c r="G17" i="6"/>
  <c r="AA17" i="6" s="1"/>
  <c r="G16" i="6"/>
  <c r="G14" i="6"/>
  <c r="G13" i="6"/>
  <c r="G12" i="6"/>
  <c r="G10" i="6"/>
  <c r="G9" i="6"/>
  <c r="G8" i="6"/>
  <c r="G7" i="6"/>
  <c r="G6" i="6"/>
  <c r="G5" i="6"/>
  <c r="G31" i="6" s="1"/>
  <c r="H25" i="6"/>
  <c r="AB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D41" i="1"/>
  <c r="CV11" i="3" s="1"/>
  <c r="CY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E25" i="6" s="1"/>
  <c r="K13" i="6"/>
  <c r="AE13" i="6" s="1"/>
  <c r="K23" i="6"/>
  <c r="K24" i="6"/>
  <c r="K21" i="6"/>
  <c r="K20" i="6"/>
  <c r="K19" i="6"/>
  <c r="K18" i="6"/>
  <c r="K17" i="6"/>
  <c r="AE17" i="6" s="1"/>
  <c r="K16" i="6"/>
  <c r="K12" i="6"/>
  <c r="K10" i="6"/>
  <c r="K9" i="6"/>
  <c r="K7" i="6"/>
  <c r="AE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D47" i="1"/>
  <c r="CV69" i="3" s="1"/>
  <c r="CY69" i="3" s="1"/>
  <c r="V21" i="6"/>
  <c r="V11" i="6"/>
  <c r="AD46" i="1"/>
  <c r="AD45" i="1"/>
  <c r="CV22" i="3" s="1"/>
  <c r="AD43" i="1"/>
  <c r="AD44" i="1" s="1"/>
  <c r="CV23" i="3" s="1"/>
  <c r="CY22" i="3" s="1"/>
  <c r="CV24" i="3" s="1"/>
  <c r="CY24" i="3" s="1"/>
  <c r="AD42" i="1"/>
  <c r="CV13" i="3" s="1"/>
  <c r="CY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V14" i="6"/>
  <c r="R47" i="1"/>
  <c r="J32" i="6" s="1"/>
  <c r="J14" i="6"/>
  <c r="J5" i="6"/>
  <c r="Q47" i="1"/>
  <c r="I14" i="6"/>
  <c r="V8" i="6"/>
  <c r="J8" i="6"/>
  <c r="I8" i="6"/>
  <c r="I5" i="6"/>
  <c r="V5" i="6"/>
  <c r="AP5" i="6" s="1"/>
  <c r="V12" i="6"/>
  <c r="V22" i="6"/>
  <c r="V25" i="6"/>
  <c r="V16" i="6"/>
  <c r="J22" i="6"/>
  <c r="J25" i="6"/>
  <c r="J19" i="6"/>
  <c r="I22" i="6"/>
  <c r="I25" i="6"/>
  <c r="AC25" i="6" s="1"/>
  <c r="I24" i="6"/>
  <c r="V13" i="6"/>
  <c r="V27" i="6" s="1"/>
  <c r="V23" i="6"/>
  <c r="V24" i="6"/>
  <c r="J13" i="6"/>
  <c r="J27" i="6" s="1"/>
  <c r="J23" i="6"/>
  <c r="J24" i="6"/>
  <c r="I13" i="6"/>
  <c r="I27" i="6" s="1"/>
  <c r="I23" i="6"/>
  <c r="J21" i="6"/>
  <c r="I21" i="6"/>
  <c r="V20" i="6"/>
  <c r="J20" i="6"/>
  <c r="AD20" i="6" s="1"/>
  <c r="I20" i="6"/>
  <c r="V19" i="6"/>
  <c r="I19" i="6"/>
  <c r="V18" i="6"/>
  <c r="J18" i="6"/>
  <c r="I18" i="6"/>
  <c r="V17" i="6"/>
  <c r="J17" i="6"/>
  <c r="AD17" i="6" s="1"/>
  <c r="I17" i="6"/>
  <c r="J16" i="6"/>
  <c r="I16" i="6"/>
  <c r="AC16" i="6" s="1"/>
  <c r="J12" i="6"/>
  <c r="I12" i="6"/>
  <c r="V10" i="6"/>
  <c r="AP10" i="6" s="1"/>
  <c r="J10" i="6"/>
  <c r="I10" i="6"/>
  <c r="V9" i="6"/>
  <c r="J9" i="6"/>
  <c r="I9" i="6"/>
  <c r="V7" i="6"/>
  <c r="J7" i="6"/>
  <c r="I7" i="6"/>
  <c r="V6" i="6"/>
  <c r="J6" i="6"/>
  <c r="I6" i="6"/>
  <c r="AC6" i="6" s="1"/>
  <c r="K47" i="1"/>
  <c r="C25" i="6"/>
  <c r="W25" i="6" s="1"/>
  <c r="C24" i="6"/>
  <c r="C23" i="6"/>
  <c r="C22" i="6"/>
  <c r="C21" i="6"/>
  <c r="C20" i="6"/>
  <c r="C19" i="6"/>
  <c r="C18" i="6"/>
  <c r="C17" i="6"/>
  <c r="W17" i="6" s="1"/>
  <c r="C16" i="6"/>
  <c r="C14" i="6"/>
  <c r="C5" i="6"/>
  <c r="W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N53" i="3"/>
  <c r="AN55" i="3" s="1"/>
  <c r="AI9" i="3"/>
  <c r="AL80" i="3" s="1"/>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D13" i="3"/>
  <c r="L48" i="5"/>
  <c r="AG9" i="6" l="1"/>
  <c r="F32" i="7"/>
  <c r="V20" i="9"/>
  <c r="AF11" i="6"/>
  <c r="AD10" i="6"/>
  <c r="AQ80" i="3"/>
  <c r="AE21" i="6"/>
  <c r="F27" i="7"/>
  <c r="R22" i="3"/>
  <c r="O24" i="3" s="1"/>
  <c r="W22" i="3"/>
  <c r="T24" i="3" s="1"/>
  <c r="AG11" i="6"/>
  <c r="AG7" i="6"/>
  <c r="AG22" i="3"/>
  <c r="AD24" i="3" s="1"/>
  <c r="D41" i="5"/>
  <c r="M53" i="3"/>
  <c r="BK45" i="3"/>
  <c r="I21" i="9"/>
  <c r="W21" i="6"/>
  <c r="CV72" i="3"/>
  <c r="CY71" i="3" s="1"/>
  <c r="CV73" i="3"/>
  <c r="I47" i="5"/>
  <c r="N31" i="6"/>
  <c r="N63" i="7"/>
  <c r="E47" i="5"/>
  <c r="T14" i="3"/>
  <c r="J47" i="5"/>
  <c r="G12" i="7"/>
  <c r="G18" i="7" s="1"/>
  <c r="C47" i="5"/>
  <c r="Y59" i="3"/>
  <c r="AI29" i="3"/>
  <c r="AL29" i="3" s="1"/>
  <c r="AN69" i="3"/>
  <c r="X63" i="7"/>
  <c r="V48" i="5"/>
  <c r="V49" i="5" s="1"/>
  <c r="X12" i="7"/>
  <c r="X18" i="7" s="1"/>
  <c r="V10" i="5"/>
  <c r="R64" i="3"/>
  <c r="M80" i="3"/>
  <c r="AV80" i="3"/>
  <c r="CJ80" i="3"/>
  <c r="BF80" i="3"/>
  <c r="AV6" i="3"/>
  <c r="G48" i="5"/>
  <c r="G49" i="5" s="1"/>
  <c r="E12" i="7"/>
  <c r="CJ43" i="3"/>
  <c r="X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V21" i="9"/>
  <c r="H33" i="7"/>
  <c r="AG43" i="3"/>
  <c r="AP8" i="6"/>
  <c r="R6" i="3"/>
  <c r="AQ22" i="3"/>
  <c r="AN24" i="3" s="1"/>
  <c r="AQ69" i="3"/>
  <c r="M22" i="3"/>
  <c r="J24" i="3" s="1"/>
  <c r="CJ53" i="3"/>
  <c r="W64" i="3"/>
  <c r="AG53" i="3"/>
  <c r="W53" i="3"/>
  <c r="Y67" i="3"/>
  <c r="AQ64" i="3"/>
  <c r="AB6" i="6"/>
  <c r="AV11" i="3"/>
  <c r="AS32" i="3"/>
  <c r="AV31" i="3" s="1"/>
  <c r="H16" i="9"/>
  <c r="C21" i="9"/>
  <c r="O17" i="3"/>
  <c r="O40" i="3"/>
  <c r="R40" i="3" s="1"/>
  <c r="AX61" i="3"/>
  <c r="O38" i="3"/>
  <c r="AS25" i="3"/>
  <c r="E18" i="3"/>
  <c r="H17" i="3" s="1"/>
  <c r="AD32" i="3"/>
  <c r="AG31" i="3" s="1"/>
  <c r="X8" i="6"/>
  <c r="D31" i="6"/>
  <c r="AD12" i="6"/>
  <c r="AN60" i="3"/>
  <c r="G20" i="7"/>
  <c r="AD49" i="3"/>
  <c r="T67" i="3"/>
  <c r="AD74" i="3"/>
  <c r="AD48" i="3"/>
  <c r="I41" i="5"/>
  <c r="J48" i="3"/>
  <c r="AS49" i="3"/>
  <c r="AI67" i="3"/>
  <c r="AS74" i="3"/>
  <c r="W20" i="6"/>
  <c r="W24" i="6"/>
  <c r="J30" i="6"/>
  <c r="G53" i="7"/>
  <c r="Z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W19" i="6"/>
  <c r="W23" i="6"/>
  <c r="AC17" i="6"/>
  <c r="AC20" i="6"/>
  <c r="AC13" i="6"/>
  <c r="G26" i="7"/>
  <c r="Y9" i="6"/>
  <c r="X9" i="6"/>
  <c r="F18" i="7"/>
  <c r="L37" i="8"/>
  <c r="L24" i="8" s="1"/>
  <c r="AH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X6" i="6"/>
  <c r="H6" i="3"/>
  <c r="AV22" i="3"/>
  <c r="AS24" i="3" s="1"/>
  <c r="AV40" i="3"/>
  <c r="J27" i="7"/>
  <c r="AB6" i="3"/>
  <c r="AB69" i="3"/>
  <c r="AB75" i="3"/>
  <c r="Z8" i="6"/>
  <c r="Z9" i="6"/>
  <c r="Y6" i="6"/>
  <c r="Y10" i="6"/>
  <c r="BA40" i="3"/>
  <c r="R29" i="3"/>
  <c r="E25" i="7"/>
  <c r="AX38" i="3"/>
  <c r="BA38" i="3" s="1"/>
  <c r="AX16" i="3"/>
  <c r="BA15" i="3" s="1"/>
  <c r="AG6" i="3"/>
  <c r="O34" i="3"/>
  <c r="R33" i="3" s="1"/>
  <c r="AI38" i="3"/>
  <c r="AL38" i="3" s="1"/>
  <c r="T25" i="3"/>
  <c r="W24" i="3" s="1"/>
  <c r="T38" i="3"/>
  <c r="W38" i="3" s="1"/>
  <c r="T32" i="3"/>
  <c r="W31" i="3" s="1"/>
  <c r="T16" i="3"/>
  <c r="W15" i="3" s="1"/>
  <c r="T34" i="3"/>
  <c r="W33" i="3" s="1"/>
  <c r="X10" i="6"/>
  <c r="X12" i="6"/>
  <c r="T79" i="3"/>
  <c r="W78" i="3" s="1"/>
  <c r="E35" i="5"/>
  <c r="AB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Z7" i="6"/>
  <c r="Z5" i="6"/>
  <c r="AD13" i="6"/>
  <c r="F35" i="6"/>
  <c r="X25" i="6"/>
  <c r="P24" i="7"/>
  <c r="N37" i="8"/>
  <c r="N24" i="8" s="1"/>
  <c r="AD25" i="6"/>
  <c r="X20" i="6"/>
  <c r="Y28" i="3"/>
  <c r="I44" i="5"/>
  <c r="E54" i="7"/>
  <c r="L54" i="7"/>
  <c r="H27" i="6"/>
  <c r="AB18" i="6"/>
  <c r="H30" i="6"/>
  <c r="Y24" i="6"/>
  <c r="X18" i="6"/>
  <c r="E37" i="8"/>
  <c r="E24" i="8" s="1"/>
  <c r="D28" i="6"/>
  <c r="AS67" i="3"/>
  <c r="E74" i="3"/>
  <c r="AB19" i="6"/>
  <c r="Y49" i="3"/>
  <c r="D44" i="5"/>
  <c r="AN49" i="3"/>
  <c r="E32" i="7"/>
  <c r="E53" i="7"/>
  <c r="E28" i="3"/>
  <c r="AD18" i="6"/>
  <c r="AB20" i="6"/>
  <c r="AB24" i="6"/>
  <c r="N29" i="6"/>
  <c r="F21" i="7"/>
  <c r="F25" i="7"/>
  <c r="J33" i="6"/>
  <c r="Z20" i="6"/>
  <c r="BH28" i="3"/>
  <c r="BM67" i="3"/>
  <c r="BM66" i="3"/>
  <c r="BM63" i="3"/>
  <c r="BM62" i="3"/>
  <c r="J19" i="9"/>
  <c r="F20" i="9"/>
  <c r="K50" i="7"/>
  <c r="E56" i="7"/>
  <c r="I20" i="7"/>
  <c r="F44" i="5"/>
  <c r="AH8" i="6"/>
  <c r="AH12" i="6"/>
  <c r="G16" i="9"/>
  <c r="N16" i="9"/>
  <c r="O16" i="9"/>
  <c r="W22" i="6"/>
  <c r="CJ6" i="3"/>
  <c r="AA16" i="6"/>
  <c r="Z18" i="6"/>
  <c r="F30" i="6"/>
  <c r="BM59" i="3"/>
  <c r="BM58" i="3"/>
  <c r="C43" i="5"/>
  <c r="K57" i="7"/>
  <c r="K33" i="7"/>
  <c r="E26" i="7"/>
  <c r="G44" i="5"/>
  <c r="E44" i="5"/>
  <c r="D35" i="5"/>
  <c r="F56" i="7"/>
  <c r="F54" i="7"/>
  <c r="D37" i="5"/>
  <c r="BM61" i="3"/>
  <c r="BM60" i="3"/>
  <c r="I31" i="6"/>
  <c r="AA10" i="6"/>
  <c r="AB22" i="6"/>
  <c r="Y16" i="6"/>
  <c r="AC5" i="6"/>
  <c r="K27" i="6"/>
  <c r="AB13" i="6"/>
  <c r="Z12" i="6"/>
  <c r="F28" i="6"/>
  <c r="Y8" i="6"/>
  <c r="Y13" i="6"/>
  <c r="AE19" i="6"/>
  <c r="AE23" i="6"/>
  <c r="M31" i="6"/>
  <c r="W18" i="6"/>
  <c r="C30" i="6"/>
  <c r="AC7" i="6"/>
  <c r="AD9" i="6"/>
  <c r="AC18" i="6"/>
  <c r="AC21" i="6"/>
  <c r="J31" i="6"/>
  <c r="AE16" i="6"/>
  <c r="AE20" i="6"/>
  <c r="AE10" i="6"/>
  <c r="X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X50" i="7"/>
  <c r="CG8" i="3"/>
  <c r="CJ8" i="3" s="1"/>
  <c r="AG10" i="6"/>
  <c r="BH14" i="3"/>
  <c r="BH34" i="3"/>
  <c r="BK33" i="3" s="1"/>
  <c r="Y72" i="3"/>
  <c r="AB71" i="3" s="1"/>
  <c r="Y14" i="3"/>
  <c r="Y27" i="3"/>
  <c r="AS8" i="3"/>
  <c r="AV8" i="3" s="1"/>
  <c r="AP9" i="6"/>
  <c r="K47" i="5"/>
  <c r="AE9" i="6"/>
  <c r="AE8" i="6"/>
  <c r="G19" i="7"/>
  <c r="Y62" i="3"/>
  <c r="AB62" i="3" s="1"/>
  <c r="X24" i="7"/>
  <c r="O20" i="7"/>
  <c r="L20" i="7"/>
  <c r="E19" i="7"/>
  <c r="T62" i="3"/>
  <c r="W62" i="3" s="1"/>
  <c r="BH29" i="3"/>
  <c r="BK29" i="3" s="1"/>
  <c r="E27" i="6"/>
  <c r="J25" i="7"/>
  <c r="Y18" i="3"/>
  <c r="AB17" i="3" s="1"/>
  <c r="AC10" i="6"/>
  <c r="V31" i="6"/>
  <c r="AS60" i="3"/>
  <c r="E49" i="5"/>
  <c r="J26" i="7"/>
  <c r="I33" i="7"/>
  <c r="AB7" i="6"/>
  <c r="AB12" i="6"/>
  <c r="X7" i="6"/>
  <c r="M29" i="6"/>
  <c r="AG12" i="6"/>
  <c r="AG8" i="6"/>
  <c r="AG6" i="6"/>
  <c r="P26" i="7"/>
  <c r="CG40" i="3"/>
  <c r="CJ40" i="3" s="1"/>
  <c r="AE5" i="6"/>
  <c r="Y58" i="3"/>
  <c r="BH16" i="3"/>
  <c r="BK15" i="3" s="1"/>
  <c r="Y16" i="3"/>
  <c r="AB15" i="3" s="1"/>
  <c r="L26" i="7"/>
  <c r="K24" i="7"/>
  <c r="AP11" i="6"/>
  <c r="AE6" i="6"/>
  <c r="AE12" i="6"/>
  <c r="AE11" i="6"/>
  <c r="E43" i="5"/>
  <c r="Z6" i="6"/>
  <c r="Z10" i="6"/>
  <c r="Y7" i="6"/>
  <c r="X13" i="6"/>
  <c r="O24" i="7"/>
  <c r="P33" i="7"/>
  <c r="F22" i="8"/>
  <c r="F39" i="8" s="1"/>
  <c r="F37" i="8"/>
  <c r="F24" i="8" s="1"/>
  <c r="E34" i="5"/>
  <c r="AF17" i="6"/>
  <c r="CG79" i="3"/>
  <c r="CJ78" i="3" s="1"/>
  <c r="AN66" i="3"/>
  <c r="AQ66" i="3" s="1"/>
  <c r="F57" i="7"/>
  <c r="T56" i="3"/>
  <c r="W55" i="3" s="1"/>
  <c r="G22" i="7"/>
  <c r="CG28" i="3"/>
  <c r="J28" i="3"/>
  <c r="J33" i="8"/>
  <c r="K33" i="8"/>
  <c r="J53" i="7"/>
  <c r="T51" i="3"/>
  <c r="W50" i="3" s="1"/>
  <c r="H29" i="6"/>
  <c r="Z17" i="6"/>
  <c r="Z21" i="6"/>
  <c r="Z25" i="6"/>
  <c r="E30" i="6"/>
  <c r="X16" i="6"/>
  <c r="D37" i="8"/>
  <c r="D24" i="8" s="1"/>
  <c r="O54" i="7"/>
  <c r="AG21" i="6"/>
  <c r="AG19" i="6"/>
  <c r="L44" i="5"/>
  <c r="F21" i="9"/>
  <c r="AN74" i="3"/>
  <c r="Z22" i="6"/>
  <c r="J66" i="3"/>
  <c r="G57" i="7"/>
  <c r="G48" i="7"/>
  <c r="AP24" i="6"/>
  <c r="K45" i="5"/>
  <c r="H37" i="8"/>
  <c r="H24" i="8" s="1"/>
  <c r="I50" i="7"/>
  <c r="H44" i="5"/>
  <c r="H41" i="5"/>
  <c r="G46" i="5"/>
  <c r="F34" i="5"/>
  <c r="F35" i="5"/>
  <c r="E45" i="5"/>
  <c r="G27" i="6"/>
  <c r="BH56" i="3"/>
  <c r="BK55" i="3" s="1"/>
  <c r="Z23" i="6"/>
  <c r="M6" i="3"/>
  <c r="O66" i="3"/>
  <c r="R66" i="3" s="1"/>
  <c r="J74" i="3"/>
  <c r="J79" i="3"/>
  <c r="M78" i="3" s="1"/>
  <c r="W16" i="6"/>
  <c r="AP18" i="6"/>
  <c r="AC24" i="6"/>
  <c r="K44" i="5"/>
  <c r="AE18" i="6"/>
  <c r="AE22" i="6"/>
  <c r="M32" i="7"/>
  <c r="I37" i="8"/>
  <c r="I24" i="8" s="1"/>
  <c r="G33" i="8"/>
  <c r="G37" i="8"/>
  <c r="G24" i="8" s="1"/>
  <c r="F33" i="8"/>
  <c r="J50" i="7"/>
  <c r="J56" i="7"/>
  <c r="I53" i="7"/>
  <c r="G50" i="7"/>
  <c r="E46" i="5"/>
  <c r="AB16" i="6"/>
  <c r="Z16" i="6"/>
  <c r="Z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BC14" i="3"/>
  <c r="AS58" i="3"/>
  <c r="BC32" i="3"/>
  <c r="BF31" i="3" s="1"/>
  <c r="L32" i="7"/>
  <c r="BC74" i="3"/>
  <c r="E38" i="3"/>
  <c r="H38" i="3" s="1"/>
  <c r="J46" i="5"/>
  <c r="C28" i="6"/>
  <c r="AD21" i="6"/>
  <c r="J28" i="6"/>
  <c r="AD19" i="6"/>
  <c r="T17" i="3"/>
  <c r="T8" i="3"/>
  <c r="W8" i="3" s="1"/>
  <c r="T40" i="3"/>
  <c r="T74" i="3"/>
  <c r="W6" i="3"/>
  <c r="T66" i="3"/>
  <c r="F37" i="5"/>
  <c r="X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G22" i="6"/>
  <c r="BF6" i="3"/>
  <c r="E27" i="7"/>
  <c r="E46" i="3"/>
  <c r="H45" i="3" s="1"/>
  <c r="H43" i="3"/>
  <c r="J67" i="3"/>
  <c r="E49" i="3"/>
  <c r="E79" i="3"/>
  <c r="H78" i="3" s="1"/>
  <c r="E70" i="3"/>
  <c r="E14" i="3"/>
  <c r="H13" i="3" s="1"/>
  <c r="E25" i="3"/>
  <c r="H24" i="3" s="1"/>
  <c r="E29" i="3"/>
  <c r="H29" i="3" s="1"/>
  <c r="E16" i="3"/>
  <c r="H15" i="3" s="1"/>
  <c r="E34" i="3"/>
  <c r="H33" i="3" s="1"/>
  <c r="E27" i="3"/>
  <c r="AD24" i="6"/>
  <c r="AD16" i="6"/>
  <c r="AD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X24" i="6"/>
  <c r="E22" i="8"/>
  <c r="E39" i="8" s="1"/>
  <c r="E33" i="8"/>
  <c r="D22" i="8"/>
  <c r="D39" i="8" s="1"/>
  <c r="D33" i="8"/>
  <c r="M35" i="5"/>
  <c r="BK64" i="3"/>
  <c r="N33" i="8"/>
  <c r="AF20" i="6"/>
  <c r="AI8" i="3"/>
  <c r="AL8" i="3" s="1"/>
  <c r="AL11" i="3"/>
  <c r="AC9" i="6"/>
  <c r="AP20" i="6"/>
  <c r="E10" i="5"/>
  <c r="H45" i="5"/>
  <c r="G35" i="5"/>
  <c r="Y22" i="6"/>
  <c r="X19" i="6"/>
  <c r="BC69" i="3"/>
  <c r="BC72" i="3" s="1"/>
  <c r="BF71" i="3" s="1"/>
  <c r="X54" i="7"/>
  <c r="N53" i="7"/>
  <c r="AG24" i="6"/>
  <c r="M30" i="6"/>
  <c r="AG20" i="6"/>
  <c r="AG18" i="6"/>
  <c r="AG16" i="6"/>
  <c r="J17" i="9"/>
  <c r="I19" i="7"/>
  <c r="AB9" i="6"/>
  <c r="Y19" i="6"/>
  <c r="X22" i="6"/>
  <c r="N50" i="7"/>
  <c r="O56" i="7"/>
  <c r="X19" i="7"/>
  <c r="O48" i="7"/>
  <c r="L30" i="6"/>
  <c r="L27" i="6"/>
  <c r="M47" i="5"/>
  <c r="AH7" i="6"/>
  <c r="X48" i="7"/>
  <c r="I48" i="7"/>
  <c r="O22" i="7"/>
  <c r="AP17" i="6"/>
  <c r="AX28" i="3"/>
  <c r="AV43" i="3"/>
  <c r="I22" i="7"/>
  <c r="AP25" i="6"/>
  <c r="AQ43" i="3"/>
  <c r="K19" i="7"/>
  <c r="K37" i="5"/>
  <c r="N54" i="7"/>
  <c r="K21" i="9"/>
  <c r="G21" i="9"/>
  <c r="O53" i="7"/>
  <c r="V30" i="6"/>
  <c r="AX49" i="3"/>
  <c r="Y56" i="3"/>
  <c r="AB55" i="3" s="1"/>
  <c r="AP19" i="6"/>
  <c r="J22" i="7"/>
  <c r="H35" i="5"/>
  <c r="AB21" i="6"/>
  <c r="AA18" i="6"/>
  <c r="H37" i="5"/>
  <c r="N32" i="7"/>
  <c r="P56" i="7"/>
  <c r="N45" i="5"/>
  <c r="K48" i="7"/>
  <c r="AP22" i="6"/>
  <c r="AX74" i="3"/>
  <c r="BA73" i="3" s="1"/>
  <c r="AP16" i="6"/>
  <c r="I33" i="8"/>
  <c r="H33" i="8"/>
  <c r="J54" i="7"/>
  <c r="I54" i="7"/>
  <c r="O33" i="7"/>
  <c r="M37" i="5"/>
  <c r="AH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P12" i="6"/>
  <c r="I10" i="5"/>
  <c r="AB22" i="3"/>
  <c r="Y24" i="3" s="1"/>
  <c r="H22" i="8"/>
  <c r="J60" i="7" s="1"/>
  <c r="G22" i="8"/>
  <c r="G39" i="8" s="1"/>
  <c r="AG29" i="3"/>
  <c r="AB10" i="6"/>
  <c r="L34" i="5"/>
  <c r="N34" i="5"/>
  <c r="K16" i="9"/>
  <c r="H20" i="9"/>
  <c r="J20" i="9"/>
  <c r="AG11" i="3"/>
  <c r="AF8" i="6"/>
  <c r="P27" i="7"/>
  <c r="J18" i="7"/>
  <c r="K63" i="7"/>
  <c r="J22" i="8"/>
  <c r="J39" i="8" s="1"/>
  <c r="X27" i="7"/>
  <c r="AP13" i="6"/>
  <c r="L32" i="6"/>
  <c r="L35" i="6" s="1"/>
  <c r="AF5" i="6"/>
  <c r="N66" i="7"/>
  <c r="M33" i="7"/>
  <c r="AN38" i="3"/>
  <c r="AN14" i="3"/>
  <c r="AX8" i="3"/>
  <c r="BA8" i="3" s="1"/>
  <c r="M20" i="7"/>
  <c r="BH27" i="3"/>
  <c r="BH38" i="3"/>
  <c r="BK38" i="3" s="1"/>
  <c r="BH25" i="3"/>
  <c r="AN58" i="3"/>
  <c r="AB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P7" i="6"/>
  <c r="K31" i="6"/>
  <c r="CG14" i="3"/>
  <c r="AB8" i="6"/>
  <c r="G29" i="6"/>
  <c r="BA11" i="3"/>
  <c r="BH70" i="3"/>
  <c r="N47" i="5"/>
  <c r="G34" i="5"/>
  <c r="G19" i="9"/>
  <c r="M24" i="7"/>
  <c r="AD62" i="3"/>
  <c r="I26" i="7"/>
  <c r="H48" i="5"/>
  <c r="H49" i="5" s="1"/>
  <c r="AD69" i="3"/>
  <c r="AD73" i="3" s="1"/>
  <c r="AN13" i="3"/>
  <c r="AC8" i="6"/>
  <c r="J35" i="6"/>
  <c r="AS27" i="3"/>
  <c r="G47" i="5"/>
  <c r="Y8" i="3"/>
  <c r="AB8" i="3" s="1"/>
  <c r="J63" i="7"/>
  <c r="AD60" i="3"/>
  <c r="AG60" i="3" s="1"/>
  <c r="Y13" i="3"/>
  <c r="L12" i="7"/>
  <c r="L18" i="7" s="1"/>
  <c r="J45" i="5"/>
  <c r="AL22" i="3"/>
  <c r="AI24" i="3" s="1"/>
  <c r="AA9" i="6"/>
  <c r="AL40" i="3"/>
  <c r="I22" i="8"/>
  <c r="I39" i="8" s="1"/>
  <c r="AG40" i="3"/>
  <c r="G18" i="9"/>
  <c r="AV38" i="3"/>
  <c r="AN40" i="3"/>
  <c r="AQ40" i="3" s="1"/>
  <c r="AV60" i="3"/>
  <c r="AG15" i="3"/>
  <c r="Y40" i="3"/>
  <c r="AB40" i="3" s="1"/>
  <c r="I12" i="7"/>
  <c r="J10" i="5"/>
  <c r="J24" i="7"/>
  <c r="AA25" i="6"/>
  <c r="AA22" i="6"/>
  <c r="K56" i="7"/>
  <c r="I56" i="7"/>
  <c r="G28" i="6"/>
  <c r="K32" i="7"/>
  <c r="AA24" i="6"/>
  <c r="AA23" i="6"/>
  <c r="AA20" i="6"/>
  <c r="G30" i="6"/>
  <c r="AS48" i="3"/>
  <c r="AQ45" i="3"/>
  <c r="J37" i="5"/>
  <c r="I46" i="5"/>
  <c r="H46" i="5"/>
  <c r="H34" i="5"/>
  <c r="AA19" i="6"/>
  <c r="J41" i="5"/>
  <c r="L33" i="8"/>
  <c r="AS56" i="3"/>
  <c r="AV55" i="3" s="1"/>
  <c r="AL53" i="3"/>
  <c r="K22" i="7"/>
  <c r="K35" i="5"/>
  <c r="AV64" i="3"/>
  <c r="I37" i="5"/>
  <c r="I20" i="9"/>
  <c r="K20" i="9"/>
  <c r="G20" i="9"/>
  <c r="CJ22" i="3"/>
  <c r="CG24" i="3" s="1"/>
  <c r="AF7" i="6"/>
  <c r="BF8" i="3"/>
  <c r="N20" i="9"/>
  <c r="AF12" i="6"/>
  <c r="BF38" i="3"/>
  <c r="BH8" i="3"/>
  <c r="BK8" i="3" s="1"/>
  <c r="BH40" i="3"/>
  <c r="BK40" i="3" s="1"/>
  <c r="BC17" i="3"/>
  <c r="CG16" i="3"/>
  <c r="CJ15" i="3" s="1"/>
  <c r="AP6" i="6"/>
  <c r="V29" i="6"/>
  <c r="CJ58" i="3"/>
  <c r="X60" i="7"/>
  <c r="BC13" i="3"/>
  <c r="X33" i="7"/>
  <c r="O26" i="7"/>
  <c r="L47" i="5"/>
  <c r="AF6" i="6"/>
  <c r="BA22" i="3"/>
  <c r="AX24" i="3" s="1"/>
  <c r="BA24" i="3" s="1"/>
  <c r="L5" i="9"/>
  <c r="L19" i="9" s="1"/>
  <c r="X32" i="7"/>
  <c r="V32" i="6"/>
  <c r="V35" i="6" s="1"/>
  <c r="AF10" i="6"/>
  <c r="L31" i="6"/>
  <c r="N43" i="5"/>
  <c r="X26" i="7"/>
  <c r="BC40" i="3"/>
  <c r="BF40" i="3" s="1"/>
  <c r="CG25" i="3"/>
  <c r="CJ24" i="3" s="1"/>
  <c r="CG18" i="3"/>
  <c r="CJ17" i="3" s="1"/>
  <c r="CG32" i="3"/>
  <c r="CJ31" i="3" s="1"/>
  <c r="BK22" i="3"/>
  <c r="BH24" i="3" s="1"/>
  <c r="P12" i="7"/>
  <c r="P18" i="7" s="1"/>
  <c r="AH6" i="6"/>
  <c r="AH10" i="6"/>
  <c r="N35" i="5"/>
  <c r="M16" i="9"/>
  <c r="M28" i="6"/>
  <c r="N48" i="7"/>
  <c r="N22" i="7"/>
  <c r="X53" i="7"/>
  <c r="BH74" i="3"/>
  <c r="AH20" i="6"/>
  <c r="AH19" i="6"/>
  <c r="N27" i="6"/>
  <c r="V28" i="6"/>
  <c r="AH18" i="6"/>
  <c r="N30" i="6"/>
  <c r="AP23" i="6"/>
  <c r="X57" i="7"/>
  <c r="BK6" i="3"/>
  <c r="BK53" i="3"/>
  <c r="X20" i="7"/>
  <c r="AX48" i="3"/>
  <c r="X56" i="7"/>
  <c r="AF23" i="6"/>
  <c r="AF21" i="6"/>
  <c r="AF19" i="6"/>
  <c r="M34" i="5"/>
  <c r="L46" i="5"/>
  <c r="L41" i="5"/>
  <c r="P50" i="7"/>
  <c r="N48" i="5"/>
  <c r="N49" i="5" s="1"/>
  <c r="P66" i="7"/>
  <c r="AA7" i="6"/>
  <c r="J38" i="3"/>
  <c r="M38" i="3" s="1"/>
  <c r="W12" i="6"/>
  <c r="F22" i="7"/>
  <c r="AF24" i="6"/>
  <c r="F33" i="7"/>
  <c r="J51" i="3"/>
  <c r="M50" i="3" s="1"/>
  <c r="L43" i="5"/>
  <c r="K27" i="7"/>
  <c r="L22" i="7"/>
  <c r="P22" i="7"/>
  <c r="C31" i="6"/>
  <c r="AA12" i="6"/>
  <c r="AF18" i="6"/>
  <c r="AA8" i="6"/>
  <c r="W13" i="6"/>
  <c r="L28" i="6"/>
  <c r="AD59" i="3"/>
  <c r="Y25" i="3"/>
  <c r="E8" i="3"/>
  <c r="H8" i="3" s="1"/>
  <c r="Y29" i="3"/>
  <c r="AB29" i="3" s="1"/>
  <c r="AD58" i="3"/>
  <c r="E40" i="3"/>
  <c r="H40" i="3" s="1"/>
  <c r="D47" i="5"/>
  <c r="J34" i="5"/>
  <c r="I45" i="5"/>
  <c r="W10" i="6"/>
  <c r="K48" i="5"/>
  <c r="K49" i="5" s="1"/>
  <c r="M66" i="7"/>
  <c r="K32" i="6"/>
  <c r="I24" i="7"/>
  <c r="H47" i="5"/>
  <c r="BH49" i="3"/>
  <c r="BH79" i="3"/>
  <c r="BK78" i="3" s="1"/>
  <c r="AB11" i="3"/>
  <c r="Y32" i="3"/>
  <c r="AB31" i="3" s="1"/>
  <c r="E21" i="7"/>
  <c r="AA5" i="6"/>
  <c r="F20" i="7"/>
  <c r="AF22" i="6"/>
  <c r="AA6" i="6"/>
  <c r="Y34" i="3"/>
  <c r="AB33" i="3" s="1"/>
  <c r="Y38" i="3"/>
  <c r="AB38" i="3" s="1"/>
  <c r="Y20" i="3"/>
  <c r="AB19" i="3" s="1"/>
  <c r="Y36" i="3"/>
  <c r="AB35" i="3" s="1"/>
  <c r="CJ69" i="3"/>
  <c r="X66" i="7"/>
  <c r="K5" i="9"/>
  <c r="K10" i="5"/>
  <c r="P53" i="7"/>
  <c r="P57" i="7"/>
  <c r="W8" i="6"/>
  <c r="L29" i="6"/>
  <c r="L48" i="7"/>
  <c r="Y60" i="3"/>
  <c r="AB60" i="3" s="1"/>
  <c r="AA13" i="6"/>
  <c r="W11" i="6"/>
  <c r="AF16" i="6"/>
  <c r="W7" i="6"/>
  <c r="AS66" i="3"/>
  <c r="AX67" i="3"/>
  <c r="H56" i="7"/>
  <c r="F41" i="5"/>
  <c r="AX58" i="3"/>
  <c r="BA58" i="3" s="1"/>
  <c r="AX70" i="3"/>
  <c r="BA69" i="3" s="1"/>
  <c r="BC60" i="3"/>
  <c r="BF60" i="3" s="1"/>
  <c r="BH61" i="3"/>
  <c r="P32" i="7"/>
  <c r="BH62" i="3"/>
  <c r="CJ62" i="3"/>
  <c r="BC58" i="3"/>
  <c r="N32" i="6"/>
  <c r="E16" i="9"/>
  <c r="F16" i="9"/>
  <c r="F24" i="7"/>
  <c r="J44" i="5"/>
  <c r="J35" i="5"/>
  <c r="M26" i="7"/>
  <c r="K22" i="8"/>
  <c r="K39" i="8" s="1"/>
  <c r="AD11" i="6"/>
  <c r="K12" i="7"/>
  <c r="K25" i="7" s="1"/>
  <c r="G10" i="5"/>
  <c r="I57" i="7"/>
  <c r="AI58" i="3"/>
  <c r="G45" i="5"/>
  <c r="G41" i="5"/>
  <c r="F50" i="7"/>
  <c r="M32" i="6"/>
  <c r="M34" i="6" s="1"/>
  <c r="L45" i="5"/>
  <c r="BC66" i="3"/>
  <c r="BF66" i="3" s="1"/>
  <c r="L10" i="5"/>
  <c r="P54" i="7"/>
  <c r="N21" i="9"/>
  <c r="W9" i="6"/>
  <c r="C27" i="6"/>
  <c r="AC19" i="6"/>
  <c r="I29" i="6"/>
  <c r="AP21" i="6"/>
  <c r="Y12" i="6"/>
  <c r="G37" i="5"/>
  <c r="N12" i="7"/>
  <c r="O66" i="7"/>
  <c r="P19" i="7"/>
  <c r="BH13" i="3"/>
  <c r="W6" i="6"/>
  <c r="AC12" i="6"/>
  <c r="AI62" i="3"/>
  <c r="AL62" i="3" s="1"/>
  <c r="J18" i="9"/>
  <c r="Y11" i="6"/>
  <c r="G24" i="7"/>
  <c r="H43" i="5"/>
  <c r="AG23" i="6"/>
  <c r="AG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F11" i="6"/>
  <c r="Z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D5" i="6"/>
  <c r="AD8" i="6"/>
  <c r="AD6" i="6"/>
  <c r="AD7" i="6"/>
  <c r="V5" i="9"/>
  <c r="V17" i="9" s="1"/>
  <c r="T41" i="3"/>
  <c r="W40" i="3" s="1"/>
  <c r="Z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H13" i="6"/>
  <c r="D34" i="5"/>
  <c r="D11" i="6"/>
  <c r="X11" i="6" s="1"/>
  <c r="D10" i="5"/>
  <c r="D5" i="9"/>
  <c r="J34" i="6"/>
  <c r="L66" i="7"/>
  <c r="J48" i="5"/>
  <c r="J49" i="5" s="1"/>
  <c r="J29" i="6"/>
  <c r="AC11" i="6"/>
  <c r="O13" i="3"/>
  <c r="E5" i="9"/>
  <c r="H11" i="6"/>
  <c r="AB11" i="6" s="1"/>
  <c r="H10" i="5"/>
  <c r="H5" i="9"/>
  <c r="N24" i="7"/>
  <c r="CJ60" i="3"/>
  <c r="BH60" i="3"/>
  <c r="BC59" i="3"/>
  <c r="BF58" i="3" s="1"/>
  <c r="AH11" i="6"/>
  <c r="AH9" i="6"/>
  <c r="J16" i="9"/>
  <c r="C29" i="6"/>
  <c r="I34" i="5"/>
  <c r="X22" i="7"/>
  <c r="N22" i="8"/>
  <c r="G11" i="6"/>
  <c r="AA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B23" i="6"/>
  <c r="H28" i="6"/>
  <c r="F53" i="7"/>
  <c r="F48" i="7"/>
  <c r="L56" i="7"/>
  <c r="AE24" i="6"/>
  <c r="H22" i="7"/>
  <c r="H57" i="7"/>
  <c r="BC48" i="3"/>
  <c r="AD23" i="6"/>
  <c r="D30" i="6"/>
  <c r="AI46" i="3"/>
  <c r="AL45" i="3" s="1"/>
  <c r="AL43" i="3"/>
  <c r="CG56" i="3"/>
  <c r="CJ55" i="3" s="1"/>
  <c r="CG51" i="3"/>
  <c r="CJ50" i="3" s="1"/>
  <c r="CG48" i="3"/>
  <c r="K43" i="5"/>
  <c r="K46" i="5"/>
  <c r="H54" i="7"/>
  <c r="Y46" i="3"/>
  <c r="AB45" i="3" s="1"/>
  <c r="AB43" i="3"/>
  <c r="F43" i="5"/>
  <c r="F46" i="5"/>
  <c r="Y21" i="6"/>
  <c r="N56" i="7"/>
  <c r="N57" i="7"/>
  <c r="M41" i="5"/>
  <c r="BC46" i="3"/>
  <c r="BF45" i="3" s="1"/>
  <c r="BF43" i="3"/>
  <c r="AI56" i="3"/>
  <c r="AL55" i="3" s="1"/>
  <c r="AI48" i="3"/>
  <c r="AI51" i="3"/>
  <c r="AL50" i="3" s="1"/>
  <c r="I30" i="6"/>
  <c r="AC22" i="6"/>
  <c r="BC51" i="3"/>
  <c r="BF50" i="3" s="1"/>
  <c r="BC56" i="3"/>
  <c r="BF55" i="3" s="1"/>
  <c r="X59" i="7"/>
  <c r="F29" i="6"/>
  <c r="H48" i="7"/>
  <c r="K28" i="6"/>
  <c r="AC23" i="6"/>
  <c r="I28" i="6"/>
  <c r="AN56" i="3"/>
  <c r="AQ55" i="3" s="1"/>
  <c r="AQ8" i="3"/>
  <c r="AN48" i="3"/>
  <c r="AN51" i="3"/>
  <c r="AQ50" i="3" s="1"/>
  <c r="CG49" i="3"/>
  <c r="CG74" i="3"/>
  <c r="Y18" i="6"/>
  <c r="E28" i="6"/>
  <c r="Y20" i="6"/>
  <c r="Y25" i="6"/>
  <c r="Y23" i="6"/>
  <c r="Y17" i="6"/>
  <c r="M37" i="8"/>
  <c r="M24" i="8" s="1"/>
  <c r="O50" i="7"/>
  <c r="AH25" i="6"/>
  <c r="AH21" i="6"/>
  <c r="AH17" i="6"/>
  <c r="N28" i="6"/>
  <c r="AH24" i="6"/>
  <c r="AH16" i="6"/>
  <c r="AX66" i="3"/>
  <c r="BH66" i="3"/>
  <c r="M46" i="5"/>
  <c r="CV75" i="3" l="1"/>
  <c r="CY75" i="3" s="1"/>
  <c r="CY73" i="3"/>
  <c r="M18" i="9"/>
  <c r="V18" i="9"/>
  <c r="W13" i="3"/>
  <c r="G21" i="7"/>
  <c r="V19" i="9"/>
  <c r="AV24" i="3"/>
  <c r="AB58" i="3"/>
  <c r="R62" i="3"/>
  <c r="BF22" i="3"/>
  <c r="BC24" i="3" s="1"/>
  <c r="BF24" i="3" s="1"/>
  <c r="AV62" i="3"/>
  <c r="AQ58" i="3"/>
  <c r="X25" i="7"/>
  <c r="X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V33" i="6"/>
  <c r="V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X61" i="7"/>
</calcChain>
</file>

<file path=xl/sharedStrings.xml><?xml version="1.0" encoding="utf-8"?>
<sst xmlns="http://schemas.openxmlformats.org/spreadsheetml/2006/main" count="1720" uniqueCount="586">
  <si>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</si>
  <si>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</si>
  <si>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</si>
  <si>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</si>
  <si>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</si>
  <si>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</si>
  <si>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</si>
  <si>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</si>
  <si>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</si>
  <si>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</si>
  <si>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</si>
  <si>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</si>
  <si>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</si>
  <si>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</si>
  <si>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</si>
  <si>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</si>
  <si>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</si>
  <si>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</si>
  <si>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</si>
  <si>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</si>
  <si>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</si>
  <si>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</si>
  <si>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</si>
  <si>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</si>
  <si>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</si>
  <si>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</si>
  <si>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</si>
  <si>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</si>
  <si>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</si>
  <si>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</si>
  <si>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</si>
  <si>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</si>
  <si>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</si>
  <si>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</si>
  <si>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</si>
  <si>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</si>
  <si>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</si>
  <si>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</si>
  <si>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</si>
  <si>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</si>
  <si>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</si>
  <si>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</si>
  <si>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</si>
  <si>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</si>
  <si>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</si>
  <si>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</si>
  <si>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</si>
  <si>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</si>
  <si>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</si>
  <si>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</si>
  <si>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</si>
  <si>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</si>
  <si>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</si>
  <si>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</si>
  <si>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</si>
  <si>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</si>
  <si>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</si>
  <si>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</si>
  <si>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</si>
  <si>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</si>
  <si>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</si>
  <si>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</si>
  <si>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</si>
  <si>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</si>
  <si>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</si>
  <si>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</si>
  <si>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</si>
  <si>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</si>
  <si>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</si>
  <si>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</si>
  <si>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</si>
  <si>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</si>
  <si>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</si>
  <si>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</si>
  <si>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</si>
  <si>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</si>
  <si>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</si>
  <si>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</si>
  <si>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</si>
  <si>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</si>
  <si>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</si>
  <si>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</si>
  <si>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</si>
  <si>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</si>
  <si>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</si>
  <si>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</si>
  <si>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</si>
  <si>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</si>
  <si>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</si>
  <si>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</si>
  <si>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</si>
  <si>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</si>
  <si>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</si>
  <si>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</si>
  <si>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</si>
  <si>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</si>
  <si>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</si>
  <si>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</si>
  <si>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</si>
  <si>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</si>
  <si>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</si>
  <si>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</si>
  <si>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</si>
  <si>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</si>
  <si>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</si>
  <si>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</si>
  <si>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</si>
  <si>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</si>
  <si>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</si>
  <si>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</si>
  <si>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</si>
  <si>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</si>
  <si>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</si>
  <si>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</si>
  <si>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</si>
  <si>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</si>
  <si>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</si>
  <si>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</si>
  <si>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</si>
  <si>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</si>
  <si>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</si>
  <si>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</si>
  <si>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</si>
  <si>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</si>
  <si>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</si>
  <si>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</si>
  <si>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</si>
  <si>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</si>
  <si>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</si>
  <si>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</si>
  <si>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</si>
  <si>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</si>
  <si>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</si>
  <si>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</si>
  <si>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</si>
  <si>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</si>
  <si>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</si>
  <si>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</si>
  <si>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</si>
  <si>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</si>
  <si>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</si>
  <si>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</si>
  <si>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</si>
  <si>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</si>
  <si>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</si>
  <si>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</si>
  <si>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</si>
  <si>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</si>
  <si>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</si>
  <si>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</si>
  <si>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</si>
  <si>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</si>
  <si>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</si>
  <si>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</si>
  <si>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</si>
  <si>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</si>
  <si>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</si>
  <si>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</si>
  <si>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</si>
  <si>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</si>
  <si>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</si>
  <si>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</si>
  <si>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</si>
  <si>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</si>
  <si>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</si>
  <si>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</si>
  <si>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</si>
  <si>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</si>
  <si>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</si>
  <si>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</si>
  <si>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</si>
  <si>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</si>
  <si>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</si>
  <si>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</si>
  <si>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</si>
  <si>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</si>
  <si>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</si>
  <si>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</si>
  <si>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</si>
  <si>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</si>
  <si>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</si>
  <si>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</si>
  <si>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</si>
  <si>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</si>
  <si>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</si>
  <si>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</si>
  <si>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</si>
  <si>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</si>
  <si>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</si>
  <si>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</si>
  <si>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</si>
  <si>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</si>
  <si>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</si>
  <si>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</si>
  <si>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</si>
  <si>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</si>
  <si>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</si>
  <si>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</si>
  <si>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</si>
  <si>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</si>
  <si>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</si>
  <si>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</si>
  <si>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</si>
  <si>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</si>
  <si>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</si>
  <si>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</si>
  <si>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</si>
  <si>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</si>
  <si>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</si>
  <si>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</si>
  <si>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</si>
  <si>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</si>
  <si>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</si>
  <si>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</si>
  <si>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</si>
  <si>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</si>
  <si>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</si>
  <si>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</si>
  <si>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</si>
  <si>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</si>
  <si>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</si>
  <si>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</si>
  <si>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</si>
  <si>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</si>
  <si>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</si>
  <si>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</si>
  <si>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</si>
  <si>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</si>
  <si>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</si>
  <si>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</si>
  <si>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</si>
  <si>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</si>
  <si>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</si>
  <si>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</si>
  <si>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</si>
  <si>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</si>
  <si>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</si>
  <si>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</si>
  <si>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</si>
  <si>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</si>
  <si>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</si>
  <si>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</si>
  <si>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</si>
  <si>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</si>
  <si>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</si>
  <si>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</si>
  <si>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</si>
  <si>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</si>
  <si>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</si>
  <si>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</si>
  <si>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</si>
  <si>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</si>
  <si>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</si>
  <si>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</si>
  <si>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</si>
  <si>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</si>
  <si>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</si>
  <si>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</si>
  <si>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</si>
  <si>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</si>
  <si>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</si>
  <si>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</si>
  <si>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</si>
  <si>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</si>
  <si>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</si>
  <si>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</si>
  <si>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</si>
  <si>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</si>
  <si>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</si>
  <si>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</si>
  <si>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</si>
  <si>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</si>
  <si>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</si>
  <si>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</si>
  <si>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</si>
  <si>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</si>
  <si>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</si>
  <si>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</si>
  <si>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</si>
  <si>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</si>
  <si>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</si>
  <si>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</si>
  <si>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</si>
  <si>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</si>
  <si>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</si>
  <si>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</si>
  <si>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</si>
  <si>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</si>
  <si>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</si>
  <si>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</si>
  <si>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</si>
  <si>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</si>
  <si>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</si>
  <si>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</si>
  <si>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</si>
  <si>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</si>
  <si>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</si>
  <si>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</si>
  <si>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</si>
  <si>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</si>
  <si>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</si>
  <si>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</si>
  <si>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</si>
  <si>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</si>
  <si>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</si>
  <si>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</si>
  <si>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</si>
  <si>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</si>
  <si>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</si>
  <si>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</si>
  <si>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</si>
  <si>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</si>
  <si>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</si>
  <si>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</si>
  <si>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</si>
  <si>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</si>
  <si>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</si>
  <si>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</si>
  <si>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</si>
  <si>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</si>
  <si>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</si>
  <si>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</si>
  <si>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</si>
  <si>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</si>
  <si>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</si>
  <si>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</si>
  <si>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</si>
  <si>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</si>
  <si>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</si>
  <si>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</si>
  <si>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</si>
  <si>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</si>
  <si>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</si>
  <si>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</si>
  <si>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</si>
  <si>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</si>
  <si>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</si>
  <si>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</si>
  <si>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</si>
  <si>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</si>
  <si>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</si>
  <si>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</si>
  <si>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</si>
  <si>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</si>
  <si>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</si>
  <si>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</si>
  <si>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</si>
  <si>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</si>
  <si>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</si>
  <si>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</si>
  <si>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</si>
  <si>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</si>
  <si>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</si>
  <si>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</si>
  <si>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</si>
  <si>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</si>
  <si>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</si>
  <si>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</si>
  <si>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</si>
  <si>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</si>
  <si>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</si>
  <si>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</si>
  <si>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</si>
  <si>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</si>
  <si>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</si>
  <si>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</si>
  <si>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</si>
  <si>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</si>
  <si>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</si>
  <si>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</si>
  <si>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</si>
  <si>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</si>
  <si>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</si>
  <si>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</si>
  <si>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</si>
  <si>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</si>
  <si>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</si>
  <si>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</si>
  <si>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</si>
  <si>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</si>
  <si>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</si>
  <si>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</si>
  <si>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</si>
  <si>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</si>
  <si>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</si>
  <si>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</si>
  <si>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</si>
  <si>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</si>
  <si>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</si>
  <si>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</si>
  <si>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</si>
  <si>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</si>
  <si>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</si>
  <si>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</si>
  <si>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</si>
  <si>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</si>
  <si>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</si>
  <si>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</si>
  <si>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</si>
  <si>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</si>
  <si>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</si>
  <si>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</si>
  <si>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</si>
  <si>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</si>
  <si>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</si>
  <si>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</si>
  <si>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</si>
  <si>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</si>
  <si>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</si>
  <si>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</si>
  <si>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</si>
  <si>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</si>
  <si>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</si>
  <si>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</si>
  <si>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</si>
  <si>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</si>
  <si>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</si>
  <si>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</si>
  <si>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</si>
  <si>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</si>
  <si>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</si>
  <si>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</si>
  <si>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</si>
  <si>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</si>
  <si>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</si>
  <si>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</si>
  <si>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</si>
  <si>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</si>
  <si>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</si>
  <si>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</si>
  <si>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</si>
  <si>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</si>
  <si>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</si>
  <si>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</si>
  <si>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</si>
  <si>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</si>
  <si>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</si>
  <si>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</si>
  <si>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</si>
  <si>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</si>
  <si>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</si>
  <si>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</si>
  <si>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</si>
  <si>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</si>
  <si>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</si>
  <si>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</si>
  <si>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</si>
  <si>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</si>
  <si>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</si>
  <si>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</si>
  <si>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</si>
  <si>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</si>
  <si>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</si>
  <si>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</si>
  <si>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</si>
  <si>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</si>
  <si>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</si>
  <si>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</si>
  <si>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</si>
  <si>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</si>
  <si>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</si>
  <si>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</si>
  <si>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</si>
  <si>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</si>
  <si>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</si>
  <si>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</si>
  <si>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</si>
  <si>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</si>
  <si>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</si>
  <si>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</si>
  <si>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</si>
  <si>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</si>
  <si>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</si>
  <si>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</si>
  <si>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</si>
  <si>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</si>
  <si>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</si>
  <si>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</si>
  <si>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</si>
  <si>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</si>
  <si>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</si>
  <si>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</si>
  <si>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</si>
  <si>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</si>
  <si>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</si>
  <si>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</si>
  <si>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</si>
  <si>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</si>
  <si>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</si>
  <si>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</si>
  <si>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</si>
  <si>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</si>
  <si>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</si>
  <si>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</si>
  <si>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</si>
  <si>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</si>
  <si>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</si>
  <si>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</si>
  <si>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</si>
  <si>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</si>
  <si>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</si>
  <si>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</si>
  <si>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</si>
  <si>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</si>
  <si>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</si>
  <si>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</si>
  <si>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</si>
  <si>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</si>
  <si>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</si>
  <si>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</si>
  <si>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</si>
  <si>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</si>
  <si>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</si>
  <si>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</si>
  <si>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</si>
  <si>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</si>
  <si>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</si>
  <si>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</si>
  <si>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</si>
  <si>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</si>
  <si>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</si>
  <si>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</si>
  <si>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</si>
  <si>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</si>
  <si>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</si>
  <si>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</si>
  <si>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</si>
  <si>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</si>
  <si>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</si>
  <si>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</si>
  <si>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</si>
  <si>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</si>
  <si>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</si>
  <si>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</si>
  <si>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</si>
  <si>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</si>
  <si>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</si>
  <si>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</si>
  <si>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</si>
  <si>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</si>
  <si>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</si>
  <si>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</si>
  <si>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</si>
  <si>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</si>
  <si>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</si>
  <si>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</si>
  <si>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</si>
  <si>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</si>
  <si>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</si>
  <si>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</si>
  <si>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</si>
  <si>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</si>
  <si>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</si>
  <si>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</si>
  <si>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</si>
  <si>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</si>
  <si>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</si>
  <si>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</si>
  <si>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</si>
  <si>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</si>
  <si>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</si>
  <si>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</si>
  <si>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</si>
  <si>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</si>
  <si>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</si>
  <si>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</si>
  <si>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</si>
  <si>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</si>
  <si>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</si>
  <si>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</si>
  <si>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</si>
  <si>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</si>
  <si>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</si>
  <si>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</si>
  <si>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</si>
  <si>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</si>
  <si>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</si>
  <si>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R02年</t>
    <rPh sb="3" eb="4">
      <t>ネン</t>
    </rPh>
    <phoneticPr fontId="3"/>
  </si>
  <si>
    <t>Ｒ０３年</t>
    <rPh sb="3" eb="4">
      <t>ネン</t>
    </rPh>
    <phoneticPr fontId="3"/>
  </si>
  <si>
    <t>R04年</t>
    <rPh sb="3" eb="4">
      <t>ネン</t>
    </rPh>
    <phoneticPr fontId="3"/>
  </si>
  <si>
    <t>Ｒ０４年</t>
    <rPh sb="3" eb="4">
      <t>ネン</t>
    </rPh>
    <phoneticPr fontId="3"/>
  </si>
  <si>
    <t>R05年</t>
    <rPh sb="3" eb="4">
      <t>ネン</t>
    </rPh>
    <phoneticPr fontId="3"/>
  </si>
  <si>
    <t>※　本資料は、中小企業庁平成16年から令和05年中小企業実態基本調査（いずれも速報）をもとに作成しております。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9" eb="41">
      <t>ソクホウ</t>
    </rPh>
    <rPh sb="46" eb="48">
      <t>サクセイ</t>
    </rPh>
    <phoneticPr fontId="3"/>
  </si>
  <si>
    <t>※　本資料は、中小企業庁平成16年から令和05年中小企業実態基本調査（いずれも速報）をもとに作成しております。</t>
    <rPh sb="19" eb="21">
      <t>レイワ</t>
    </rPh>
    <phoneticPr fontId="3"/>
  </si>
  <si>
    <t>Ｒ０５年</t>
    <rPh sb="3" eb="4">
      <t>ネン</t>
    </rPh>
    <phoneticPr fontId="3"/>
  </si>
  <si>
    <t>６９　不動産賃貸業・管理業</t>
    <rPh sb="3" eb="6">
      <t>フドウサン</t>
    </rPh>
    <rPh sb="6" eb="9">
      <t>チンタイギョウ</t>
    </rPh>
    <rPh sb="10" eb="12">
      <t>カンリ</t>
    </rPh>
    <rPh sb="12" eb="13">
      <t>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</si>
</sst>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総合評価!$C$19:$V$19</c:f>
              <c:numCache>
                <c:formatCode>#,##0;"△ "#,##0</c:formatCode>
                <c:ptCount val="20"/>
                <c:pt idx="0">
                  <c:v>77242.117479271197</c:v>
                </c:pt>
                <c:pt idx="1">
                  <c:v>97381.565516376853</c:v>
                </c:pt>
                <c:pt idx="2">
                  <c:v>108067.23261786168</c:v>
                </c:pt>
                <c:pt idx="3">
                  <c:v>109424.06256578342</c:v>
                </c:pt>
                <c:pt idx="4">
                  <c:v>137051.77133361096</c:v>
                </c:pt>
                <c:pt idx="5">
                  <c:v>157160.02652107546</c:v>
                </c:pt>
                <c:pt idx="6">
                  <c:v>163719.42962408118</c:v>
                </c:pt>
                <c:pt idx="7">
                  <c:v>119099.25632925727</c:v>
                </c:pt>
                <c:pt idx="8">
                  <c:v>139529.1625517784</c:v>
                </c:pt>
                <c:pt idx="9">
                  <c:v>92707.483013790363</c:v>
                </c:pt>
                <c:pt idx="10">
                  <c:v>139258.00102999643</c:v>
                </c:pt>
                <c:pt idx="11">
                  <c:v>242661.69952737604</c:v>
                </c:pt>
                <c:pt idx="12">
                  <c:v>197230.06618806516</c:v>
                </c:pt>
                <c:pt idx="13">
                  <c:v>136400.56904993937</c:v>
                </c:pt>
                <c:pt idx="14">
                  <c:v>208170.8302791233</c:v>
                </c:pt>
                <c:pt idx="15">
                  <c:v>205331.6753702501</c:v>
                </c:pt>
                <c:pt idx="16">
                  <c:v>185282.57140160454</c:v>
                </c:pt>
                <c:pt idx="17">
                  <c:v>169961.11935973505</c:v>
                </c:pt>
                <c:pt idx="18">
                  <c:v>176280.54012982099</c:v>
                </c:pt>
                <c:pt idx="19">
                  <c:v>235374.52721946963</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総合評価!$C$17:$V$17</c:f>
              <c:numCache>
                <c:formatCode>#,##0;"△ "#,##0</c:formatCode>
                <c:ptCount val="20"/>
                <c:pt idx="0">
                  <c:v>471824.94162390404</c:v>
                </c:pt>
                <c:pt idx="1">
                  <c:v>606820.79475654091</c:v>
                </c:pt>
                <c:pt idx="2">
                  <c:v>387475.0138747273</c:v>
                </c:pt>
                <c:pt idx="3">
                  <c:v>416381.55008968187</c:v>
                </c:pt>
                <c:pt idx="4">
                  <c:v>327848.02701821778</c:v>
                </c:pt>
                <c:pt idx="5">
                  <c:v>340372.57301029452</c:v>
                </c:pt>
                <c:pt idx="6">
                  <c:v>414862.68827572581</c:v>
                </c:pt>
                <c:pt idx="7">
                  <c:v>304436.52784579218</c:v>
                </c:pt>
                <c:pt idx="8">
                  <c:v>224729.29305052274</c:v>
                </c:pt>
                <c:pt idx="9">
                  <c:v>224381.03383388746</c:v>
                </c:pt>
                <c:pt idx="10">
                  <c:v>232136.66308754147</c:v>
                </c:pt>
                <c:pt idx="11">
                  <c:v>269323.18967678247</c:v>
                </c:pt>
                <c:pt idx="12">
                  <c:v>245206.60274025123</c:v>
                </c:pt>
                <c:pt idx="13">
                  <c:v>249173.22850795774</c:v>
                </c:pt>
                <c:pt idx="14">
                  <c:v>279367.38212480739</c:v>
                </c:pt>
                <c:pt idx="15">
                  <c:v>244928.12846065586</c:v>
                </c:pt>
                <c:pt idx="16">
                  <c:v>278024.77494530013</c:v>
                </c:pt>
                <c:pt idx="17">
                  <c:v>335658.52188366349</c:v>
                </c:pt>
                <c:pt idx="18">
                  <c:v>245052.2709769519</c:v>
                </c:pt>
                <c:pt idx="19">
                  <c:v>370367.65764232964</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総合評価!$C$16:$V$16</c:f>
              <c:numCache>
                <c:formatCode>#,##0;"△ "#,##0</c:formatCode>
                <c:ptCount val="20"/>
                <c:pt idx="0">
                  <c:v>420682.28023322503</c:v>
                </c:pt>
                <c:pt idx="1">
                  <c:v>575201.60813739011</c:v>
                </c:pt>
                <c:pt idx="2">
                  <c:v>392190.9755317613</c:v>
                </c:pt>
                <c:pt idx="3">
                  <c:v>419136.26163055206</c:v>
                </c:pt>
                <c:pt idx="4">
                  <c:v>359908.0254165256</c:v>
                </c:pt>
                <c:pt idx="5">
                  <c:v>410452.79286333028</c:v>
                </c:pt>
                <c:pt idx="6">
                  <c:v>467293.27756528347</c:v>
                </c:pt>
                <c:pt idx="7">
                  <c:v>328544.08464099409</c:v>
                </c:pt>
                <c:pt idx="8">
                  <c:v>280182.47712232248</c:v>
                </c:pt>
                <c:pt idx="9">
                  <c:v>268032.63653467869</c:v>
                </c:pt>
                <c:pt idx="10">
                  <c:v>292140.24635349395</c:v>
                </c:pt>
                <c:pt idx="11">
                  <c:v>392891.66266681004</c:v>
                </c:pt>
                <c:pt idx="12">
                  <c:v>347388.25069029519</c:v>
                </c:pt>
                <c:pt idx="13">
                  <c:v>313717.82464836363</c:v>
                </c:pt>
                <c:pt idx="14">
                  <c:v>394706.04101210117</c:v>
                </c:pt>
                <c:pt idx="15">
                  <c:v>339491.11037597555</c:v>
                </c:pt>
                <c:pt idx="16">
                  <c:v>338857.47349092626</c:v>
                </c:pt>
                <c:pt idx="17">
                  <c:v>409043.5394520617</c:v>
                </c:pt>
                <c:pt idx="18">
                  <c:v>321051.13917934574</c:v>
                </c:pt>
                <c:pt idx="19">
                  <c:v>460817.62888037151</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総合評価!$C$15:$V$15</c:f>
              <c:numCache>
                <c:formatCode>#,##0;"△ "#,##0</c:formatCode>
                <c:ptCount val="20"/>
                <c:pt idx="0">
                  <c:v>127338.41356842199</c:v>
                </c:pt>
                <c:pt idx="1">
                  <c:v>126242.16973191741</c:v>
                </c:pt>
                <c:pt idx="2">
                  <c:v>101216.97847344266</c:v>
                </c:pt>
                <c:pt idx="3">
                  <c:v>104966.24560104504</c:v>
                </c:pt>
                <c:pt idx="4">
                  <c:v>104050.21340236823</c:v>
                </c:pt>
                <c:pt idx="5">
                  <c:v>83810.937469741315</c:v>
                </c:pt>
                <c:pt idx="6">
                  <c:v>110316.93975462743</c:v>
                </c:pt>
                <c:pt idx="7">
                  <c:v>94405.467665825083</c:v>
                </c:pt>
                <c:pt idx="8">
                  <c:v>83510.57185791638</c:v>
                </c:pt>
                <c:pt idx="9">
                  <c:v>48726.857071012142</c:v>
                </c:pt>
                <c:pt idx="10">
                  <c:v>78880.434469345244</c:v>
                </c:pt>
                <c:pt idx="11">
                  <c:v>118660.14038664328</c:v>
                </c:pt>
                <c:pt idx="12">
                  <c:v>93889.724277811867</c:v>
                </c:pt>
                <c:pt idx="13">
                  <c:v>71168.591768491329</c:v>
                </c:pt>
                <c:pt idx="14">
                  <c:v>92341.372132551478</c:v>
                </c:pt>
                <c:pt idx="15">
                  <c:v>110266.35173858464</c:v>
                </c:pt>
                <c:pt idx="16">
                  <c:v>120055.84285040114</c:v>
                </c:pt>
                <c:pt idx="17">
                  <c:v>95870.223026456093</c:v>
                </c:pt>
                <c:pt idx="18">
                  <c:v>100102.58094901108</c:v>
                </c:pt>
                <c:pt idx="19">
                  <c:v>144368.97511451811</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総合評価２!$C$5:$V$5</c:f>
              <c:numCache>
                <c:formatCode>#,##0;"△ "#,##0</c:formatCode>
                <c:ptCount val="20"/>
                <c:pt idx="0">
                  <c:v>107629.490764692</c:v>
                </c:pt>
                <c:pt idx="1">
                  <c:v>153443.90322522877</c:v>
                </c:pt>
                <c:pt idx="2">
                  <c:v>122702.14935468711</c:v>
                </c:pt>
                <c:pt idx="3">
                  <c:v>134643.77120936109</c:v>
                </c:pt>
                <c:pt idx="4">
                  <c:v>122190.1530570623</c:v>
                </c:pt>
                <c:pt idx="5">
                  <c:v>117117.86794373595</c:v>
                </c:pt>
                <c:pt idx="6">
                  <c:v>128747.066465904</c:v>
                </c:pt>
                <c:pt idx="7">
                  <c:v>89330.530343840102</c:v>
                </c:pt>
                <c:pt idx="8">
                  <c:v>77413.875779371112</c:v>
                </c:pt>
                <c:pt idx="9">
                  <c:v>73200.946820408819</c:v>
                </c:pt>
                <c:pt idx="10">
                  <c:v>71135.359744677393</c:v>
                </c:pt>
                <c:pt idx="11">
                  <c:v>80506.792831506449</c:v>
                </c:pt>
                <c:pt idx="12">
                  <c:v>80809.01291244899</c:v>
                </c:pt>
                <c:pt idx="13">
                  <c:v>75808.624721591332</c:v>
                </c:pt>
                <c:pt idx="14">
                  <c:v>85473.774217329614</c:v>
                </c:pt>
                <c:pt idx="15">
                  <c:v>86955.078162896534</c:v>
                </c:pt>
                <c:pt idx="16">
                  <c:v>88371.048650735771</c:v>
                </c:pt>
                <c:pt idx="17">
                  <c:v>66670.964787937322</c:v>
                </c:pt>
                <c:pt idx="18">
                  <c:v>79707.523542258947</c:v>
                </c:pt>
                <c:pt idx="19">
                  <c:v>106703.8265370353</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総合評価２!$C$12:$V$12</c:f>
              <c:numCache>
                <c:formatCode>#,##0;"△ "#,##0</c:formatCode>
                <c:ptCount val="20"/>
                <c:pt idx="0">
                  <c:v>11147.006110264399</c:v>
                </c:pt>
                <c:pt idx="1">
                  <c:v>15653.910209344389</c:v>
                </c:pt>
                <c:pt idx="2">
                  <c:v>12834.758099289995</c:v>
                </c:pt>
                <c:pt idx="3">
                  <c:v>13799.538513916081</c:v>
                </c:pt>
                <c:pt idx="4">
                  <c:v>15135.57588319772</c:v>
                </c:pt>
                <c:pt idx="5">
                  <c:v>14109.223651654676</c:v>
                </c:pt>
                <c:pt idx="6">
                  <c:v>13205.609216910569</c:v>
                </c:pt>
                <c:pt idx="7">
                  <c:v>8903.2891178717491</c:v>
                </c:pt>
                <c:pt idx="8">
                  <c:v>7504.3614091854324</c:v>
                </c:pt>
                <c:pt idx="9">
                  <c:v>7979.739968630749</c:v>
                </c:pt>
                <c:pt idx="10">
                  <c:v>10011.418791640424</c:v>
                </c:pt>
                <c:pt idx="11">
                  <c:v>12362.16355973294</c:v>
                </c:pt>
                <c:pt idx="12">
                  <c:v>11032.628548314819</c:v>
                </c:pt>
                <c:pt idx="13">
                  <c:v>9803.6832285068012</c:v>
                </c:pt>
                <c:pt idx="14">
                  <c:v>11923.888319386093</c:v>
                </c:pt>
                <c:pt idx="15">
                  <c:v>12028.524548764428</c:v>
                </c:pt>
                <c:pt idx="16">
                  <c:v>10360.624788708226</c:v>
                </c:pt>
                <c:pt idx="17">
                  <c:v>7256.3373809852355</c:v>
                </c:pt>
                <c:pt idx="18">
                  <c:v>10985.737185666003</c:v>
                </c:pt>
                <c:pt idx="19">
                  <c:v>15736.719846685986</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総合評価２!$C$31:$V$31</c:f>
              <c:numCache>
                <c:formatCode>#,##0;"△ "#,##0</c:formatCode>
                <c:ptCount val="20"/>
                <c:pt idx="0">
                  <c:v>19505.106007201462</c:v>
                </c:pt>
                <c:pt idx="1">
                  <c:v>22261.235889375297</c:v>
                </c:pt>
                <c:pt idx="2">
                  <c:v>18829.520992610476</c:v>
                </c:pt>
                <c:pt idx="3">
                  <c:v>19087.913673549552</c:v>
                </c:pt>
                <c:pt idx="4">
                  <c:v>16239.16765035501</c:v>
                </c:pt>
                <c:pt idx="5">
                  <c:v>18142.143971314148</c:v>
                </c:pt>
                <c:pt idx="6">
                  <c:v>19833.807629888604</c:v>
                </c:pt>
                <c:pt idx="7">
                  <c:v>18328.4408867196</c:v>
                </c:pt>
                <c:pt idx="8">
                  <c:v>17344.333791248577</c:v>
                </c:pt>
                <c:pt idx="9">
                  <c:v>15515.509642730451</c:v>
                </c:pt>
                <c:pt idx="10">
                  <c:v>15911.316282572952</c:v>
                </c:pt>
                <c:pt idx="11">
                  <c:v>18400.113414837251</c:v>
                </c:pt>
                <c:pt idx="12">
                  <c:v>17434.809644183882</c:v>
                </c:pt>
                <c:pt idx="13">
                  <c:v>17596.475299976344</c:v>
                </c:pt>
                <c:pt idx="14">
                  <c:v>17966.13357058269</c:v>
                </c:pt>
                <c:pt idx="15">
                  <c:v>18805.905658186173</c:v>
                </c:pt>
                <c:pt idx="16">
                  <c:v>18297.692473737228</c:v>
                </c:pt>
                <c:pt idx="17">
                  <c:v>16411.102207935968</c:v>
                </c:pt>
                <c:pt idx="18">
                  <c:v>20026.452370587911</c:v>
                </c:pt>
                <c:pt idx="19">
                  <c:v>24915.577271609374</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総合評価２!$C$35:$V$35</c:f>
              <c:numCache>
                <c:formatCode>#,##0;"△ "#,##0</c:formatCode>
                <c:ptCount val="20"/>
                <c:pt idx="0">
                  <c:v>14958.934150612085</c:v>
                </c:pt>
                <c:pt idx="1">
                  <c:v>18195.978228394022</c:v>
                </c:pt>
                <c:pt idx="2">
                  <c:v>16422.258214579379</c:v>
                </c:pt>
                <c:pt idx="3">
                  <c:v>15523.822077314582</c:v>
                </c:pt>
                <c:pt idx="4">
                  <c:v>13301.054323068493</c:v>
                </c:pt>
                <c:pt idx="5">
                  <c:v>16063.852423888458</c:v>
                </c:pt>
                <c:pt idx="6">
                  <c:v>17844.858948277051</c:v>
                </c:pt>
                <c:pt idx="7">
                  <c:v>15144.557386156024</c:v>
                </c:pt>
                <c:pt idx="8">
                  <c:v>15169.252541524467</c:v>
                </c:pt>
                <c:pt idx="9">
                  <c:v>13626.877014219142</c:v>
                </c:pt>
                <c:pt idx="10">
                  <c:v>14273.415171295048</c:v>
                </c:pt>
                <c:pt idx="11">
                  <c:v>16431.437868927587</c:v>
                </c:pt>
                <c:pt idx="12">
                  <c:v>15427.191650766361</c:v>
                </c:pt>
                <c:pt idx="13">
                  <c:v>15788.925568049452</c:v>
                </c:pt>
                <c:pt idx="14">
                  <c:v>15635.192478657609</c:v>
                </c:pt>
                <c:pt idx="15">
                  <c:v>16147.601726141795</c:v>
                </c:pt>
                <c:pt idx="16">
                  <c:v>16046.865704098111</c:v>
                </c:pt>
                <c:pt idx="17">
                  <c:v>14426.255999221872</c:v>
                </c:pt>
                <c:pt idx="18">
                  <c:v>17294.492676406935</c:v>
                </c:pt>
                <c:pt idx="19">
                  <c:v>22954.163557039261</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1551602483305406"/>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総合評価２!$C$32:$V$32</c:f>
              <c:numCache>
                <c:formatCode>#,##0;"△ "#,##0</c:formatCode>
                <c:ptCount val="20"/>
                <c:pt idx="0">
                  <c:v>82543.640850683121</c:v>
                </c:pt>
                <c:pt idx="1">
                  <c:v>125422.59271861181</c:v>
                </c:pt>
                <c:pt idx="2">
                  <c:v>107015.27569274588</c:v>
                </c:pt>
                <c:pt idx="3">
                  <c:v>109503.11195975177</c:v>
                </c:pt>
                <c:pt idx="4">
                  <c:v>100082.58419085346</c:v>
                </c:pt>
                <c:pt idx="5">
                  <c:v>103701.31280092319</c:v>
                </c:pt>
                <c:pt idx="6">
                  <c:v>115836.21682537267</c:v>
                </c:pt>
                <c:pt idx="7">
                  <c:v>73812.68005770749</c:v>
                </c:pt>
                <c:pt idx="8">
                  <c:v>67705.721421713301</c:v>
                </c:pt>
                <c:pt idx="9">
                  <c:v>64290.527518280389</c:v>
                </c:pt>
                <c:pt idx="10">
                  <c:v>63812.729567023736</c:v>
                </c:pt>
                <c:pt idx="11">
                  <c:v>71893.163624242996</c:v>
                </c:pt>
                <c:pt idx="12">
                  <c:v>71503.856638060795</c:v>
                </c:pt>
                <c:pt idx="13">
                  <c:v>68021.391371885038</c:v>
                </c:pt>
                <c:pt idx="14">
                  <c:v>74384.335756773944</c:v>
                </c:pt>
                <c:pt idx="15">
                  <c:v>74663.565571423242</c:v>
                </c:pt>
                <c:pt idx="16">
                  <c:v>77500.392569393793</c:v>
                </c:pt>
                <c:pt idx="17">
                  <c:v>58607.422801911758</c:v>
                </c:pt>
                <c:pt idx="18">
                  <c:v>68834.017960199621</c:v>
                </c:pt>
                <c:pt idx="19">
                  <c:v>98303.846617431671</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総合評価２!$C$34:$V$34</c:f>
              <c:numCache>
                <c:formatCode>#,##0.0;"△ "#,##0.0</c:formatCode>
                <c:ptCount val="20"/>
                <c:pt idx="0">
                  <c:v>22.10972769235093</c:v>
                </c:pt>
                <c:pt idx="1">
                  <c:v>18.848775144305389</c:v>
                </c:pt>
                <c:pt idx="2">
                  <c:v>20.774733148035704</c:v>
                </c:pt>
                <c:pt idx="3">
                  <c:v>21.920491181448483</c:v>
                </c:pt>
                <c:pt idx="4">
                  <c:v>22.587506156667484</c:v>
                </c:pt>
                <c:pt idx="5">
                  <c:v>20.57550474013868</c:v>
                </c:pt>
                <c:pt idx="6">
                  <c:v>18.520114260606579</c:v>
                </c:pt>
                <c:pt idx="7">
                  <c:v>22.943469670583642</c:v>
                </c:pt>
                <c:pt idx="8">
                  <c:v>23.124190461432541</c:v>
                </c:pt>
                <c:pt idx="9">
                  <c:v>23.77550911028931</c:v>
                </c:pt>
                <c:pt idx="10">
                  <c:v>20.704179444069833</c:v>
                </c:pt>
                <c:pt idx="11">
                  <c:v>18.947027997560568</c:v>
                </c:pt>
                <c:pt idx="12">
                  <c:v>21.274028666156646</c:v>
                </c:pt>
                <c:pt idx="13">
                  <c:v>19.600311687076317</c:v>
                </c:pt>
                <c:pt idx="14">
                  <c:v>21.021850885852263</c:v>
                </c:pt>
                <c:pt idx="15">
                  <c:v>22.057103833266638</c:v>
                </c:pt>
                <c:pt idx="16">
                  <c:v>20.549785798502327</c:v>
                </c:pt>
                <c:pt idx="17">
                  <c:v>23.318732348892173</c:v>
                </c:pt>
                <c:pt idx="18">
                  <c:v>18.0466978382102</c:v>
                </c:pt>
                <c:pt idx="19">
                  <c:v>15.110685197584573</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Lベンチマーク!$C$16:$V$16</c:f>
              <c:numCache>
                <c:formatCode>0.0%</c:formatCode>
                <c:ptCount val="20"/>
                <c:pt idx="1">
                  <c:v>0.42566783634329197</c:v>
                </c:pt>
                <c:pt idx="2">
                  <c:v>-0.20034522861047244</c:v>
                </c:pt>
                <c:pt idx="3">
                  <c:v>9.7322026692092445E-2</c:v>
                </c:pt>
                <c:pt idx="4">
                  <c:v>-9.2493087800803897E-2</c:v>
                </c:pt>
                <c:pt idx="5">
                  <c:v>-4.1511406495723158E-2</c:v>
                </c:pt>
                <c:pt idx="6">
                  <c:v>9.9294827735036728E-2</c:v>
                </c:pt>
                <c:pt idx="7">
                  <c:v>-0.30615482903062929</c:v>
                </c:pt>
                <c:pt idx="8">
                  <c:v>-0.13339957256047696</c:v>
                </c:pt>
                <c:pt idx="9">
                  <c:v>-5.4420850481238126E-2</c:v>
                </c:pt>
                <c:pt idx="10">
                  <c:v>-2.8218037681932429E-2</c:v>
                </c:pt>
                <c:pt idx="11">
                  <c:v>0.13174085462511864</c:v>
                </c:pt>
                <c:pt idx="12">
                  <c:v>3.7539699485367173E-3</c:v>
                </c:pt>
                <c:pt idx="13">
                  <c:v>-6.1879090099457579E-2</c:v>
                </c:pt>
                <c:pt idx="14">
                  <c:v>0.12749406193864798</c:v>
                </c:pt>
                <c:pt idx="15">
                  <c:v>1.7330508207119566E-2</c:v>
                </c:pt>
                <c:pt idx="16">
                  <c:v>1.6283930941751734E-2</c:v>
                </c:pt>
                <c:pt idx="17">
                  <c:v>-0.24555648251456819</c:v>
                </c:pt>
                <c:pt idx="18">
                  <c:v>0.19553577476773376</c:v>
                </c:pt>
                <c:pt idx="19">
                  <c:v>0.33869203050153218</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Lベンチマーク!$C$17:$V$17</c:f>
              <c:numCache>
                <c:formatCode>0.0%</c:formatCode>
                <c:ptCount val="20"/>
                <c:pt idx="0">
                  <c:v>0.12400215520423405</c:v>
                </c:pt>
                <c:pt idx="1">
                  <c:v>0.13402278425495559</c:v>
                </c:pt>
                <c:pt idx="2">
                  <c:v>0.12781381704744171</c:v>
                </c:pt>
                <c:pt idx="3">
                  <c:v>0.12303467920628476</c:v>
                </c:pt>
                <c:pt idx="4">
                  <c:v>0.13626312897801507</c:v>
                </c:pt>
                <c:pt idx="5">
                  <c:v>0.13301723446279523</c:v>
                </c:pt>
                <c:pt idx="6">
                  <c:v>0.12393839891021906</c:v>
                </c:pt>
                <c:pt idx="7">
                  <c:v>0.10756510961218245</c:v>
                </c:pt>
                <c:pt idx="8">
                  <c:v>0.10284728547360285</c:v>
                </c:pt>
                <c:pt idx="9">
                  <c:v>0.10836721192864653</c:v>
                </c:pt>
                <c:pt idx="10">
                  <c:v>0.12885328385855149</c:v>
                </c:pt>
                <c:pt idx="11">
                  <c:v>0.1480553317770619</c:v>
                </c:pt>
                <c:pt idx="12">
                  <c:v>0.14307861030803823</c:v>
                </c:pt>
                <c:pt idx="13">
                  <c:v>0.12905017773485905</c:v>
                </c:pt>
                <c:pt idx="14">
                  <c:v>0.13194378424012665</c:v>
                </c:pt>
                <c:pt idx="15">
                  <c:v>0.13184411490872455</c:v>
                </c:pt>
                <c:pt idx="16">
                  <c:v>9.542366729333597E-2</c:v>
                </c:pt>
                <c:pt idx="17">
                  <c:v>0.10897080568817398</c:v>
                </c:pt>
                <c:pt idx="18">
                  <c:v>0.12443417360836385</c:v>
                </c:pt>
                <c:pt idx="19">
                  <c:v>0.15157843195346807</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Lベンチマーク!$C$18:$V$18</c:f>
              <c:numCache>
                <c:formatCode>#,##0_ ;[Red]\-#,##0\ </c:formatCode>
                <c:ptCount val="20"/>
                <c:pt idx="0">
                  <c:v>2418.6751823800337</c:v>
                </c:pt>
                <c:pt idx="1">
                  <c:v>2983.51281485042</c:v>
                </c:pt>
                <c:pt idx="2">
                  <c:v>2406.6729512404786</c:v>
                </c:pt>
                <c:pt idx="3">
                  <c:v>2348.4753355424259</c:v>
                </c:pt>
                <c:pt idx="4">
                  <c:v>2212.7997960359348</c:v>
                </c:pt>
                <c:pt idx="5">
                  <c:v>2413.2178182900811</c:v>
                </c:pt>
                <c:pt idx="6">
                  <c:v>2458.1703619416803</c:v>
                </c:pt>
                <c:pt idx="7">
                  <c:v>1971.5007530004004</c:v>
                </c:pt>
                <c:pt idx="8">
                  <c:v>1783.8176487779988</c:v>
                </c:pt>
                <c:pt idx="9">
                  <c:v>1681.3725216347293</c:v>
                </c:pt>
                <c:pt idx="10">
                  <c:v>2050.225353521565</c:v>
                </c:pt>
                <c:pt idx="11">
                  <c:v>2724.2348963692971</c:v>
                </c:pt>
                <c:pt idx="12">
                  <c:v>2494.5483348750122</c:v>
                </c:pt>
                <c:pt idx="13">
                  <c:v>2270.8282649690045</c:v>
                </c:pt>
                <c:pt idx="14">
                  <c:v>2370.5196514662584</c:v>
                </c:pt>
                <c:pt idx="15">
                  <c:v>2479.4479865605308</c:v>
                </c:pt>
                <c:pt idx="16">
                  <c:v>1746.0329188496792</c:v>
                </c:pt>
                <c:pt idx="17">
                  <c:v>1788.3310298297536</c:v>
                </c:pt>
                <c:pt idx="18">
                  <c:v>2491.9750510413664</c:v>
                </c:pt>
                <c:pt idx="19">
                  <c:v>3776.6641340460174</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Lベンチマーク!$C$19:$V$19</c:f>
              <c:numCache>
                <c:formatCode>#,##0.0_ ;[Red]\-#,##0.0\ </c:formatCode>
                <c:ptCount val="20"/>
                <c:pt idx="0">
                  <c:v>11.703565613061288</c:v>
                </c:pt>
                <c:pt idx="1">
                  <c:v>9.8287651655551311</c:v>
                </c:pt>
                <c:pt idx="2">
                  <c:v>7.3564763340596402</c:v>
                </c:pt>
                <c:pt idx="3">
                  <c:v>7.6251305636404503</c:v>
                </c:pt>
                <c:pt idx="4">
                  <c:v>6.0334380431565</c:v>
                </c:pt>
                <c:pt idx="5">
                  <c:v>7.335639382055219</c:v>
                </c:pt>
                <c:pt idx="6">
                  <c:v>8.4825059240566993</c:v>
                </c:pt>
                <c:pt idx="7">
                  <c:v>8.6663679358951224</c:v>
                </c:pt>
                <c:pt idx="8">
                  <c:v>7.4808502443651621</c:v>
                </c:pt>
                <c:pt idx="9">
                  <c:v>8.7712956717185513</c:v>
                </c:pt>
                <c:pt idx="10">
                  <c:v>7.1487645827786697</c:v>
                </c:pt>
                <c:pt idx="11">
                  <c:v>3.7666715658314365</c:v>
                </c:pt>
                <c:pt idx="12">
                  <c:v>6.7039286195197265</c:v>
                </c:pt>
                <c:pt idx="13">
                  <c:v>7.4444317962430544</c:v>
                </c:pt>
                <c:pt idx="14">
                  <c:v>7.2423624043819199</c:v>
                </c:pt>
                <c:pt idx="15">
                  <c:v>5.6525123790436513</c:v>
                </c:pt>
                <c:pt idx="16">
                  <c:v>7.0520436867470426</c:v>
                </c:pt>
                <c:pt idx="17">
                  <c:v>12.688353788887227</c:v>
                </c:pt>
                <c:pt idx="18">
                  <c:v>7.2403701783859766</c:v>
                </c:pt>
                <c:pt idx="19">
                  <c:v>5.6475997048314941</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Lベンチマーク!$C$20:$V$20</c:f>
              <c:numCache>
                <c:formatCode>#,##0.0_ ;[Red]\-#,##0.0\ </c:formatCode>
                <c:ptCount val="20"/>
                <c:pt idx="0">
                  <c:v>3.0216857666420474</c:v>
                </c:pt>
                <c:pt idx="1">
                  <c:v>1.3698674709495673</c:v>
                </c:pt>
                <c:pt idx="2">
                  <c:v>0.74553244113577721</c:v>
                </c:pt>
                <c:pt idx="3">
                  <c:v>1.0512455076518794</c:v>
                </c:pt>
                <c:pt idx="4">
                  <c:v>0.78272519005151486</c:v>
                </c:pt>
                <c:pt idx="5">
                  <c:v>0.69410189242450537</c:v>
                </c:pt>
                <c:pt idx="6">
                  <c:v>0.47463063695987695</c:v>
                </c:pt>
                <c:pt idx="7">
                  <c:v>1.1631382504168188</c:v>
                </c:pt>
                <c:pt idx="8">
                  <c:v>1.2603492636849707</c:v>
                </c:pt>
                <c:pt idx="9">
                  <c:v>0.66149046599614203</c:v>
                </c:pt>
                <c:pt idx="10">
                  <c:v>0.80821469663906231</c:v>
                </c:pt>
                <c:pt idx="11">
                  <c:v>0.20447828671807064</c:v>
                </c:pt>
                <c:pt idx="12">
                  <c:v>3.3552826312485333</c:v>
                </c:pt>
                <c:pt idx="13">
                  <c:v>0.82407507251523715</c:v>
                </c:pt>
                <c:pt idx="14">
                  <c:v>0.65792132498222411</c:v>
                </c:pt>
                <c:pt idx="15">
                  <c:v>1.3946262160319385</c:v>
                </c:pt>
                <c:pt idx="16">
                  <c:v>2.854752640047872</c:v>
                </c:pt>
                <c:pt idx="17">
                  <c:v>0.45360014215373623</c:v>
                </c:pt>
                <c:pt idx="18">
                  <c:v>2.4623601451799368</c:v>
                </c:pt>
                <c:pt idx="19">
                  <c:v>-0.40617795977815846</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Lベンチマーク!$C$21:$V$21</c:f>
              <c:numCache>
                <c:formatCode>0.0%</c:formatCode>
                <c:ptCount val="20"/>
                <c:pt idx="0">
                  <c:v>0.14067884095147767</c:v>
                </c:pt>
                <c:pt idx="1">
                  <c:v>0.13828633786265079</c:v>
                </c:pt>
                <c:pt idx="2">
                  <c:v>0.21807874784189132</c:v>
                </c:pt>
                <c:pt idx="3">
                  <c:v>0.20810744490375696</c:v>
                </c:pt>
                <c:pt idx="4">
                  <c:v>0.29479851748589569</c:v>
                </c:pt>
                <c:pt idx="5">
                  <c:v>0.31587885229853435</c:v>
                </c:pt>
                <c:pt idx="6">
                  <c:v>0.28296662575463916</c:v>
                </c:pt>
                <c:pt idx="7">
                  <c:v>0.28120234648232922</c:v>
                </c:pt>
                <c:pt idx="8">
                  <c:v>0.38304989329916034</c:v>
                </c:pt>
                <c:pt idx="9">
                  <c:v>0.29237098818789753</c:v>
                </c:pt>
                <c:pt idx="10">
                  <c:v>0.37495961704480618</c:v>
                </c:pt>
                <c:pt idx="11">
                  <c:v>0.4739626200776651</c:v>
                </c:pt>
                <c:pt idx="12">
                  <c:v>0.44578146442021149</c:v>
                </c:pt>
                <c:pt idx="13">
                  <c:v>0.3537599544208076</c:v>
                </c:pt>
                <c:pt idx="14">
                  <c:v>0.42698361888944925</c:v>
                </c:pt>
                <c:pt idx="15">
                  <c:v>0.45602932712013072</c:v>
                </c:pt>
                <c:pt idx="16">
                  <c:v>0.39991287179563284</c:v>
                </c:pt>
                <c:pt idx="17">
                  <c:v>0.33614421888709428</c:v>
                </c:pt>
                <c:pt idx="18">
                  <c:v>0.41838787647883546</c:v>
                </c:pt>
                <c:pt idx="19">
                  <c:v>0.38857212375454847</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PL!$K$4:$AD$4</c:f>
              <c:numCache>
                <c:formatCode>##\ ###\ ###\ ##0;[&lt;-999]\-#\ ###\ ##0;#\ ##0</c:formatCode>
                <c:ptCount val="20"/>
                <c:pt idx="0">
                  <c:v>71519</c:v>
                </c:pt>
                <c:pt idx="1">
                  <c:v>55841</c:v>
                </c:pt>
                <c:pt idx="2">
                  <c:v>55360.826280551599</c:v>
                </c:pt>
                <c:pt idx="3">
                  <c:v>50396.946920934199</c:v>
                </c:pt>
                <c:pt idx="4">
                  <c:v>60432.064040404199</c:v>
                </c:pt>
                <c:pt idx="5">
                  <c:v>63161.500913264499</c:v>
                </c:pt>
                <c:pt idx="6">
                  <c:v>63840.894955141201</c:v>
                </c:pt>
                <c:pt idx="7">
                  <c:v>121143.91328152489</c:v>
                </c:pt>
                <c:pt idx="8">
                  <c:v>120117.85040100326</c:v>
                </c:pt>
                <c:pt idx="9">
                  <c:v>111183.23767123211</c:v>
                </c:pt>
                <c:pt idx="10">
                  <c:v>108322.99483610119</c:v>
                </c:pt>
                <c:pt idx="11">
                  <c:v>105538.35862919933</c:v>
                </c:pt>
                <c:pt idx="12">
                  <c:v>102827.23420270068</c:v>
                </c:pt>
                <c:pt idx="13">
                  <c:v>100187.5897304992</c:v>
                </c:pt>
                <c:pt idx="14">
                  <c:v>107176.70191099987</c:v>
                </c:pt>
                <c:pt idx="15">
                  <c:v>111925</c:v>
                </c:pt>
                <c:pt idx="16">
                  <c:v>116545</c:v>
                </c:pt>
                <c:pt idx="17">
                  <c:v>159434</c:v>
                </c:pt>
                <c:pt idx="18">
                  <c:v>163918</c:v>
                </c:pt>
                <c:pt idx="19">
                  <c:v>160455</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PL!$K$5:$AD$5</c:f>
              <c:numCache>
                <c:formatCode>0.0</c:formatCode>
                <c:ptCount val="20"/>
                <c:pt idx="0">
                  <c:v>5.5180161915015598</c:v>
                </c:pt>
                <c:pt idx="1">
                  <c:v>6.8928744112748701</c:v>
                </c:pt>
                <c:pt idx="2">
                  <c:v>6.5164774718826237</c:v>
                </c:pt>
                <c:pt idx="3">
                  <c:v>7.0538757410632709</c:v>
                </c:pt>
                <c:pt idx="4">
                  <c:v>7.5244098520277953</c:v>
                </c:pt>
                <c:pt idx="5">
                  <c:v>6.4555693157831548</c:v>
                </c:pt>
                <c:pt idx="6">
                  <c:v>6.4912934958534283</c:v>
                </c:pt>
                <c:pt idx="7">
                  <c:v>4.873875028211871</c:v>
                </c:pt>
                <c:pt idx="8">
                  <c:v>4.4633525110334187</c:v>
                </c:pt>
                <c:pt idx="9">
                  <c:v>4.7179208744010532</c:v>
                </c:pt>
                <c:pt idx="10">
                  <c:v>4.470740099773467</c:v>
                </c:pt>
                <c:pt idx="11">
                  <c:v>4.3753422066729435</c:v>
                </c:pt>
                <c:pt idx="12">
                  <c:v>4.6349237279689053</c:v>
                </c:pt>
                <c:pt idx="13">
                  <c:v>4.3081710075024651</c:v>
                </c:pt>
                <c:pt idx="14">
                  <c:v>4.7574940863894222</c:v>
                </c:pt>
                <c:pt idx="15">
                  <c:v>4.6238176317259763</c:v>
                </c:pt>
                <c:pt idx="16">
                  <c:v>4.8296280406709853</c:v>
                </c:pt>
                <c:pt idx="17">
                  <c:v>4.0625525295733658</c:v>
                </c:pt>
                <c:pt idx="18">
                  <c:v>3.980112007223124</c:v>
                </c:pt>
                <c:pt idx="19">
                  <c:v>4.2826150634134184</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総合評価!$C$5:$V$5</c:f>
              <c:numCache>
                <c:formatCode>#,##0;"△ "#,##0</c:formatCode>
                <c:ptCount val="20"/>
                <c:pt idx="0">
                  <c:v>107629.490764692</c:v>
                </c:pt>
                <c:pt idx="1">
                  <c:v>153443.90322522877</c:v>
                </c:pt>
                <c:pt idx="2">
                  <c:v>122702.14935468711</c:v>
                </c:pt>
                <c:pt idx="3">
                  <c:v>134643.77120936109</c:v>
                </c:pt>
                <c:pt idx="4">
                  <c:v>122190.1530570623</c:v>
                </c:pt>
                <c:pt idx="5">
                  <c:v>117117.86794373595</c:v>
                </c:pt>
                <c:pt idx="6">
                  <c:v>128747.066465904</c:v>
                </c:pt>
                <c:pt idx="7">
                  <c:v>89330.530343840102</c:v>
                </c:pt>
                <c:pt idx="8">
                  <c:v>77413.875779371112</c:v>
                </c:pt>
                <c:pt idx="9">
                  <c:v>73200.946820408819</c:v>
                </c:pt>
                <c:pt idx="10">
                  <c:v>71135.359744677393</c:v>
                </c:pt>
                <c:pt idx="11">
                  <c:v>80506.792831506449</c:v>
                </c:pt>
                <c:pt idx="12">
                  <c:v>80809.01291244899</c:v>
                </c:pt>
                <c:pt idx="13">
                  <c:v>75808.624721591332</c:v>
                </c:pt>
                <c:pt idx="14">
                  <c:v>85473.774217329614</c:v>
                </c:pt>
                <c:pt idx="15">
                  <c:v>86955.078162896534</c:v>
                </c:pt>
                <c:pt idx="16">
                  <c:v>88371.048650735771</c:v>
                </c:pt>
                <c:pt idx="17">
                  <c:v>66670.964787937322</c:v>
                </c:pt>
                <c:pt idx="18">
                  <c:v>79707.523542258947</c:v>
                </c:pt>
                <c:pt idx="19">
                  <c:v>106703.8265370353</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総合評価!$C$12:$V$12</c:f>
              <c:numCache>
                <c:formatCode>#,##0;"△ "#,##0</c:formatCode>
                <c:ptCount val="20"/>
                <c:pt idx="0">
                  <c:v>-1035.9054237335502</c:v>
                </c:pt>
                <c:pt idx="1">
                  <c:v>9664.3684747765983</c:v>
                </c:pt>
                <c:pt idx="2">
                  <c:v>7013.6152175468096</c:v>
                </c:pt>
                <c:pt idx="3">
                  <c:v>8975.2023353557433</c:v>
                </c:pt>
                <c:pt idx="4">
                  <c:v>6873.5860034603693</c:v>
                </c:pt>
                <c:pt idx="5">
                  <c:v>5555.1287500916715</c:v>
                </c:pt>
                <c:pt idx="6">
                  <c:v>7039.4107982695805</c:v>
                </c:pt>
                <c:pt idx="7">
                  <c:v>2019.5983507122737</c:v>
                </c:pt>
                <c:pt idx="8">
                  <c:v>-1063.9032941263251</c:v>
                </c:pt>
                <c:pt idx="9">
                  <c:v>3538.5080804681147</c:v>
                </c:pt>
                <c:pt idx="10">
                  <c:v>6911.1328719467328</c:v>
                </c:pt>
                <c:pt idx="11">
                  <c:v>26751.913530238588</c:v>
                </c:pt>
                <c:pt idx="12">
                  <c:v>7625.401144384532</c:v>
                </c:pt>
                <c:pt idx="13">
                  <c:v>7120.7384743157536</c:v>
                </c:pt>
                <c:pt idx="14">
                  <c:v>7131.9435089397302</c:v>
                </c:pt>
                <c:pt idx="15">
                  <c:v>27532.113608426331</c:v>
                </c:pt>
                <c:pt idx="16">
                  <c:v>8313.4968295508188</c:v>
                </c:pt>
                <c:pt idx="17">
                  <c:v>5840.4715681724092</c:v>
                </c:pt>
                <c:pt idx="18">
                  <c:v>-24599.084115228343</c:v>
                </c:pt>
                <c:pt idx="19">
                  <c:v>13665.694873952198</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総合評価!$C$10:$V$10</c:f>
              <c:numCache>
                <c:formatCode>#,##0;"△ "#,##0</c:formatCode>
                <c:ptCount val="20"/>
                <c:pt idx="0">
                  <c:v>13346.288818356014</c:v>
                </c:pt>
                <c:pt idx="1">
                  <c:v>20564.979137193121</c:v>
                </c:pt>
                <c:pt idx="2">
                  <c:v>15683.030068947846</c:v>
                </c:pt>
                <c:pt idx="3">
                  <c:v>16565.853197868142</c:v>
                </c:pt>
                <c:pt idx="4">
                  <c:v>16650.012585857883</c:v>
                </c:pt>
                <c:pt idx="5">
                  <c:v>15578.694900054616</c:v>
                </c:pt>
                <c:pt idx="6">
                  <c:v>15956.705282171697</c:v>
                </c:pt>
                <c:pt idx="7">
                  <c:v>9608.8482881495511</c:v>
                </c:pt>
                <c:pt idx="8">
                  <c:v>7961.8069818990098</c:v>
                </c:pt>
                <c:pt idx="9">
                  <c:v>7932.5825174648262</c:v>
                </c:pt>
                <c:pt idx="10">
                  <c:v>9166.024701561093</c:v>
                </c:pt>
                <c:pt idx="11">
                  <c:v>11919.459922975877</c:v>
                </c:pt>
                <c:pt idx="12">
                  <c:v>11562.041267877517</c:v>
                </c:pt>
                <c:pt idx="13">
                  <c:v>9783.1164941565912</c:v>
                </c:pt>
                <c:pt idx="14">
                  <c:v>11277.73322352064</c:v>
                </c:pt>
                <c:pt idx="15">
                  <c:v>11464.515317206055</c:v>
                </c:pt>
                <c:pt idx="16">
                  <c:v>8432.6895448110172</c:v>
                </c:pt>
                <c:pt idx="17">
                  <c:v>7265.1887489494075</c:v>
                </c:pt>
                <c:pt idx="18">
                  <c:v>9918.339822350199</c:v>
                </c:pt>
                <c:pt idx="19">
                  <c:v>16173.998709918667</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総合評価!$C$9:$V$9</c:f>
              <c:numCache>
                <c:formatCode>#,##0;"△ "#,##0</c:formatCode>
                <c:ptCount val="20"/>
                <c:pt idx="0">
                  <c:v>39934.526629287298</c:v>
                </c:pt>
                <c:pt idx="1">
                  <c:v>48332.085743450159</c:v>
                </c:pt>
                <c:pt idx="2">
                  <c:v>42873.18716847575</c:v>
                </c:pt>
                <c:pt idx="3">
                  <c:v>37373.243951650584</c:v>
                </c:pt>
                <c:pt idx="4">
                  <c:v>39597.102719223039</c:v>
                </c:pt>
                <c:pt idx="5">
                  <c:v>37717.166139249086</c:v>
                </c:pt>
                <c:pt idx="6">
                  <c:v>38438.841980332509</c:v>
                </c:pt>
                <c:pt idx="7">
                  <c:v>32815.788674765965</c:v>
                </c:pt>
                <c:pt idx="8">
                  <c:v>29079.193897306603</c:v>
                </c:pt>
                <c:pt idx="9">
                  <c:v>28594.331107138954</c:v>
                </c:pt>
                <c:pt idx="10">
                  <c:v>26416.606541856272</c:v>
                </c:pt>
                <c:pt idx="11">
                  <c:v>32627.926294580073</c:v>
                </c:pt>
                <c:pt idx="12">
                  <c:v>29921.410915417382</c:v>
                </c:pt>
                <c:pt idx="13">
                  <c:v>28767.300189364614</c:v>
                </c:pt>
                <c:pt idx="14">
                  <c:v>29098.522540956226</c:v>
                </c:pt>
                <c:pt idx="15">
                  <c:v>28917.397664477328</c:v>
                </c:pt>
                <c:pt idx="16">
                  <c:v>30023.239126517659</c:v>
                </c:pt>
                <c:pt idx="17">
                  <c:v>27752.51949395988</c:v>
                </c:pt>
                <c:pt idx="18">
                  <c:v>28230.976378433119</c:v>
                </c:pt>
                <c:pt idx="19">
                  <c:v>37226.375856159044</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総合評価!$C$8:$V$8</c:f>
              <c:numCache>
                <c:formatCode>#,##0;"△ "#,##0</c:formatCode>
                <c:ptCount val="20"/>
                <c:pt idx="0">
                  <c:v>11012.65118360156</c:v>
                </c:pt>
                <c:pt idx="1">
                  <c:v>32947.834028760233</c:v>
                </c:pt>
                <c:pt idx="2">
                  <c:v>26323.358118875622</c:v>
                </c:pt>
                <c:pt idx="3">
                  <c:v>31617.800098905467</c:v>
                </c:pt>
                <c:pt idx="4">
                  <c:v>21282.460749444355</c:v>
                </c:pt>
                <c:pt idx="5">
                  <c:v>29125.396868470794</c:v>
                </c:pt>
                <c:pt idx="6">
                  <c:v>40043.900371717995</c:v>
                </c:pt>
                <c:pt idx="7">
                  <c:v>14487.419003142411</c:v>
                </c:pt>
                <c:pt idx="8">
                  <c:v>15041.21692313427</c:v>
                </c:pt>
                <c:pt idx="9">
                  <c:v>12531.753778055638</c:v>
                </c:pt>
                <c:pt idx="10">
                  <c:v>15080.756595617779</c:v>
                </c:pt>
                <c:pt idx="11">
                  <c:v>13750.196943964325</c:v>
                </c:pt>
                <c:pt idx="12">
                  <c:v>14848.543383555949</c:v>
                </c:pt>
                <c:pt idx="13">
                  <c:v>16259.683465834825</c:v>
                </c:pt>
                <c:pt idx="14">
                  <c:v>18404.557103382584</c:v>
                </c:pt>
                <c:pt idx="15">
                  <c:v>17828.775577838333</c:v>
                </c:pt>
                <c:pt idx="16">
                  <c:v>23129.17458492428</c:v>
                </c:pt>
                <c:pt idx="17">
                  <c:v>9930.0550948982018</c:v>
                </c:pt>
                <c:pt idx="18">
                  <c:v>18270.115563879499</c:v>
                </c:pt>
                <c:pt idx="19">
                  <c:v>30057.838166464117</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総合評価!$C$7:$V$7</c:f>
              <c:numCache>
                <c:formatCode>#,##0;"△ "#,##0</c:formatCode>
                <c:ptCount val="20"/>
                <c:pt idx="0">
                  <c:v>18250.17421943818</c:v>
                </c:pt>
                <c:pt idx="1">
                  <c:v>23577.693809208289</c:v>
                </c:pt>
                <c:pt idx="2">
                  <c:v>22135.70033644704</c:v>
                </c:pt>
                <c:pt idx="3">
                  <c:v>23946.214711327608</c:v>
                </c:pt>
                <c:pt idx="4">
                  <c:v>22553.008136327855</c:v>
                </c:pt>
                <c:pt idx="5">
                  <c:v>21280.054893148728</c:v>
                </c:pt>
                <c:pt idx="6">
                  <c:v>21396.769191150317</c:v>
                </c:pt>
                <c:pt idx="7">
                  <c:v>16900.624091649559</c:v>
                </c:pt>
                <c:pt idx="8">
                  <c:v>15623.503619373423</c:v>
                </c:pt>
                <c:pt idx="9">
                  <c:v>15231.860115620981</c:v>
                </c:pt>
                <c:pt idx="10">
                  <c:v>13149.341727988605</c:v>
                </c:pt>
                <c:pt idx="11">
                  <c:v>13595.580462722724</c:v>
                </c:pt>
                <c:pt idx="12">
                  <c:v>15171.861071209934</c:v>
                </c:pt>
                <c:pt idx="13">
                  <c:v>13211.291222528978</c:v>
                </c:pt>
                <c:pt idx="14">
                  <c:v>15603.522888914489</c:v>
                </c:pt>
                <c:pt idx="15">
                  <c:v>16452.87701190151</c:v>
                </c:pt>
                <c:pt idx="16">
                  <c:v>15915.289313140845</c:v>
                </c:pt>
                <c:pt idx="17">
                  <c:v>13659.659470376457</c:v>
                </c:pt>
                <c:pt idx="18">
                  <c:v>12414.586189436182</c:v>
                </c:pt>
                <c:pt idx="19">
                  <c:v>14845.633884889845</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総合評価!$C$6:$V$6</c:f>
              <c:numCache>
                <c:formatCode>#,##0;"△ "#,##0</c:formatCode>
                <c:ptCount val="20"/>
                <c:pt idx="0">
                  <c:v>25085.849914008879</c:v>
                </c:pt>
                <c:pt idx="1">
                  <c:v>28021.310506616999</c:v>
                </c:pt>
                <c:pt idx="2">
                  <c:v>15686.873661941225</c:v>
                </c:pt>
                <c:pt idx="3">
                  <c:v>25140.659249609318</c:v>
                </c:pt>
                <c:pt idx="4">
                  <c:v>22107.568866208829</c:v>
                </c:pt>
                <c:pt idx="5">
                  <c:v>13416.555142812758</c:v>
                </c:pt>
                <c:pt idx="6">
                  <c:v>12910.849640531336</c:v>
                </c:pt>
                <c:pt idx="7">
                  <c:v>15517.850286132612</c:v>
                </c:pt>
                <c:pt idx="8">
                  <c:v>9708.1543576578206</c:v>
                </c:pt>
                <c:pt idx="9">
                  <c:v>8910.4193021284245</c:v>
                </c:pt>
                <c:pt idx="10">
                  <c:v>7322.6301776536457</c:v>
                </c:pt>
                <c:pt idx="11">
                  <c:v>8613.6292072634496</c:v>
                </c:pt>
                <c:pt idx="12">
                  <c:v>9305.1562743881896</c:v>
                </c:pt>
                <c:pt idx="13">
                  <c:v>7787.2333497062928</c:v>
                </c:pt>
                <c:pt idx="14">
                  <c:v>11089.43846055567</c:v>
                </c:pt>
                <c:pt idx="15">
                  <c:v>12291.512591473289</c:v>
                </c:pt>
                <c:pt idx="16">
                  <c:v>10870.656081341973</c:v>
                </c:pt>
                <c:pt idx="17">
                  <c:v>8063.5419860255652</c:v>
                </c:pt>
                <c:pt idx="18">
                  <c:v>10873.505582059322</c:v>
                </c:pt>
                <c:pt idx="19">
                  <c:v>8399.9799196036274</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総合評価!$C$18:$V$18</c:f>
              <c:numCache>
                <c:formatCode>#,##0;"△ "#,##0</c:formatCode>
                <c:ptCount val="20"/>
                <c:pt idx="0">
                  <c:v>342640.83670073707</c:v>
                </c:pt>
                <c:pt idx="1">
                  <c:v>417534.9116240755</c:v>
                </c:pt>
                <c:pt idx="2">
                  <c:v>255291.14080948822</c:v>
                </c:pt>
                <c:pt idx="3">
                  <c:v>267545.03426213528</c:v>
                </c:pt>
                <c:pt idx="4">
                  <c:v>213850.11186300512</c:v>
                </c:pt>
                <c:pt idx="5">
                  <c:v>236879.30815550726</c:v>
                </c:pt>
                <c:pt idx="6">
                  <c:v>295046.19319305505</c:v>
                </c:pt>
                <c:pt idx="7">
                  <c:v>211021.90943881264</c:v>
                </c:pt>
                <c:pt idx="8">
                  <c:v>156347.82558102839</c:v>
                </c:pt>
                <c:pt idx="9">
                  <c:v>165506.60197298467</c:v>
                </c:pt>
                <c:pt idx="10">
                  <c:v>169630.87952047744</c:v>
                </c:pt>
                <c:pt idx="11">
                  <c:v>171142.27705613722</c:v>
                </c:pt>
                <c:pt idx="12">
                  <c:v>174262.86479925964</c:v>
                </c:pt>
                <c:pt idx="13">
                  <c:v>177282.15666170861</c:v>
                </c:pt>
                <c:pt idx="14">
                  <c:v>198589.70862316265</c:v>
                </c:pt>
                <c:pt idx="15">
                  <c:v>175302.43624230879</c:v>
                </c:pt>
                <c:pt idx="16">
                  <c:v>178345.71006049163</c:v>
                </c:pt>
                <c:pt idx="17">
                  <c:v>271254.83408808662</c:v>
                </c:pt>
                <c:pt idx="18">
                  <c:v>184139.20029526961</c:v>
                </c:pt>
                <c:pt idx="19">
                  <c:v>250124.15416783522</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総合評価!$C$46:$V$46</c:f>
              <c:numCache>
                <c:formatCode>#,##0.0;"△ "#,##0.0</c:formatCode>
                <c:ptCount val="20"/>
                <c:pt idx="0">
                  <c:v>62.404189023091853</c:v>
                </c:pt>
                <c:pt idx="1">
                  <c:v>59.291891729001321</c:v>
                </c:pt>
                <c:pt idx="2">
                  <c:v>51.517533089543797</c:v>
                </c:pt>
                <c:pt idx="3">
                  <c:v>50.882879114005227</c:v>
                </c:pt>
                <c:pt idx="4">
                  <c:v>45.99918361357647</c:v>
                </c:pt>
                <c:pt idx="5">
                  <c:v>47.610811508356576</c:v>
                </c:pt>
                <c:pt idx="6">
                  <c:v>50.99469618315252</c:v>
                </c:pt>
                <c:pt idx="7">
                  <c:v>49.8238678580217</c:v>
                </c:pt>
                <c:pt idx="8">
                  <c:v>42.9222227175227</c:v>
                </c:pt>
                <c:pt idx="9">
                  <c:v>52.195709771631485</c:v>
                </c:pt>
                <c:pt idx="10">
                  <c:v>45.674021710444798</c:v>
                </c:pt>
                <c:pt idx="11">
                  <c:v>33.427212533980175</c:v>
                </c:pt>
                <c:pt idx="12">
                  <c:v>39.387075492943218</c:v>
                </c:pt>
                <c:pt idx="13">
                  <c:v>45.978787403230633</c:v>
                </c:pt>
                <c:pt idx="14">
                  <c:v>40.733157641934483</c:v>
                </c:pt>
                <c:pt idx="15">
                  <c:v>38.933618935289857</c:v>
                </c:pt>
                <c:pt idx="16">
                  <c:v>38.494038885140839</c:v>
                </c:pt>
                <c:pt idx="17">
                  <c:v>53.648001770862408</c:v>
                </c:pt>
                <c:pt idx="18">
                  <c:v>43.703978289490351</c:v>
                </c:pt>
                <c:pt idx="19">
                  <c:v>41.292180141771262</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総合評価!$C$34:$V$34</c:f>
              <c:numCache>
                <c:formatCode>#,##0;"△ "#,##0</c:formatCode>
                <c:ptCount val="20"/>
                <c:pt idx="1">
                  <c:v>105036.68018200461</c:v>
                </c:pt>
                <c:pt idx="2">
                  <c:v>-4994.8669991482384</c:v>
                </c:pt>
                <c:pt idx="3">
                  <c:v>50360.702487673188</c:v>
                </c:pt>
                <c:pt idx="4">
                  <c:v>-8046.7117801559361</c:v>
                </c:pt>
                <c:pt idx="5">
                  <c:v>29857.164377969435</c:v>
                </c:pt>
                <c:pt idx="6">
                  <c:v>28190.599594619929</c:v>
                </c:pt>
                <c:pt idx="7">
                  <c:v>6889.5863674700304</c:v>
                </c:pt>
                <c:pt idx="8">
                  <c:v>-8193.7352976902293</c:v>
                </c:pt>
                <c:pt idx="9">
                  <c:v>34880.66528736028</c:v>
                </c:pt>
                <c:pt idx="10">
                  <c:v>17103.479225961059</c:v>
                </c:pt>
                <c:pt idx="11">
                  <c:v>73513.767649270041</c:v>
                </c:pt>
                <c:pt idx="12">
                  <c:v>-30941.233781123738</c:v>
                </c:pt>
                <c:pt idx="13">
                  <c:v>44030.474788423715</c:v>
                </c:pt>
                <c:pt idx="14">
                  <c:v>21409.117412136176</c:v>
                </c:pt>
                <c:pt idx="15">
                  <c:v>7386.3171537693852</c:v>
                </c:pt>
                <c:pt idx="16">
                  <c:v>35632.121764822135</c:v>
                </c:pt>
                <c:pt idx="17">
                  <c:v>13758.541403193994</c:v>
                </c:pt>
                <c:pt idx="18">
                  <c:v>5595.6430995615447</c:v>
                </c:pt>
                <c:pt idx="19">
                  <c:v>90583.233761288895</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総合評価!$C$35:$V$35</c:f>
              <c:numCache>
                <c:formatCode>#,##0;"△ "#,##0</c:formatCode>
                <c:ptCount val="20"/>
                <c:pt idx="1">
                  <c:v>-170856.85767619638</c:v>
                </c:pt>
                <c:pt idx="2">
                  <c:v>170909.11614135755</c:v>
                </c:pt>
                <c:pt idx="3">
                  <c:v>-37861.679706975963</c:v>
                </c:pt>
                <c:pt idx="4">
                  <c:v>49291.717521994513</c:v>
                </c:pt>
                <c:pt idx="5">
                  <c:v>-61321.617497849431</c:v>
                </c:pt>
                <c:pt idx="6">
                  <c:v>-69449.029171871181</c:v>
                </c:pt>
                <c:pt idx="7">
                  <c:v>129701.73231505397</c:v>
                </c:pt>
                <c:pt idx="8">
                  <c:v>40488.674552864017</c:v>
                </c:pt>
                <c:pt idx="9">
                  <c:v>4478.7658454747625</c:v>
                </c:pt>
                <c:pt idx="10">
                  <c:v>-31317.619031476395</c:v>
                </c:pt>
                <c:pt idx="11">
                  <c:v>-108896.08976005402</c:v>
                </c:pt>
                <c:pt idx="12">
                  <c:v>37845.556350361447</c:v>
                </c:pt>
                <c:pt idx="13">
                  <c:v>25693.765808101802</c:v>
                </c:pt>
                <c:pt idx="14">
                  <c:v>-89542.472252059932</c:v>
                </c:pt>
                <c:pt idx="15">
                  <c:v>47585.505722309652</c:v>
                </c:pt>
                <c:pt idx="16">
                  <c:v>-7532.21424541534</c:v>
                </c:pt>
                <c:pt idx="17">
                  <c:v>-78985.608097693505</c:v>
                </c:pt>
                <c:pt idx="18">
                  <c:v>80022.232756030775</c:v>
                </c:pt>
                <c:pt idx="19">
                  <c:v>-150522.06024105256</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総合評価!$C$37:$V$37</c:f>
              <c:numCache>
                <c:formatCode>#,##0;"△ "#,##0</c:formatCode>
                <c:ptCount val="20"/>
                <c:pt idx="1">
                  <c:v>92624.295182743663</c:v>
                </c:pt>
                <c:pt idx="2">
                  <c:v>-183195.83581363843</c:v>
                </c:pt>
                <c:pt idx="3">
                  <c:v>17939.76801294279</c:v>
                </c:pt>
                <c:pt idx="4">
                  <c:v>-59156.610977458629</c:v>
                </c:pt>
                <c:pt idx="5">
                  <c:v>24074.899917084589</c:v>
                </c:pt>
                <c:pt idx="6">
                  <c:v>76654.298767776068</c:v>
                </c:pt>
                <c:pt idx="7">
                  <c:v>-105459.95586117718</c:v>
                </c:pt>
                <c:pt idx="8">
                  <c:v>-37912.201918956838</c:v>
                </c:pt>
                <c:pt idx="9">
                  <c:v>-13933.589796483713</c:v>
                </c:pt>
                <c:pt idx="10">
                  <c:v>12431.394998984812</c:v>
                </c:pt>
                <c:pt idx="11">
                  <c:v>5475.8371909038869</c:v>
                </c:pt>
                <c:pt idx="12">
                  <c:v>30637.777068397056</c:v>
                </c:pt>
                <c:pt idx="13">
                  <c:v>-34808.712994700327</c:v>
                </c:pt>
                <c:pt idx="14">
                  <c:v>60513.790048625262</c:v>
                </c:pt>
                <c:pt idx="15">
                  <c:v>-53429.508483506885</c:v>
                </c:pt>
                <c:pt idx="16">
                  <c:v>18523.808951637358</c:v>
                </c:pt>
                <c:pt idx="17">
                  <c:v>116629.04379222154</c:v>
                </c:pt>
                <c:pt idx="18">
                  <c:v>-112969.6476540927</c:v>
                </c:pt>
                <c:pt idx="19">
                  <c:v>61210.958061353071</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総合評価!$C$36:$V$36</c:f>
              <c:numCache>
                <c:formatCode>#,##0;"△ "#,##0</c:formatCode>
                <c:ptCount val="20"/>
                <c:pt idx="1">
                  <c:v>-65820.177494191768</c:v>
                </c:pt>
                <c:pt idx="2">
                  <c:v>165914.2491422093</c:v>
                </c:pt>
                <c:pt idx="3">
                  <c:v>12499.022780697225</c:v>
                </c:pt>
                <c:pt idx="4">
                  <c:v>41245.005741838577</c:v>
                </c:pt>
                <c:pt idx="5">
                  <c:v>-31464.453119879996</c:v>
                </c:pt>
                <c:pt idx="6">
                  <c:v>-41258.429577251256</c:v>
                </c:pt>
                <c:pt idx="7">
                  <c:v>136591.318682524</c:v>
                </c:pt>
                <c:pt idx="8">
                  <c:v>32294.939255173787</c:v>
                </c:pt>
                <c:pt idx="9">
                  <c:v>39359.431132835045</c:v>
                </c:pt>
                <c:pt idx="10">
                  <c:v>-14214.139805515337</c:v>
                </c:pt>
                <c:pt idx="11">
                  <c:v>-35382.322110783978</c:v>
                </c:pt>
                <c:pt idx="12">
                  <c:v>6904.3225692377091</c:v>
                </c:pt>
                <c:pt idx="13">
                  <c:v>69724.240596525517</c:v>
                </c:pt>
                <c:pt idx="14">
                  <c:v>-68133.354839923762</c:v>
                </c:pt>
                <c:pt idx="15">
                  <c:v>54971.822876079037</c:v>
                </c:pt>
                <c:pt idx="16">
                  <c:v>28099.907519406795</c:v>
                </c:pt>
                <c:pt idx="17">
                  <c:v>-65227.06669449951</c:v>
                </c:pt>
                <c:pt idx="18">
                  <c:v>85617.875855592312</c:v>
                </c:pt>
                <c:pt idx="19">
                  <c:v>-59938.826479763666</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総合評価!$C$48:$V$48</c:f>
              <c:numCache>
                <c:formatCode>#,##0;"△ "#,##0</c:formatCode>
                <c:ptCount val="20"/>
                <c:pt idx="0">
                  <c:v>82543.640850683121</c:v>
                </c:pt>
                <c:pt idx="1">
                  <c:v>125422.59271861181</c:v>
                </c:pt>
                <c:pt idx="2">
                  <c:v>107015.27569274588</c:v>
                </c:pt>
                <c:pt idx="3">
                  <c:v>109503.11195975177</c:v>
                </c:pt>
                <c:pt idx="4">
                  <c:v>100082.58419085346</c:v>
                </c:pt>
                <c:pt idx="5">
                  <c:v>103701.31280092319</c:v>
                </c:pt>
                <c:pt idx="6">
                  <c:v>115836.21682537267</c:v>
                </c:pt>
                <c:pt idx="7">
                  <c:v>73812.68005770749</c:v>
                </c:pt>
                <c:pt idx="8">
                  <c:v>67705.721421713301</c:v>
                </c:pt>
                <c:pt idx="9">
                  <c:v>64290.527518280389</c:v>
                </c:pt>
                <c:pt idx="10">
                  <c:v>63812.729567023736</c:v>
                </c:pt>
                <c:pt idx="11">
                  <c:v>71893.163624242996</c:v>
                </c:pt>
                <c:pt idx="12">
                  <c:v>71503.856638060795</c:v>
                </c:pt>
                <c:pt idx="13">
                  <c:v>68021.391371885038</c:v>
                </c:pt>
                <c:pt idx="14">
                  <c:v>74384.335756773944</c:v>
                </c:pt>
                <c:pt idx="15">
                  <c:v>74663.565571423242</c:v>
                </c:pt>
                <c:pt idx="16">
                  <c:v>77500.392569393793</c:v>
                </c:pt>
                <c:pt idx="17">
                  <c:v>58607.422801911758</c:v>
                </c:pt>
                <c:pt idx="18">
                  <c:v>68834.017960199621</c:v>
                </c:pt>
                <c:pt idx="19">
                  <c:v>98303.846617431671</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総合評価!$C$49:$V$49</c:f>
              <c:numCache>
                <c:formatCode>#,##0.0;"△ "#,##0.0</c:formatCode>
                <c:ptCount val="20"/>
                <c:pt idx="0">
                  <c:v>22.10972769235093</c:v>
                </c:pt>
                <c:pt idx="1">
                  <c:v>18.798601829341333</c:v>
                </c:pt>
                <c:pt idx="2">
                  <c:v>20.684617399857359</c:v>
                </c:pt>
                <c:pt idx="3">
                  <c:v>21.868067749644521</c:v>
                </c:pt>
                <c:pt idx="4">
                  <c:v>22.534398285839796</c:v>
                </c:pt>
                <c:pt idx="5">
                  <c:v>20.520526036155719</c:v>
                </c:pt>
                <c:pt idx="6">
                  <c:v>18.471571135137062</c:v>
                </c:pt>
                <c:pt idx="7">
                  <c:v>22.896640629274646</c:v>
                </c:pt>
                <c:pt idx="8">
                  <c:v>23.075603200592955</c:v>
                </c:pt>
                <c:pt idx="9">
                  <c:v>23.692230727598165</c:v>
                </c:pt>
                <c:pt idx="10">
                  <c:v>20.606142092977858</c:v>
                </c:pt>
                <c:pt idx="11">
                  <c:v>18.910811233431627</c:v>
                </c:pt>
                <c:pt idx="12">
                  <c:v>21.218241622975764</c:v>
                </c:pt>
                <c:pt idx="13">
                  <c:v>19.422259609922563</c:v>
                </c:pt>
                <c:pt idx="14">
                  <c:v>20.97689349533988</c:v>
                </c:pt>
                <c:pt idx="15">
                  <c:v>22.036018352435459</c:v>
                </c:pt>
                <c:pt idx="16">
                  <c:v>20.535753156205381</c:v>
                </c:pt>
                <c:pt idx="17">
                  <c:v>23.307046816484281</c:v>
                </c:pt>
                <c:pt idx="18">
                  <c:v>18.03553905078503</c:v>
                </c:pt>
                <c:pt idx="19">
                  <c:v>15.101783293042931</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総合評価２!$C$11:$V$11</c:f>
              <c:numCache>
                <c:formatCode>#,##0;"△ "#,##0</c:formatCode>
                <c:ptCount val="20"/>
                <c:pt idx="0">
                  <c:v>13346.288818356014</c:v>
                </c:pt>
                <c:pt idx="1">
                  <c:v>20564.979137193121</c:v>
                </c:pt>
                <c:pt idx="2">
                  <c:v>15683.030068947846</c:v>
                </c:pt>
                <c:pt idx="3">
                  <c:v>16565.853197868142</c:v>
                </c:pt>
                <c:pt idx="4">
                  <c:v>16650.012585857883</c:v>
                </c:pt>
                <c:pt idx="5">
                  <c:v>15578.694900054616</c:v>
                </c:pt>
                <c:pt idx="6">
                  <c:v>15956.705282171697</c:v>
                </c:pt>
                <c:pt idx="7">
                  <c:v>9608.8482881495511</c:v>
                </c:pt>
                <c:pt idx="8">
                  <c:v>7961.8069818990098</c:v>
                </c:pt>
                <c:pt idx="9">
                  <c:v>7932.5825174648262</c:v>
                </c:pt>
                <c:pt idx="10">
                  <c:v>9166.024701561093</c:v>
                </c:pt>
                <c:pt idx="11">
                  <c:v>11919.459922975877</c:v>
                </c:pt>
                <c:pt idx="12">
                  <c:v>11562.041267877517</c:v>
                </c:pt>
                <c:pt idx="13">
                  <c:v>9783.1164941565912</c:v>
                </c:pt>
                <c:pt idx="14">
                  <c:v>11277.73322352064</c:v>
                </c:pt>
                <c:pt idx="15">
                  <c:v>11464.515317206055</c:v>
                </c:pt>
                <c:pt idx="16">
                  <c:v>8432.6895448110172</c:v>
                </c:pt>
                <c:pt idx="17">
                  <c:v>7265.1887489494075</c:v>
                </c:pt>
                <c:pt idx="18">
                  <c:v>9918.339822350199</c:v>
                </c:pt>
                <c:pt idx="19">
                  <c:v>16173.998709918667</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総合評価２!$C$10:$V$10</c:f>
              <c:numCache>
                <c:formatCode>#,##0;"△ "#,##0</c:formatCode>
                <c:ptCount val="20"/>
                <c:pt idx="0">
                  <c:v>19215.319285784211</c:v>
                </c:pt>
                <c:pt idx="1">
                  <c:v>31311.402016439533</c:v>
                </c:pt>
                <c:pt idx="2">
                  <c:v>27439.29120069688</c:v>
                </c:pt>
                <c:pt idx="3">
                  <c:v>30620.287318596704</c:v>
                </c:pt>
                <c:pt idx="4">
                  <c:v>26020.233190866711</c:v>
                </c:pt>
                <c:pt idx="5">
                  <c:v>29274.089734263929</c:v>
                </c:pt>
                <c:pt idx="6">
                  <c:v>34871.008013580395</c:v>
                </c:pt>
                <c:pt idx="7">
                  <c:v>20306.968456581159</c:v>
                </c:pt>
                <c:pt idx="8">
                  <c:v>18220.641210245893</c:v>
                </c:pt>
                <c:pt idx="9">
                  <c:v>18114.562091885058</c:v>
                </c:pt>
                <c:pt idx="10">
                  <c:v>18038.999586004204</c:v>
                </c:pt>
                <c:pt idx="11">
                  <c:v>19265.595360338419</c:v>
                </c:pt>
                <c:pt idx="12">
                  <c:v>19043.896125356398</c:v>
                </c:pt>
                <c:pt idx="13">
                  <c:v>19948.07599207657</c:v>
                </c:pt>
                <c:pt idx="14">
                  <c:v>20660.892008688876</c:v>
                </c:pt>
                <c:pt idx="15">
                  <c:v>21541.873359048921</c:v>
                </c:pt>
                <c:pt idx="16">
                  <c:v>24930.159153116831</c:v>
                </c:pt>
                <c:pt idx="17">
                  <c:v>16178.588917671261</c:v>
                </c:pt>
                <c:pt idx="18">
                  <c:v>22834.084005417342</c:v>
                </c:pt>
                <c:pt idx="19">
                  <c:v>32416.098797170547</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総合評価２!$C$9:$V$9</c:f>
              <c:numCache>
                <c:formatCode>#,##0;"△ "#,##0</c:formatCode>
                <c:ptCount val="20"/>
                <c:pt idx="0">
                  <c:v>31731.858527104701</c:v>
                </c:pt>
                <c:pt idx="1">
                  <c:v>49905.606991278808</c:v>
                </c:pt>
                <c:pt idx="2">
                  <c:v>41660.816470298843</c:v>
                </c:pt>
                <c:pt idx="3">
                  <c:v>38313.351442737781</c:v>
                </c:pt>
                <c:pt idx="4">
                  <c:v>34806.178548267708</c:v>
                </c:pt>
                <c:pt idx="5">
                  <c:v>37511.459635664723</c:v>
                </c:pt>
                <c:pt idx="6">
                  <c:v>43555.503818397621</c:v>
                </c:pt>
                <c:pt idx="7">
                  <c:v>26961.673450891725</c:v>
                </c:pt>
                <c:pt idx="8">
                  <c:v>25866.873254724651</c:v>
                </c:pt>
                <c:pt idx="9">
                  <c:v>22957.982681768706</c:v>
                </c:pt>
                <c:pt idx="10">
                  <c:v>23395.803241742964</c:v>
                </c:pt>
                <c:pt idx="11">
                  <c:v>27086.490500711327</c:v>
                </c:pt>
                <c:pt idx="12">
                  <c:v>25686.168286238204</c:v>
                </c:pt>
                <c:pt idx="13">
                  <c:v>24957.794162876307</c:v>
                </c:pt>
                <c:pt idx="14">
                  <c:v>26808.7463793438</c:v>
                </c:pt>
                <c:pt idx="15">
                  <c:v>25188.556711460304</c:v>
                </c:pt>
                <c:pt idx="16">
                  <c:v>28211.37920545712</c:v>
                </c:pt>
                <c:pt idx="17">
                  <c:v>21497.137081801877</c:v>
                </c:pt>
                <c:pt idx="18">
                  <c:v>23659.326895154896</c:v>
                </c:pt>
                <c:pt idx="19">
                  <c:v>34859.364310865974</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総合評価２!$C$8:$V$8</c:f>
              <c:numCache>
                <c:formatCode>#,##0;"△ "#,##0</c:formatCode>
                <c:ptCount val="20"/>
                <c:pt idx="0">
                  <c:v>18250.17421943818</c:v>
                </c:pt>
                <c:pt idx="1">
                  <c:v>23640.622481689083</c:v>
                </c:pt>
                <c:pt idx="2">
                  <c:v>22232.137952802674</c:v>
                </c:pt>
                <c:pt idx="3">
                  <c:v>24003.620000549046</c:v>
                </c:pt>
                <c:pt idx="4">
                  <c:v>22606.159865860944</c:v>
                </c:pt>
                <c:pt idx="5">
                  <c:v>21337.068530939992</c:v>
                </c:pt>
                <c:pt idx="6">
                  <c:v>21452.999711223001</c:v>
                </c:pt>
                <c:pt idx="7">
                  <c:v>16935.189862085059</c:v>
                </c:pt>
                <c:pt idx="8">
                  <c:v>15656.399974843915</c:v>
                </c:pt>
                <c:pt idx="9">
                  <c:v>15285.400227161808</c:v>
                </c:pt>
                <c:pt idx="10">
                  <c:v>13211.902037715601</c:v>
                </c:pt>
                <c:pt idx="11">
                  <c:v>13621.61784021735</c:v>
                </c:pt>
                <c:pt idx="12">
                  <c:v>15211.750958588605</c:v>
                </c:pt>
                <c:pt idx="13">
                  <c:v>13332.404722775504</c:v>
                </c:pt>
                <c:pt idx="14">
                  <c:v>15636.964145220705</c:v>
                </c:pt>
                <c:pt idx="15">
                  <c:v>16468.620183707946</c:v>
                </c:pt>
                <c:pt idx="16">
                  <c:v>15926.164666008837</c:v>
                </c:pt>
                <c:pt idx="17">
                  <c:v>13666.508059761405</c:v>
                </c:pt>
                <c:pt idx="18">
                  <c:v>12422.267231176565</c:v>
                </c:pt>
                <c:pt idx="19">
                  <c:v>14854.384799476489</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総合評価２!$C$7:$V$7</c:f>
              <c:numCache>
                <c:formatCode>#,##0;"△ "#,##0</c:formatCode>
                <c:ptCount val="20"/>
                <c:pt idx="0">
                  <c:v>5769.1049930787594</c:v>
                </c:pt>
                <c:pt idx="1">
                  <c:v>12184.506008130225</c:v>
                </c:pt>
                <c:pt idx="2">
                  <c:v>7228.187440638123</c:v>
                </c:pt>
                <c:pt idx="3">
                  <c:v>12011.596317534244</c:v>
                </c:pt>
                <c:pt idx="4">
                  <c:v>10213.257474143387</c:v>
                </c:pt>
                <c:pt idx="5">
                  <c:v>5043.5474006907561</c:v>
                </c:pt>
                <c:pt idx="6">
                  <c:v>8894.2854578563474</c:v>
                </c:pt>
                <c:pt idx="7">
                  <c:v>4545.1722242926362</c:v>
                </c:pt>
                <c:pt idx="8">
                  <c:v>3687.5893897464325</c:v>
                </c:pt>
                <c:pt idx="9">
                  <c:v>3820.4168850458809</c:v>
                </c:pt>
                <c:pt idx="10">
                  <c:v>2682.1640930741532</c:v>
                </c:pt>
                <c:pt idx="11">
                  <c:v>3383.2638316402931</c:v>
                </c:pt>
                <c:pt idx="12">
                  <c:v>3137.4690763269305</c:v>
                </c:pt>
                <c:pt idx="13">
                  <c:v>2123.4785127147652</c:v>
                </c:pt>
                <c:pt idx="14">
                  <c:v>5200.4550364266515</c:v>
                </c:pt>
                <c:pt idx="15">
                  <c:v>4466.2806025547688</c:v>
                </c:pt>
                <c:pt idx="16">
                  <c:v>2647.5094770260416</c:v>
                </c:pt>
                <c:pt idx="17">
                  <c:v>2130.9082692524807</c:v>
                </c:pt>
                <c:pt idx="18">
                  <c:v>4679.7640771605311</c:v>
                </c:pt>
                <c:pt idx="19">
                  <c:v>3687.8711663706335</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総合評価２!$C$6:$V$6</c:f>
              <c:numCache>
                <c:formatCode>#,##0;"△ "#,##0</c:formatCode>
                <c:ptCount val="20"/>
                <c:pt idx="0">
                  <c:v>19316.744920930119</c:v>
                </c:pt>
                <c:pt idx="1">
                  <c:v>15836.804498486774</c:v>
                </c:pt>
                <c:pt idx="2">
                  <c:v>8458.6862213031018</c:v>
                </c:pt>
                <c:pt idx="3">
                  <c:v>13129.062932075074</c:v>
                </c:pt>
                <c:pt idx="4">
                  <c:v>11894.311392065443</c:v>
                </c:pt>
                <c:pt idx="5">
                  <c:v>8373.007742122003</c:v>
                </c:pt>
                <c:pt idx="6">
                  <c:v>4016.5641826749884</c:v>
                </c:pt>
                <c:pt idx="7">
                  <c:v>10972.678061839975</c:v>
                </c:pt>
                <c:pt idx="8">
                  <c:v>6020.5649679113876</c:v>
                </c:pt>
                <c:pt idx="9">
                  <c:v>5090.0024170825436</c:v>
                </c:pt>
                <c:pt idx="10">
                  <c:v>4640.4660845794924</c:v>
                </c:pt>
                <c:pt idx="11">
                  <c:v>5230.365375623157</c:v>
                </c:pt>
                <c:pt idx="12">
                  <c:v>6167.6871980612596</c:v>
                </c:pt>
                <c:pt idx="13">
                  <c:v>5663.7548369915276</c:v>
                </c:pt>
                <c:pt idx="14">
                  <c:v>5888.9834241290173</c:v>
                </c:pt>
                <c:pt idx="15">
                  <c:v>7825.231988918521</c:v>
                </c:pt>
                <c:pt idx="16">
                  <c:v>8223.1466043159307</c:v>
                </c:pt>
                <c:pt idx="17">
                  <c:v>5932.6337167730844</c:v>
                </c:pt>
                <c:pt idx="18">
                  <c:v>6193.7415048987905</c:v>
                </c:pt>
                <c:pt idx="19">
                  <c:v>4712.1087532329939</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総合評価２!$C$24:$V$24</c:f>
              <c:numCache>
                <c:formatCode>#,##0;"△ "#,##0</c:formatCode>
                <c:ptCount val="20"/>
                <c:pt idx="0">
                  <c:v>55395.545239726503</c:v>
                </c:pt>
                <c:pt idx="1">
                  <c:v>64615.33640156874</c:v>
                </c:pt>
                <c:pt idx="2">
                  <c:v>91210.5561521052</c:v>
                </c:pt>
                <c:pt idx="3">
                  <c:v>92661.573707812291</c:v>
                </c:pt>
                <c:pt idx="4">
                  <c:v>119633.25737378759</c:v>
                </c:pt>
                <c:pt idx="5">
                  <c:v>135838.45127965859</c:v>
                </c:pt>
                <c:pt idx="6">
                  <c:v>130990.30263027745</c:v>
                </c:pt>
                <c:pt idx="7">
                  <c:v>102378.75514546971</c:v>
                </c:pt>
                <c:pt idx="8">
                  <c:v>122146.80402569783</c:v>
                </c:pt>
                <c:pt idx="9">
                  <c:v>79578.120949298958</c:v>
                </c:pt>
                <c:pt idx="10">
                  <c:v>126428.09941056435</c:v>
                </c:pt>
                <c:pt idx="11">
                  <c:v>228206.90616866338</c:v>
                </c:pt>
                <c:pt idx="12">
                  <c:v>182732.81709485434</c:v>
                </c:pt>
                <c:pt idx="13">
                  <c:v>121437.66947304216</c:v>
                </c:pt>
                <c:pt idx="14">
                  <c:v>190929.19612216824</c:v>
                </c:pt>
                <c:pt idx="15">
                  <c:v>183078.72521482475</c:v>
                </c:pt>
                <c:pt idx="16">
                  <c:v>170640.93911364709</c:v>
                </c:pt>
                <c:pt idx="17">
                  <c:v>158133.12279689399</c:v>
                </c:pt>
                <c:pt idx="18">
                  <c:v>164932.59308312691</c:v>
                </c:pt>
                <c:pt idx="19">
                  <c:v>222471.08656632699</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総合評価２!$C$23:$V$23</c:f>
              <c:numCache>
                <c:formatCode>#,##0;"△ "#,##0</c:formatCode>
                <c:ptCount val="20"/>
                <c:pt idx="0">
                  <c:v>21846.572239544697</c:v>
                </c:pt>
                <c:pt idx="1">
                  <c:v>32766.229114808113</c:v>
                </c:pt>
                <c:pt idx="2">
                  <c:v>16856.676465756478</c:v>
                </c:pt>
                <c:pt idx="3">
                  <c:v>16762.488857971133</c:v>
                </c:pt>
                <c:pt idx="4">
                  <c:v>17418.513959823362</c:v>
                </c:pt>
                <c:pt idx="5">
                  <c:v>21321.575241416882</c:v>
                </c:pt>
                <c:pt idx="6">
                  <c:v>32729.126993803726</c:v>
                </c:pt>
                <c:pt idx="7">
                  <c:v>16720.501183787557</c:v>
                </c:pt>
                <c:pt idx="8">
                  <c:v>17382.35852608057</c:v>
                </c:pt>
                <c:pt idx="9">
                  <c:v>13129.362064491412</c:v>
                </c:pt>
                <c:pt idx="10">
                  <c:v>12829.901619432081</c:v>
                </c:pt>
                <c:pt idx="11">
                  <c:v>14454.793358712659</c:v>
                </c:pt>
                <c:pt idx="12">
                  <c:v>14497.249093210816</c:v>
                </c:pt>
                <c:pt idx="13">
                  <c:v>14962.899576897207</c:v>
                </c:pt>
                <c:pt idx="14">
                  <c:v>17241.63415695506</c:v>
                </c:pt>
                <c:pt idx="15">
                  <c:v>22252.95015542534</c:v>
                </c:pt>
                <c:pt idx="16">
                  <c:v>14641.63228795744</c:v>
                </c:pt>
                <c:pt idx="17">
                  <c:v>11827.99656284105</c:v>
                </c:pt>
                <c:pt idx="18">
                  <c:v>11347.947046694078</c:v>
                </c:pt>
                <c:pt idx="19">
                  <c:v>12903.440653142627</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342640.83670073707</c:v>
                </c:pt>
                <c:pt idx="1">
                  <c:v>417534.9116240755</c:v>
                </c:pt>
                <c:pt idx="2">
                  <c:v>255291.14080948822</c:v>
                </c:pt>
                <c:pt idx="3">
                  <c:v>267545.03426213528</c:v>
                </c:pt>
                <c:pt idx="4">
                  <c:v>213850.11186300512</c:v>
                </c:pt>
                <c:pt idx="5">
                  <c:v>236879.30815550726</c:v>
                </c:pt>
                <c:pt idx="6">
                  <c:v>295046.19319305505</c:v>
                </c:pt>
                <c:pt idx="7">
                  <c:v>211021.90943881264</c:v>
                </c:pt>
                <c:pt idx="8">
                  <c:v>156347.82558102839</c:v>
                </c:pt>
                <c:pt idx="9">
                  <c:v>165506.60197298467</c:v>
                </c:pt>
                <c:pt idx="10">
                  <c:v>169630.87952047744</c:v>
                </c:pt>
                <c:pt idx="11">
                  <c:v>171142.27705613722</c:v>
                </c:pt>
                <c:pt idx="12">
                  <c:v>174262.86479925964</c:v>
                </c:pt>
                <c:pt idx="13">
                  <c:v>177282.15666170861</c:v>
                </c:pt>
                <c:pt idx="14">
                  <c:v>198589.70862316265</c:v>
                </c:pt>
                <c:pt idx="15">
                  <c:v>175302.43624230879</c:v>
                </c:pt>
                <c:pt idx="16">
                  <c:v>178345.71006049163</c:v>
                </c:pt>
                <c:pt idx="17">
                  <c:v>271254.83408808662</c:v>
                </c:pt>
                <c:pt idx="18">
                  <c:v>184139.20029526961</c:v>
                </c:pt>
                <c:pt idx="19">
                  <c:v>250124.15416783522</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総合評価２!$C$21:$V$21</c:f>
              <c:numCache>
                <c:formatCode>#,##0;"△ "#,##0</c:formatCode>
                <c:ptCount val="20"/>
                <c:pt idx="0">
                  <c:v>129184.10492316722</c:v>
                </c:pt>
                <c:pt idx="1">
                  <c:v>189285.90104045416</c:v>
                </c:pt>
                <c:pt idx="2">
                  <c:v>132183.87306523937</c:v>
                </c:pt>
                <c:pt idx="3">
                  <c:v>148836.51582754636</c:v>
                </c:pt>
                <c:pt idx="4">
                  <c:v>113997.91515521394</c:v>
                </c:pt>
                <c:pt idx="5">
                  <c:v>103493.26485478674</c:v>
                </c:pt>
                <c:pt idx="6">
                  <c:v>119365.76529000135</c:v>
                </c:pt>
                <c:pt idx="7">
                  <c:v>93118.518180571002</c:v>
                </c:pt>
                <c:pt idx="8">
                  <c:v>68381.467469494382</c:v>
                </c:pt>
                <c:pt idx="9">
                  <c:v>58874.431860902776</c:v>
                </c:pt>
                <c:pt idx="10">
                  <c:v>62505.783567063743</c:v>
                </c:pt>
                <c:pt idx="11">
                  <c:v>98180.912620645395</c:v>
                </c:pt>
                <c:pt idx="12">
                  <c:v>70943.737940992389</c:v>
                </c:pt>
                <c:pt idx="13">
                  <c:v>71891.071846249848</c:v>
                </c:pt>
                <c:pt idx="14">
                  <c:v>80777.673501644764</c:v>
                </c:pt>
                <c:pt idx="15">
                  <c:v>69625.692218347278</c:v>
                </c:pt>
                <c:pt idx="16">
                  <c:v>99679.064884808424</c:v>
                </c:pt>
                <c:pt idx="17">
                  <c:v>64403.687795576843</c:v>
                </c:pt>
                <c:pt idx="18">
                  <c:v>60913.070681682308</c:v>
                </c:pt>
                <c:pt idx="19">
                  <c:v>120243.50348072672</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総合評価２!$C$20:$V$20</c:f>
              <c:numCache>
                <c:formatCode>#,##0;"△ "#,##0</c:formatCode>
                <c:ptCount val="20"/>
                <c:pt idx="0">
                  <c:v>60092.534850878787</c:v>
                </c:pt>
                <c:pt idx="1">
                  <c:v>104463.27966906037</c:v>
                </c:pt>
                <c:pt idx="2">
                  <c:v>67569.456863776912</c:v>
                </c:pt>
                <c:pt idx="3">
                  <c:v>65775.912815134478</c:v>
                </c:pt>
                <c:pt idx="4">
                  <c:v>52396.761634517294</c:v>
                </c:pt>
                <c:pt idx="5">
                  <c:v>79014.073680663176</c:v>
                </c:pt>
                <c:pt idx="6">
                  <c:v>67254.8740754022</c:v>
                </c:pt>
                <c:pt idx="7">
                  <c:v>59302.664304869329</c:v>
                </c:pt>
                <c:pt idx="8">
                  <c:v>35207.66417984794</c:v>
                </c:pt>
                <c:pt idx="9">
                  <c:v>25357.24908211406</c:v>
                </c:pt>
                <c:pt idx="10">
                  <c:v>59715.647850640395</c:v>
                </c:pt>
                <c:pt idx="11">
                  <c:v>130568.19008701459</c:v>
                </c:pt>
                <c:pt idx="12">
                  <c:v>62326.036060225721</c:v>
                </c:pt>
                <c:pt idx="13">
                  <c:v>52981.334270432926</c:v>
                </c:pt>
                <c:pt idx="14">
                  <c:v>92383.556560988043</c:v>
                </c:pt>
                <c:pt idx="15">
                  <c:v>71120.817156617282</c:v>
                </c:pt>
                <c:pt idx="16">
                  <c:v>80954.853859024399</c:v>
                </c:pt>
                <c:pt idx="17">
                  <c:v>121998.42283954489</c:v>
                </c:pt>
                <c:pt idx="18">
                  <c:v>60449.723587403452</c:v>
                </c:pt>
                <c:pt idx="19">
                  <c:v>66479.019295129474</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総合評価２!$C$19:$V$19</c:f>
              <c:numCache>
                <c:formatCode>#,##0;"△ "#,##0</c:formatCode>
                <c:ptCount val="20"/>
                <c:pt idx="0">
                  <c:v>361636.12466617278</c:v>
                </c:pt>
                <c:pt idx="1">
                  <c:v>473496.89296395122</c:v>
                </c:pt>
                <c:pt idx="2">
                  <c:v>326755.81115537079</c:v>
                </c:pt>
                <c:pt idx="3">
                  <c:v>361375.51427707582</c:v>
                </c:pt>
                <c:pt idx="4">
                  <c:v>308452.82331494405</c:v>
                </c:pt>
                <c:pt idx="5">
                  <c:v>334707.58838096558</c:v>
                </c:pt>
                <c:pt idx="6">
                  <c:v>401010.30406977632</c:v>
                </c:pt>
                <c:pt idx="7">
                  <c:v>269827.65220435458</c:v>
                </c:pt>
                <c:pt idx="8">
                  <c:v>245540.21956453679</c:v>
                </c:pt>
                <c:pt idx="9">
                  <c:v>243004.41069455189</c:v>
                </c:pt>
                <c:pt idx="10">
                  <c:v>232798.58179755227</c:v>
                </c:pt>
                <c:pt idx="11">
                  <c:v>262756.55873050127</c:v>
                </c:pt>
                <c:pt idx="12">
                  <c:v>286220.90859028045</c:v>
                </c:pt>
                <c:pt idx="13">
                  <c:v>261423.87151897367</c:v>
                </c:pt>
                <c:pt idx="14">
                  <c:v>302813.28371039097</c:v>
                </c:pt>
                <c:pt idx="15">
                  <c:v>268872.63493570447</c:v>
                </c:pt>
                <c:pt idx="16">
                  <c:v>262296.64963747904</c:v>
                </c:pt>
                <c:pt idx="17">
                  <c:v>287750.99537739757</c:v>
                </c:pt>
                <c:pt idx="18">
                  <c:v>260780.50657645898</c:v>
                </c:pt>
                <c:pt idx="19">
                  <c:v>394894.19045215176</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総合評価２!$C$18:$V$18</c:f>
              <c:numCache>
                <c:formatCode>#,##0;"△ "#,##0</c:formatCode>
                <c:ptCount val="20"/>
                <c:pt idx="0">
                  <c:v>28041.093975027601</c:v>
                </c:pt>
                <c:pt idx="1">
                  <c:v>14998.692716820975</c:v>
                </c:pt>
                <c:pt idx="2">
                  <c:v>7697.3158101846557</c:v>
                </c:pt>
                <c:pt idx="3">
                  <c:v>9604.9012635558702</c:v>
                </c:pt>
                <c:pt idx="4">
                  <c:v>8672.3930807692414</c:v>
                </c:pt>
                <c:pt idx="5">
                  <c:v>7057.0648808083433</c:v>
                </c:pt>
                <c:pt idx="6">
                  <c:v>9581.2419671078078</c:v>
                </c:pt>
                <c:pt idx="7">
                  <c:v>8939.6861944987868</c:v>
                </c:pt>
                <c:pt idx="8">
                  <c:v>5165.5536082832095</c:v>
                </c:pt>
                <c:pt idx="9">
                  <c:v>4479.0913098928395</c:v>
                </c:pt>
                <c:pt idx="10">
                  <c:v>2426.9118405860709</c:v>
                </c:pt>
                <c:pt idx="11">
                  <c:v>2216.1985822632455</c:v>
                </c:pt>
                <c:pt idx="12">
                  <c:v>23082.265404026963</c:v>
                </c:pt>
                <c:pt idx="13">
                  <c:v>5683.8579662607926</c:v>
                </c:pt>
                <c:pt idx="14">
                  <c:v>4005.8570812395942</c:v>
                </c:pt>
                <c:pt idx="15">
                  <c:v>4383.5548288863201</c:v>
                </c:pt>
                <c:pt idx="16">
                  <c:v>21453.733956840708</c:v>
                </c:pt>
                <c:pt idx="17">
                  <c:v>3760.4301529159397</c:v>
                </c:pt>
                <c:pt idx="18">
                  <c:v>17056.201948535243</c:v>
                </c:pt>
                <c:pt idx="19">
                  <c:v>2853.8696456950547</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総合評価２!$C$17:$V$17</c:f>
              <c:numCache>
                <c:formatCode>#,##0;"△ "#,##0</c:formatCode>
                <c:ptCount val="20"/>
                <c:pt idx="0">
                  <c:v>49912.289042072734</c:v>
                </c:pt>
                <c:pt idx="1">
                  <c:v>56414.677387582604</c:v>
                </c:pt>
                <c:pt idx="2">
                  <c:v>42624.880877975025</c:v>
                </c:pt>
                <c:pt idx="3">
                  <c:v>37372.030153701366</c:v>
                </c:pt>
                <c:pt idx="4">
                  <c:v>41935.897706184631</c:v>
                </c:pt>
                <c:pt idx="5">
                  <c:v>33209.33791223693</c:v>
                </c:pt>
                <c:pt idx="6">
                  <c:v>47994.404838724789</c:v>
                </c:pt>
                <c:pt idx="7">
                  <c:v>36126.309262965602</c:v>
                </c:pt>
                <c:pt idx="8">
                  <c:v>40454.510875864347</c:v>
                </c:pt>
                <c:pt idx="9">
                  <c:v>15605.455172540933</c:v>
                </c:pt>
                <c:pt idx="10">
                  <c:v>23891.054360656053</c:v>
                </c:pt>
                <c:pt idx="11">
                  <c:v>20876.665404993604</c:v>
                </c:pt>
                <c:pt idx="12">
                  <c:v>25393.410926637425</c:v>
                </c:pt>
                <c:pt idx="13">
                  <c:v>20414.023708520988</c:v>
                </c:pt>
                <c:pt idx="14">
                  <c:v>33376.258775872782</c:v>
                </c:pt>
                <c:pt idx="15">
                  <c:v>38509.094187961113</c:v>
                </c:pt>
                <c:pt idx="16">
                  <c:v>37310.032811360434</c:v>
                </c:pt>
                <c:pt idx="17">
                  <c:v>24689.94778403603</c:v>
                </c:pt>
                <c:pt idx="18">
                  <c:v>28426.593778596613</c:v>
                </c:pt>
                <c:pt idx="19">
                  <c:v>43478.37864821915</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総合評価２!$C$16:$V$16</c:f>
              <c:numCache>
                <c:formatCode>#,##0;"△ "#,##0</c:formatCode>
                <c:ptCount val="20"/>
                <c:pt idx="0">
                  <c:v>49385.030551321994</c:v>
                </c:pt>
                <c:pt idx="1">
                  <c:v>54828.817535502589</c:v>
                </c:pt>
                <c:pt idx="2">
                  <c:v>50894.781785283107</c:v>
                </c:pt>
                <c:pt idx="3">
                  <c:v>57989.314183787792</c:v>
                </c:pt>
                <c:pt idx="4">
                  <c:v>53441.922615414427</c:v>
                </c:pt>
                <c:pt idx="5">
                  <c:v>43544.53467669613</c:v>
                </c:pt>
                <c:pt idx="6">
                  <c:v>52741.292948795141</c:v>
                </c:pt>
                <c:pt idx="7">
                  <c:v>49339.472208360785</c:v>
                </c:pt>
                <c:pt idx="8">
                  <c:v>37890.507373768698</c:v>
                </c:pt>
                <c:pt idx="9">
                  <c:v>28642.310588578486</c:v>
                </c:pt>
                <c:pt idx="10">
                  <c:v>52562.46826810317</c:v>
                </c:pt>
                <c:pt idx="11">
                  <c:v>95567.276399386537</c:v>
                </c:pt>
                <c:pt idx="12">
                  <c:v>45414.047947147461</c:v>
                </c:pt>
                <c:pt idx="13">
                  <c:v>45070.710093709611</c:v>
                </c:pt>
                <c:pt idx="14">
                  <c:v>54959.256275439002</c:v>
                </c:pt>
                <c:pt idx="15">
                  <c:v>67373.702721737194</c:v>
                </c:pt>
                <c:pt idx="16">
                  <c:v>61292.076082200008</c:v>
                </c:pt>
                <c:pt idx="17">
                  <c:v>67419.845089504117</c:v>
                </c:pt>
                <c:pt idx="18">
                  <c:v>54619.785221879232</c:v>
                </c:pt>
                <c:pt idx="19">
                  <c:v>98036.726820603901</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342640.83670073707</c:v>
                </c:pt>
                <c:pt idx="1">
                  <c:v>417534.9116240755</c:v>
                </c:pt>
                <c:pt idx="2">
                  <c:v>255291.14080948822</c:v>
                </c:pt>
                <c:pt idx="3">
                  <c:v>267545.03426213528</c:v>
                </c:pt>
                <c:pt idx="4">
                  <c:v>213850.11186300512</c:v>
                </c:pt>
                <c:pt idx="5">
                  <c:v>236879.30815550726</c:v>
                </c:pt>
                <c:pt idx="6">
                  <c:v>295046.19319305505</c:v>
                </c:pt>
                <c:pt idx="7">
                  <c:v>211021.90943881264</c:v>
                </c:pt>
                <c:pt idx="8">
                  <c:v>156347.82558102839</c:v>
                </c:pt>
                <c:pt idx="9">
                  <c:v>165506.60197298467</c:v>
                </c:pt>
                <c:pt idx="10">
                  <c:v>169630.87952047744</c:v>
                </c:pt>
                <c:pt idx="11">
                  <c:v>171142.27705613722</c:v>
                </c:pt>
                <c:pt idx="12">
                  <c:v>174262.86479925964</c:v>
                </c:pt>
                <c:pt idx="13">
                  <c:v>177282.15666170861</c:v>
                </c:pt>
                <c:pt idx="14">
                  <c:v>198589.70862316265</c:v>
                </c:pt>
                <c:pt idx="15">
                  <c:v>175302.43624230879</c:v>
                </c:pt>
                <c:pt idx="16">
                  <c:v>178345.71006049163</c:v>
                </c:pt>
                <c:pt idx="17">
                  <c:v>271254.83408808662</c:v>
                </c:pt>
                <c:pt idx="18">
                  <c:v>184139.20029526961</c:v>
                </c:pt>
                <c:pt idx="19">
                  <c:v>250124.15416783522</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総合評価２!$C$30:$V$30</c:f>
              <c:numCache>
                <c:formatCode>#,##0.0;"△ "#,##0.0</c:formatCode>
                <c:ptCount val="20"/>
                <c:pt idx="0">
                  <c:v>62.404189023091853</c:v>
                </c:pt>
                <c:pt idx="1">
                  <c:v>59.291891729001321</c:v>
                </c:pt>
                <c:pt idx="2">
                  <c:v>51.517533089543797</c:v>
                </c:pt>
                <c:pt idx="3">
                  <c:v>50.882879114005227</c:v>
                </c:pt>
                <c:pt idx="4">
                  <c:v>45.99918361357647</c:v>
                </c:pt>
                <c:pt idx="5">
                  <c:v>47.610811508356576</c:v>
                </c:pt>
                <c:pt idx="6">
                  <c:v>50.99469618315252</c:v>
                </c:pt>
                <c:pt idx="7">
                  <c:v>49.8238678580217</c:v>
                </c:pt>
                <c:pt idx="8">
                  <c:v>42.9222227175227</c:v>
                </c:pt>
                <c:pt idx="9">
                  <c:v>52.195709771631485</c:v>
                </c:pt>
                <c:pt idx="10">
                  <c:v>45.674021710444798</c:v>
                </c:pt>
                <c:pt idx="11">
                  <c:v>33.427212533980175</c:v>
                </c:pt>
                <c:pt idx="12">
                  <c:v>39.387075492943218</c:v>
                </c:pt>
                <c:pt idx="13">
                  <c:v>45.978787403230633</c:v>
                </c:pt>
                <c:pt idx="14">
                  <c:v>40.733157641934483</c:v>
                </c:pt>
                <c:pt idx="15">
                  <c:v>38.933618935289857</c:v>
                </c:pt>
                <c:pt idx="16">
                  <c:v>38.494038885140839</c:v>
                </c:pt>
                <c:pt idx="17">
                  <c:v>53.648001770862408</c:v>
                </c:pt>
                <c:pt idx="18">
                  <c:v>43.703978289490351</c:v>
                </c:pt>
                <c:pt idx="19">
                  <c:v>41.292180141771262</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23</xdr:col>
      <xdr:colOff>22860</xdr:colOff>
      <xdr:row>20</xdr:row>
      <xdr:rowOff>22860</xdr:rowOff>
    </xdr:from>
    <xdr:to>
      <xdr:col>30</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15240</xdr:colOff>
      <xdr:row>2</xdr:row>
      <xdr:rowOff>22860</xdr:rowOff>
    </xdr:from>
    <xdr:to>
      <xdr:col>38</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22860</xdr:colOff>
      <xdr:row>20</xdr:row>
      <xdr:rowOff>22860</xdr:rowOff>
    </xdr:from>
    <xdr:to>
      <xdr:col>38</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15240</xdr:colOff>
      <xdr:row>2</xdr:row>
      <xdr:rowOff>22860</xdr:rowOff>
    </xdr:from>
    <xdr:to>
      <xdr:col>30</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22860</xdr:colOff>
      <xdr:row>38</xdr:row>
      <xdr:rowOff>22860</xdr:rowOff>
    </xdr:from>
    <xdr:to>
      <xdr:col>30</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15240</xdr:colOff>
      <xdr:row>38</xdr:row>
      <xdr:rowOff>22860</xdr:rowOff>
    </xdr:from>
    <xdr:to>
      <xdr:col>38</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9</xdr:col>
      <xdr:colOff>622575</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20955</xdr:colOff>
      <xdr:row>22</xdr:row>
      <xdr:rowOff>51435</xdr:rowOff>
    </xdr:from>
    <xdr:to>
      <xdr:col>21</xdr:col>
      <xdr:colOff>586740</xdr:colOff>
      <xdr:row>42</xdr:row>
      <xdr:rowOff>51435</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45718</xdr:colOff>
      <xdr:row>43</xdr:row>
      <xdr:rowOff>53340</xdr:rowOff>
    </xdr:from>
    <xdr:to>
      <xdr:col>9</xdr:col>
      <xdr:colOff>630193</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xdr:colOff>
      <xdr:row>43</xdr:row>
      <xdr:rowOff>60960</xdr:rowOff>
    </xdr:from>
    <xdr:to>
      <xdr:col>21</xdr:col>
      <xdr:colOff>561975</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9</xdr:col>
      <xdr:colOff>645435</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36195</xdr:colOff>
      <xdr:row>64</xdr:row>
      <xdr:rowOff>80010</xdr:rowOff>
    </xdr:from>
    <xdr:to>
      <xdr:col>21</xdr:col>
      <xdr:colOff>525780</xdr:colOff>
      <xdr:row>84</xdr:row>
      <xdr:rowOff>80010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29</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57"/>
  <sheetViews>
    <sheetView zoomScale="98" zoomScaleNormal="98" workbookViewId="0">
      <selection activeCell="C2" sqref="C2"/>
    </sheetView>
  </sheetViews>
  <sheetFormatPr defaultColWidth="9" defaultRowHeight="12" x14ac:dyDescent="0.2"/>
  <cols>
    <col min="1" max="1" width="24.6640625" style="76" customWidth="1"/>
    <col min="2" max="2" width="6.88671875" style="77" customWidth="1"/>
    <col min="3" max="22" width="9" style="76"/>
    <col min="23" max="23" width="1.21875" style="31" customWidth="1"/>
    <col min="24" max="39" width="10" style="31" customWidth="1"/>
    <col min="40" max="16384" width="9" style="31"/>
  </cols>
  <sheetData>
    <row r="1" spans="1:39" ht="14.4" x14ac:dyDescent="0.2">
      <c r="A1" s="75" t="s">
        <v>308</v>
      </c>
    </row>
    <row r="2" spans="1:39" ht="14.4" x14ac:dyDescent="0.2">
      <c r="A2" s="153" t="str">
        <f>BS!A2</f>
        <v>６９　不動産賃貸業・管理業</v>
      </c>
    </row>
    <row r="3" spans="1:39"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579</v>
      </c>
      <c r="V3" s="111" t="s">
        <v>581</v>
      </c>
      <c r="X3" s="268"/>
      <c r="Y3" s="269"/>
      <c r="Z3" s="269"/>
      <c r="AA3" s="269"/>
      <c r="AB3" s="269"/>
      <c r="AC3" s="269"/>
      <c r="AD3" s="269"/>
      <c r="AE3" s="270"/>
      <c r="AF3" s="268"/>
      <c r="AG3" s="269"/>
      <c r="AH3" s="269"/>
      <c r="AI3" s="269"/>
      <c r="AJ3" s="269"/>
      <c r="AK3" s="269"/>
      <c r="AL3" s="269"/>
      <c r="AM3" s="270"/>
    </row>
    <row r="4" spans="1:39" x14ac:dyDescent="0.2">
      <c r="A4" s="191" t="s">
        <v>322</v>
      </c>
      <c r="B4" s="189"/>
      <c r="C4" s="190"/>
      <c r="D4" s="190"/>
      <c r="E4" s="190"/>
      <c r="F4" s="190"/>
      <c r="G4" s="190"/>
      <c r="H4" s="190"/>
      <c r="I4" s="190"/>
      <c r="J4" s="190"/>
      <c r="K4" s="190"/>
      <c r="L4" s="190"/>
      <c r="M4" s="190"/>
      <c r="N4" s="190"/>
      <c r="O4" s="190"/>
      <c r="P4" s="190"/>
      <c r="Q4" s="190"/>
      <c r="R4" s="190"/>
      <c r="S4" s="190"/>
      <c r="T4" s="190"/>
      <c r="U4" s="190"/>
      <c r="V4" s="192"/>
      <c r="X4" s="271"/>
      <c r="Y4" s="272"/>
      <c r="Z4" s="272"/>
      <c r="AA4" s="272"/>
      <c r="AB4" s="272"/>
      <c r="AC4" s="272"/>
      <c r="AD4" s="272"/>
      <c r="AE4" s="273"/>
      <c r="AF4" s="271"/>
      <c r="AG4" s="272"/>
      <c r="AH4" s="272"/>
      <c r="AI4" s="272"/>
      <c r="AJ4" s="272"/>
      <c r="AK4" s="272"/>
      <c r="AL4" s="272"/>
      <c r="AM4" s="273"/>
    </row>
    <row r="5" spans="1:39" x14ac:dyDescent="0.2">
      <c r="A5" s="80" t="s">
        <v>310</v>
      </c>
      <c r="B5" s="81" t="s">
        <v>254</v>
      </c>
      <c r="C5" s="82">
        <f>+PL!K6</f>
        <v>107629.490764692</v>
      </c>
      <c r="D5" s="82">
        <f>+PL!L6</f>
        <v>153443.90322522877</v>
      </c>
      <c r="E5" s="82">
        <f>+PL!M6</f>
        <v>122702.14935468711</v>
      </c>
      <c r="F5" s="82">
        <f>+PL!N6</f>
        <v>134643.77120936109</v>
      </c>
      <c r="G5" s="82">
        <f>+PL!O6</f>
        <v>122190.1530570623</v>
      </c>
      <c r="H5" s="82">
        <f>+PL!P6</f>
        <v>117117.86794373595</v>
      </c>
      <c r="I5" s="82">
        <f>+PL!Q6</f>
        <v>128747.066465904</v>
      </c>
      <c r="J5" s="82">
        <f>+PL!R6</f>
        <v>89330.530343840102</v>
      </c>
      <c r="K5" s="82">
        <f>+PL!S6</f>
        <v>77413.875779371112</v>
      </c>
      <c r="L5" s="82">
        <f>+PL!T6</f>
        <v>73200.946820408819</v>
      </c>
      <c r="M5" s="82">
        <f>+PL!U6</f>
        <v>71135.359744677393</v>
      </c>
      <c r="N5" s="82">
        <f>+PL!V6</f>
        <v>80506.792831506449</v>
      </c>
      <c r="O5" s="82">
        <f>+PL!W6</f>
        <v>80809.01291244899</v>
      </c>
      <c r="P5" s="82">
        <f>+PL!X6</f>
        <v>75808.624721591332</v>
      </c>
      <c r="Q5" s="82">
        <f>+PL!Y6</f>
        <v>85473.774217329614</v>
      </c>
      <c r="R5" s="82">
        <f>+PL!Z6</f>
        <v>86955.078162896534</v>
      </c>
      <c r="S5" s="82">
        <f>+PL!AA6</f>
        <v>88371.048650735771</v>
      </c>
      <c r="T5" s="82">
        <f>+PL!AB6</f>
        <v>66670.964787937322</v>
      </c>
      <c r="U5" s="82">
        <f>+PL!AC6</f>
        <v>79707.523542258947</v>
      </c>
      <c r="V5" s="82">
        <f>+PL!AD6</f>
        <v>106703.8265370353</v>
      </c>
      <c r="X5" s="271"/>
      <c r="Y5" s="272"/>
      <c r="Z5" s="272"/>
      <c r="AA5" s="272"/>
      <c r="AB5" s="272"/>
      <c r="AC5" s="272"/>
      <c r="AD5" s="272"/>
      <c r="AE5" s="273"/>
      <c r="AF5" s="271"/>
      <c r="AG5" s="272"/>
      <c r="AH5" s="272"/>
      <c r="AI5" s="272"/>
      <c r="AJ5" s="272"/>
      <c r="AK5" s="272"/>
      <c r="AL5" s="272"/>
      <c r="AM5" s="273"/>
    </row>
    <row r="6" spans="1:39" x14ac:dyDescent="0.2">
      <c r="A6" s="83" t="s">
        <v>345</v>
      </c>
      <c r="B6" s="84" t="s">
        <v>254</v>
      </c>
      <c r="C6" s="85">
        <f>PL!K9+PL!K10+PL!K12</f>
        <v>25085.849914008879</v>
      </c>
      <c r="D6" s="85">
        <f>PL!L9+PL!L10+PL!L12</f>
        <v>28021.310506616999</v>
      </c>
      <c r="E6" s="85">
        <f>PL!M9+PL!M10+PL!M12</f>
        <v>15686.873661941225</v>
      </c>
      <c r="F6" s="85">
        <f>PL!N9+PL!N10+PL!N12</f>
        <v>25140.659249609318</v>
      </c>
      <c r="G6" s="85">
        <f>PL!O9+PL!O10+PL!O12</f>
        <v>22107.568866208829</v>
      </c>
      <c r="H6" s="85">
        <f>PL!P9+PL!P10+PL!P12</f>
        <v>13416.555142812758</v>
      </c>
      <c r="I6" s="85">
        <f>PL!Q9+PL!Q10+PL!Q12</f>
        <v>12910.849640531336</v>
      </c>
      <c r="J6" s="85">
        <f>PL!R9+PL!R10+PL!R12</f>
        <v>15517.850286132612</v>
      </c>
      <c r="K6" s="85">
        <f>PL!S9+PL!S10+PL!S12</f>
        <v>9708.1543576578206</v>
      </c>
      <c r="L6" s="85">
        <f>PL!T9+PL!T10+PL!T12</f>
        <v>8910.4193021284245</v>
      </c>
      <c r="M6" s="85">
        <f>PL!U9+PL!U10+PL!U12</f>
        <v>7322.6301776536457</v>
      </c>
      <c r="N6" s="85">
        <f>PL!V9+PL!V10+PL!V12</f>
        <v>8613.6292072634496</v>
      </c>
      <c r="O6" s="85">
        <f>PL!W9+PL!W10+PL!W12</f>
        <v>9305.1562743881896</v>
      </c>
      <c r="P6" s="85">
        <f>PL!X9+PL!X10+PL!X12</f>
        <v>7787.2333497062928</v>
      </c>
      <c r="Q6" s="85">
        <f>PL!Y9+PL!Y10+PL!Y12</f>
        <v>11089.43846055567</v>
      </c>
      <c r="R6" s="85">
        <f>PL!Z9+PL!Z10+PL!Z12</f>
        <v>12291.512591473289</v>
      </c>
      <c r="S6" s="85">
        <f>PL!AA9+PL!AA10+PL!AA12</f>
        <v>10870.656081341973</v>
      </c>
      <c r="T6" s="85">
        <f>PL!AB9+PL!AB10+PL!AB12</f>
        <v>8063.5419860255652</v>
      </c>
      <c r="U6" s="85">
        <f>PL!AC9+PL!AC10+PL!AC12</f>
        <v>10873.505582059322</v>
      </c>
      <c r="V6" s="85">
        <f>PL!AD9+PL!AD10+PL!AD12</f>
        <v>8399.9799196036274</v>
      </c>
      <c r="X6" s="271"/>
      <c r="Y6" s="272"/>
      <c r="Z6" s="272"/>
      <c r="AA6" s="272"/>
      <c r="AB6" s="272"/>
      <c r="AC6" s="272"/>
      <c r="AD6" s="272"/>
      <c r="AE6" s="273"/>
      <c r="AF6" s="271"/>
      <c r="AG6" s="272"/>
      <c r="AH6" s="272"/>
      <c r="AI6" s="272"/>
      <c r="AJ6" s="272"/>
      <c r="AK6" s="272"/>
      <c r="AL6" s="272"/>
      <c r="AM6" s="273"/>
    </row>
    <row r="7" spans="1:39" x14ac:dyDescent="0.2">
      <c r="A7" s="83" t="s">
        <v>346</v>
      </c>
      <c r="B7" s="84" t="s">
        <v>254</v>
      </c>
      <c r="C7" s="85">
        <f>+PL!K11+PL!K17</f>
        <v>18250.17421943818</v>
      </c>
      <c r="D7" s="85">
        <f>+PL!L11+PL!L17</f>
        <v>23577.693809208289</v>
      </c>
      <c r="E7" s="85">
        <f>+PL!M11+PL!M17</f>
        <v>22135.70033644704</v>
      </c>
      <c r="F7" s="85">
        <f>+PL!N11+PL!N17</f>
        <v>23946.214711327608</v>
      </c>
      <c r="G7" s="85">
        <f>+PL!O11+PL!O17</f>
        <v>22553.008136327855</v>
      </c>
      <c r="H7" s="85">
        <f>+PL!P11+PL!P17</f>
        <v>21280.054893148728</v>
      </c>
      <c r="I7" s="85">
        <f>+PL!Q11+PL!Q17</f>
        <v>21396.769191150317</v>
      </c>
      <c r="J7" s="85">
        <f>+PL!R11+PL!R17</f>
        <v>16900.624091649559</v>
      </c>
      <c r="K7" s="85">
        <f>+PL!S11+PL!S17</f>
        <v>15623.503619373423</v>
      </c>
      <c r="L7" s="85">
        <f>+PL!T11+PL!T17</f>
        <v>15231.860115620981</v>
      </c>
      <c r="M7" s="85">
        <f>+PL!U11+PL!U17</f>
        <v>13149.341727988605</v>
      </c>
      <c r="N7" s="85">
        <f>+PL!V11+PL!V17</f>
        <v>13595.580462722724</v>
      </c>
      <c r="O7" s="85">
        <f>+PL!W11+PL!W17</f>
        <v>15171.861071209934</v>
      </c>
      <c r="P7" s="85">
        <f>+PL!X11+PL!X17</f>
        <v>13211.291222528978</v>
      </c>
      <c r="Q7" s="85">
        <f>+PL!Y11+PL!Y17</f>
        <v>15603.522888914489</v>
      </c>
      <c r="R7" s="85">
        <f>+PL!Z11+PL!Z17</f>
        <v>16452.87701190151</v>
      </c>
      <c r="S7" s="85">
        <f>+PL!AA11+PL!AA17</f>
        <v>15915.289313140845</v>
      </c>
      <c r="T7" s="85">
        <f>+PL!AB11+PL!AB17</f>
        <v>13659.659470376457</v>
      </c>
      <c r="U7" s="85">
        <f>+PL!AC11+PL!AC17</f>
        <v>12414.586189436182</v>
      </c>
      <c r="V7" s="85">
        <f>+PL!AD11+PL!AD17</f>
        <v>14845.633884889845</v>
      </c>
      <c r="X7" s="271"/>
      <c r="Y7" s="272"/>
      <c r="Z7" s="272"/>
      <c r="AA7" s="272"/>
      <c r="AB7" s="272"/>
      <c r="AC7" s="272"/>
      <c r="AD7" s="272"/>
      <c r="AE7" s="273"/>
      <c r="AF7" s="271"/>
      <c r="AG7" s="272"/>
      <c r="AH7" s="272"/>
      <c r="AI7" s="272"/>
      <c r="AJ7" s="272"/>
      <c r="AK7" s="272"/>
      <c r="AL7" s="272"/>
      <c r="AM7" s="273"/>
    </row>
    <row r="8" spans="1:39" x14ac:dyDescent="0.2">
      <c r="A8" s="83" t="s">
        <v>347</v>
      </c>
      <c r="B8" s="84" t="s">
        <v>254</v>
      </c>
      <c r="C8" s="85">
        <f>+PL!K13+PL!K14</f>
        <v>11012.65118360156</v>
      </c>
      <c r="D8" s="85">
        <f>+PL!L13+PL!L14</f>
        <v>32947.834028760233</v>
      </c>
      <c r="E8" s="85">
        <f>+PL!M13+PL!M14</f>
        <v>26323.358118875622</v>
      </c>
      <c r="F8" s="85">
        <f>+PL!N13+PL!N14</f>
        <v>31617.800098905467</v>
      </c>
      <c r="G8" s="85">
        <f>+PL!O13+PL!O14</f>
        <v>21282.460749444355</v>
      </c>
      <c r="H8" s="85">
        <f>+PL!P13+PL!P14</f>
        <v>29125.396868470794</v>
      </c>
      <c r="I8" s="85">
        <f>+PL!Q13+PL!Q14</f>
        <v>40043.900371717995</v>
      </c>
      <c r="J8" s="85">
        <f>+PL!R13+PL!R14</f>
        <v>14487.419003142411</v>
      </c>
      <c r="K8" s="85">
        <f>+PL!S13+PL!S14</f>
        <v>15041.21692313427</v>
      </c>
      <c r="L8" s="85">
        <f>+PL!T13+PL!T14</f>
        <v>12531.753778055638</v>
      </c>
      <c r="M8" s="85">
        <f>+PL!U13+PL!U14</f>
        <v>15080.756595617779</v>
      </c>
      <c r="N8" s="85">
        <f>+PL!V13+PL!V14</f>
        <v>13750.196943964325</v>
      </c>
      <c r="O8" s="85">
        <f>+PL!W13+PL!W14</f>
        <v>14848.543383555949</v>
      </c>
      <c r="P8" s="85">
        <f>+PL!X13+PL!X14</f>
        <v>16259.683465834825</v>
      </c>
      <c r="Q8" s="85">
        <f>+PL!Y13+PL!Y14</f>
        <v>18404.557103382584</v>
      </c>
      <c r="R8" s="85">
        <f>+PL!Z13+PL!Z14</f>
        <v>17828.775577838333</v>
      </c>
      <c r="S8" s="85">
        <f>+PL!AA13+PL!AA14</f>
        <v>23129.17458492428</v>
      </c>
      <c r="T8" s="85">
        <f>+PL!AB13+PL!AB14</f>
        <v>9930.0550948982018</v>
      </c>
      <c r="U8" s="85">
        <f>+PL!AC13+PL!AC14</f>
        <v>18270.115563879499</v>
      </c>
      <c r="V8" s="85">
        <f>+PL!AD13+PL!AD14</f>
        <v>30057.838166464117</v>
      </c>
      <c r="X8" s="271"/>
      <c r="Y8" s="272"/>
      <c r="Z8" s="272"/>
      <c r="AA8" s="272"/>
      <c r="AB8" s="272"/>
      <c r="AC8" s="272"/>
      <c r="AD8" s="272"/>
      <c r="AE8" s="273"/>
      <c r="AF8" s="271"/>
      <c r="AG8" s="272"/>
      <c r="AH8" s="272"/>
      <c r="AI8" s="272"/>
      <c r="AJ8" s="272"/>
      <c r="AK8" s="272"/>
      <c r="AL8" s="272"/>
      <c r="AM8" s="273"/>
    </row>
    <row r="9" spans="1:39" x14ac:dyDescent="0.2">
      <c r="A9" s="83" t="s">
        <v>348</v>
      </c>
      <c r="B9" s="84" t="s">
        <v>254</v>
      </c>
      <c r="C9" s="85">
        <f>+PL!K16-PL!K17</f>
        <v>39934.526629287298</v>
      </c>
      <c r="D9" s="85">
        <f>+PL!L16-PL!L17</f>
        <v>48332.085743450159</v>
      </c>
      <c r="E9" s="85">
        <f>+PL!M16-PL!M17</f>
        <v>42873.18716847575</v>
      </c>
      <c r="F9" s="85">
        <f>+PL!N16-PL!N17</f>
        <v>37373.243951650584</v>
      </c>
      <c r="G9" s="85">
        <f>+PL!O16-PL!O17</f>
        <v>39597.102719223039</v>
      </c>
      <c r="H9" s="85">
        <f>+PL!P16-PL!P17</f>
        <v>37717.166139249086</v>
      </c>
      <c r="I9" s="85">
        <f>+PL!Q16-PL!Q17</f>
        <v>38438.841980332509</v>
      </c>
      <c r="J9" s="85">
        <f>+PL!R16-PL!R17</f>
        <v>32815.788674765965</v>
      </c>
      <c r="K9" s="85">
        <f>+PL!S16-PL!S17</f>
        <v>29079.193897306603</v>
      </c>
      <c r="L9" s="85">
        <f>+PL!T16-PL!T17</f>
        <v>28594.331107138954</v>
      </c>
      <c r="M9" s="85">
        <f>+PL!U16-PL!U17</f>
        <v>26416.606541856272</v>
      </c>
      <c r="N9" s="85">
        <f>+PL!V16-PL!V17</f>
        <v>32627.926294580073</v>
      </c>
      <c r="O9" s="85">
        <f>+PL!W16-PL!W17</f>
        <v>29921.410915417382</v>
      </c>
      <c r="P9" s="85">
        <f>+PL!X16-PL!X17</f>
        <v>28767.300189364614</v>
      </c>
      <c r="Q9" s="85">
        <f>+PL!Y16-PL!Y17</f>
        <v>29098.522540956226</v>
      </c>
      <c r="R9" s="85">
        <f>+PL!Z16-PL!Z17</f>
        <v>28917.397664477328</v>
      </c>
      <c r="S9" s="85">
        <f>+PL!AA16-PL!AA17</f>
        <v>30023.239126517659</v>
      </c>
      <c r="T9" s="85">
        <f>+PL!AB16-PL!AB17</f>
        <v>27752.51949395988</v>
      </c>
      <c r="U9" s="85">
        <f>+PL!AC16-PL!AC17</f>
        <v>28230.976378433119</v>
      </c>
      <c r="V9" s="85">
        <f>+PL!AD16-PL!AD17</f>
        <v>37226.375856159044</v>
      </c>
      <c r="X9" s="271"/>
      <c r="Y9" s="272"/>
      <c r="Z9" s="272"/>
      <c r="AA9" s="272"/>
      <c r="AB9" s="272"/>
      <c r="AC9" s="272"/>
      <c r="AD9" s="272"/>
      <c r="AE9" s="273"/>
      <c r="AF9" s="271"/>
      <c r="AG9" s="272"/>
      <c r="AH9" s="272"/>
      <c r="AI9" s="272"/>
      <c r="AJ9" s="272"/>
      <c r="AK9" s="272"/>
      <c r="AL9" s="272"/>
      <c r="AM9" s="273"/>
    </row>
    <row r="10" spans="1:39" x14ac:dyDescent="0.2">
      <c r="A10" s="83" t="s">
        <v>69</v>
      </c>
      <c r="B10" s="84" t="s">
        <v>254</v>
      </c>
      <c r="C10" s="85">
        <f>+PL!K42</f>
        <v>13346.288818356014</v>
      </c>
      <c r="D10" s="85">
        <f>+PL!L42</f>
        <v>20564.979137193121</v>
      </c>
      <c r="E10" s="85">
        <f>+PL!M42</f>
        <v>15683.030068947846</v>
      </c>
      <c r="F10" s="85">
        <f>+PL!N42</f>
        <v>16565.853197868142</v>
      </c>
      <c r="G10" s="85">
        <f>+PL!O42</f>
        <v>16650.012585857883</v>
      </c>
      <c r="H10" s="85">
        <f>+PL!P42</f>
        <v>15578.694900054616</v>
      </c>
      <c r="I10" s="85">
        <f>+PL!Q42</f>
        <v>15956.705282171697</v>
      </c>
      <c r="J10" s="85">
        <f>+PL!R42</f>
        <v>9608.8482881495511</v>
      </c>
      <c r="K10" s="85">
        <f>+PL!S42</f>
        <v>7961.8069818990098</v>
      </c>
      <c r="L10" s="85">
        <f>+PL!T42</f>
        <v>7932.5825174648262</v>
      </c>
      <c r="M10" s="85">
        <f>+PL!U42</f>
        <v>9166.024701561093</v>
      </c>
      <c r="N10" s="85">
        <f>+PL!V42</f>
        <v>11919.459922975877</v>
      </c>
      <c r="O10" s="85">
        <f>+PL!W42</f>
        <v>11562.041267877517</v>
      </c>
      <c r="P10" s="85">
        <f>+PL!X42</f>
        <v>9783.1164941565912</v>
      </c>
      <c r="Q10" s="85">
        <f>+PL!Y42</f>
        <v>11277.73322352064</v>
      </c>
      <c r="R10" s="85">
        <f>+PL!Z42</f>
        <v>11464.515317206055</v>
      </c>
      <c r="S10" s="85">
        <f>+PL!AA42</f>
        <v>8432.6895448110172</v>
      </c>
      <c r="T10" s="85">
        <f>+PL!AB42</f>
        <v>7265.1887489494075</v>
      </c>
      <c r="U10" s="85">
        <f>+PL!AC42</f>
        <v>9918.339822350199</v>
      </c>
      <c r="V10" s="85">
        <f>+PL!AD42</f>
        <v>16173.998709918667</v>
      </c>
      <c r="X10" s="271"/>
      <c r="Y10" s="272"/>
      <c r="Z10" s="272"/>
      <c r="AA10" s="272"/>
      <c r="AB10" s="272"/>
      <c r="AC10" s="272"/>
      <c r="AD10" s="272"/>
      <c r="AE10" s="273"/>
      <c r="AF10" s="271"/>
      <c r="AG10" s="272"/>
      <c r="AH10" s="272"/>
      <c r="AI10" s="272"/>
      <c r="AJ10" s="272"/>
      <c r="AK10" s="272"/>
      <c r="AL10" s="272"/>
      <c r="AM10" s="273"/>
    </row>
    <row r="11" spans="1:39" x14ac:dyDescent="0.2">
      <c r="A11" s="86" t="s">
        <v>311</v>
      </c>
      <c r="B11" s="84" t="s">
        <v>254</v>
      </c>
      <c r="C11" s="87">
        <f>+PL!K34</f>
        <v>11147.006110264399</v>
      </c>
      <c r="D11" s="87">
        <f>+PL!L34</f>
        <v>15653.910209344389</v>
      </c>
      <c r="E11" s="87">
        <f>+PL!M34</f>
        <v>12834.758099289995</v>
      </c>
      <c r="F11" s="87">
        <f>+PL!N34</f>
        <v>13799.538513916081</v>
      </c>
      <c r="G11" s="87">
        <f>+PL!O34</f>
        <v>15135.57588319772</v>
      </c>
      <c r="H11" s="87">
        <f>+PL!P34</f>
        <v>14109.223651654676</v>
      </c>
      <c r="I11" s="87">
        <f>+PL!Q34</f>
        <v>13205.609216910569</v>
      </c>
      <c r="J11" s="87">
        <f>+PL!R34</f>
        <v>8903.2891178717491</v>
      </c>
      <c r="K11" s="87">
        <f>+PL!S34</f>
        <v>7504.3614091854324</v>
      </c>
      <c r="L11" s="87">
        <f>+PL!T34</f>
        <v>7979.739968630749</v>
      </c>
      <c r="M11" s="87">
        <f>+PL!U34</f>
        <v>10011.418791640424</v>
      </c>
      <c r="N11" s="87">
        <f>+PL!V34</f>
        <v>12362.16355973294</v>
      </c>
      <c r="O11" s="87">
        <f>+PL!W34</f>
        <v>11032.628548314819</v>
      </c>
      <c r="P11" s="87">
        <f>+PL!X34</f>
        <v>9803.6832285068012</v>
      </c>
      <c r="Q11" s="87">
        <f>+PL!Y34</f>
        <v>11923.888319386093</v>
      </c>
      <c r="R11" s="87">
        <f>+PL!Z34</f>
        <v>12028.524548764428</v>
      </c>
      <c r="S11" s="87">
        <f>+PL!AA34</f>
        <v>10360.624788708226</v>
      </c>
      <c r="T11" s="87">
        <f>+PL!AB34</f>
        <v>7256.3373809852355</v>
      </c>
      <c r="U11" s="87">
        <f>+PL!AC34</f>
        <v>10985.737185666003</v>
      </c>
      <c r="V11" s="87">
        <f>+PL!AD34</f>
        <v>15736.719846685986</v>
      </c>
      <c r="X11" s="271"/>
      <c r="Y11" s="272"/>
      <c r="Z11" s="272"/>
      <c r="AA11" s="272"/>
      <c r="AB11" s="272"/>
      <c r="AC11" s="272"/>
      <c r="AD11" s="272"/>
      <c r="AE11" s="273"/>
      <c r="AF11" s="271"/>
      <c r="AG11" s="272"/>
      <c r="AH11" s="272"/>
      <c r="AI11" s="272"/>
      <c r="AJ11" s="272"/>
      <c r="AK11" s="272"/>
      <c r="AL11" s="272"/>
      <c r="AM11" s="273"/>
    </row>
    <row r="12" spans="1:39" x14ac:dyDescent="0.2">
      <c r="A12" s="88" t="s">
        <v>312</v>
      </c>
      <c r="B12" s="89" t="s">
        <v>254</v>
      </c>
      <c r="C12" s="90">
        <f>+PL!K38</f>
        <v>-1035.9054237335502</v>
      </c>
      <c r="D12" s="90">
        <f>+PL!L38</f>
        <v>9664.3684747765983</v>
      </c>
      <c r="E12" s="90">
        <f>+PL!M38</f>
        <v>7013.6152175468096</v>
      </c>
      <c r="F12" s="90">
        <f>+PL!N38</f>
        <v>8975.2023353557433</v>
      </c>
      <c r="G12" s="90">
        <f>+PL!O38</f>
        <v>6873.5860034603693</v>
      </c>
      <c r="H12" s="90">
        <f>+PL!P38</f>
        <v>5555.1287500916715</v>
      </c>
      <c r="I12" s="90">
        <f>+PL!Q38</f>
        <v>7039.4107982695805</v>
      </c>
      <c r="J12" s="90">
        <f>+PL!R38</f>
        <v>2019.5983507122737</v>
      </c>
      <c r="K12" s="90">
        <f>+PL!S38</f>
        <v>-1063.9032941263251</v>
      </c>
      <c r="L12" s="90">
        <f>+PL!T38</f>
        <v>3538.5080804681147</v>
      </c>
      <c r="M12" s="90">
        <f>+PL!U38</f>
        <v>6911.1328719467328</v>
      </c>
      <c r="N12" s="90">
        <f>+PL!V38</f>
        <v>26751.913530238588</v>
      </c>
      <c r="O12" s="90">
        <f>+PL!W38</f>
        <v>7625.401144384532</v>
      </c>
      <c r="P12" s="90">
        <f>+PL!X38</f>
        <v>7120.7384743157536</v>
      </c>
      <c r="Q12" s="90">
        <f>+PL!Y38</f>
        <v>7131.9435089397302</v>
      </c>
      <c r="R12" s="90">
        <f>+PL!Z38</f>
        <v>27532.113608426331</v>
      </c>
      <c r="S12" s="90">
        <f>+PL!AA38</f>
        <v>8313.4968295508188</v>
      </c>
      <c r="T12" s="90">
        <f>+PL!AB38</f>
        <v>5840.4715681724092</v>
      </c>
      <c r="U12" s="90">
        <f>+PL!AC38</f>
        <v>-24599.084115228343</v>
      </c>
      <c r="V12" s="90">
        <f>+PL!AD38</f>
        <v>13665.694873952198</v>
      </c>
      <c r="X12" s="271"/>
      <c r="Y12" s="272"/>
      <c r="Z12" s="272"/>
      <c r="AA12" s="272"/>
      <c r="AB12" s="272"/>
      <c r="AC12" s="272"/>
      <c r="AD12" s="272"/>
      <c r="AE12" s="273"/>
      <c r="AF12" s="271"/>
      <c r="AG12" s="272"/>
      <c r="AH12" s="272"/>
      <c r="AI12" s="272"/>
      <c r="AJ12" s="272"/>
      <c r="AK12" s="272"/>
      <c r="AL12" s="272"/>
      <c r="AM12" s="273"/>
    </row>
    <row r="13" spans="1:39" x14ac:dyDescent="0.2">
      <c r="A13" s="78" t="s">
        <v>317</v>
      </c>
      <c r="B13" s="79" t="s">
        <v>318</v>
      </c>
      <c r="C13" s="102">
        <f>+PL!K5</f>
        <v>5.5180161915015598</v>
      </c>
      <c r="D13" s="102">
        <f>+PL!L5</f>
        <v>6.8928744112748701</v>
      </c>
      <c r="E13" s="102">
        <f>+PL!M5</f>
        <v>6.5164774718826237</v>
      </c>
      <c r="F13" s="102">
        <f>+PL!N5</f>
        <v>7.0538757410632709</v>
      </c>
      <c r="G13" s="102">
        <f>+PL!O5</f>
        <v>7.5244098520277953</v>
      </c>
      <c r="H13" s="102">
        <f>+PL!P5</f>
        <v>6.4555693157831548</v>
      </c>
      <c r="I13" s="102">
        <f>+PL!Q5</f>
        <v>6.4912934958534283</v>
      </c>
      <c r="J13" s="102">
        <f>+PL!R5</f>
        <v>4.873875028211871</v>
      </c>
      <c r="K13" s="102">
        <f>+PL!S5</f>
        <v>4.4633525110334187</v>
      </c>
      <c r="L13" s="102">
        <f>+PL!T5</f>
        <v>4.7179208744010532</v>
      </c>
      <c r="M13" s="102">
        <f>+PL!U5</f>
        <v>4.470740099773467</v>
      </c>
      <c r="N13" s="102">
        <f>+PL!V5</f>
        <v>4.3753422066729435</v>
      </c>
      <c r="O13" s="102">
        <f>+PL!W5</f>
        <v>4.6349237279689053</v>
      </c>
      <c r="P13" s="102">
        <f>+PL!X5</f>
        <v>4.3081710075024651</v>
      </c>
      <c r="Q13" s="102">
        <f>+PL!Y5</f>
        <v>4.7574940863894222</v>
      </c>
      <c r="R13" s="102">
        <f>+PL!Z5</f>
        <v>4.6238176317259763</v>
      </c>
      <c r="S13" s="102">
        <f>+PL!AA5</f>
        <v>4.8296280406709853</v>
      </c>
      <c r="T13" s="102">
        <f>+PL!AB5</f>
        <v>4.0625525295733658</v>
      </c>
      <c r="U13" s="102">
        <f>+PL!AC5</f>
        <v>3.980112007223124</v>
      </c>
      <c r="V13" s="102">
        <f>+PL!AD5</f>
        <v>4.2826150634134184</v>
      </c>
      <c r="X13" s="271"/>
      <c r="Y13" s="272"/>
      <c r="Z13" s="272"/>
      <c r="AA13" s="272"/>
      <c r="AB13" s="272"/>
      <c r="AC13" s="272"/>
      <c r="AD13" s="272"/>
      <c r="AE13" s="273"/>
      <c r="AF13" s="271"/>
      <c r="AG13" s="272"/>
      <c r="AH13" s="272"/>
      <c r="AI13" s="272"/>
      <c r="AJ13" s="272"/>
      <c r="AK13" s="272"/>
      <c r="AL13" s="272"/>
      <c r="AM13" s="273"/>
    </row>
    <row r="14" spans="1:39"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V14" s="192"/>
      <c r="X14" s="271"/>
      <c r="Y14" s="272"/>
      <c r="Z14" s="272"/>
      <c r="AA14" s="272"/>
      <c r="AB14" s="272"/>
      <c r="AC14" s="272"/>
      <c r="AD14" s="272"/>
      <c r="AE14" s="273"/>
      <c r="AF14" s="271"/>
      <c r="AG14" s="272"/>
      <c r="AH14" s="272"/>
      <c r="AI14" s="272"/>
      <c r="AJ14" s="272"/>
      <c r="AK14" s="272"/>
      <c r="AL14" s="272"/>
      <c r="AM14" s="273"/>
    </row>
    <row r="15" spans="1:39" x14ac:dyDescent="0.2">
      <c r="A15" s="80" t="s">
        <v>319</v>
      </c>
      <c r="B15" s="81" t="s">
        <v>254</v>
      </c>
      <c r="C15" s="82">
        <f>+BS!K9</f>
        <v>127338.41356842199</v>
      </c>
      <c r="D15" s="82">
        <f>+BS!L9</f>
        <v>126242.16973191741</v>
      </c>
      <c r="E15" s="82">
        <f>+BS!M9</f>
        <v>101216.97847344266</v>
      </c>
      <c r="F15" s="82">
        <f>+BS!N9</f>
        <v>104966.24560104504</v>
      </c>
      <c r="G15" s="82">
        <f>+BS!O9</f>
        <v>104050.21340236823</v>
      </c>
      <c r="H15" s="82">
        <f>+BS!P9</f>
        <v>83810.937469741315</v>
      </c>
      <c r="I15" s="82">
        <f>+BS!Q9</f>
        <v>110316.93975462743</v>
      </c>
      <c r="J15" s="82">
        <f>+BS!R9</f>
        <v>94405.467665825083</v>
      </c>
      <c r="K15" s="82">
        <f>+BS!S9</f>
        <v>83510.57185791638</v>
      </c>
      <c r="L15" s="82">
        <f>+BS!T9</f>
        <v>48726.857071012142</v>
      </c>
      <c r="M15" s="82">
        <f>+BS!U9</f>
        <v>78880.434469345244</v>
      </c>
      <c r="N15" s="82">
        <f>+BS!V9</f>
        <v>118660.14038664328</v>
      </c>
      <c r="O15" s="82">
        <f>+BS!W9</f>
        <v>93889.724277811867</v>
      </c>
      <c r="P15" s="82">
        <f>+BS!X9</f>
        <v>71168.591768491329</v>
      </c>
      <c r="Q15" s="82">
        <f>+BS!Y9</f>
        <v>92341.372132551478</v>
      </c>
      <c r="R15" s="82">
        <f>+BS!Z9</f>
        <v>110266.35173858464</v>
      </c>
      <c r="S15" s="82">
        <f>+BS!AA9</f>
        <v>120055.84285040114</v>
      </c>
      <c r="T15" s="82">
        <f>+BS!AB9</f>
        <v>95870.223026456093</v>
      </c>
      <c r="U15" s="82">
        <f>+BS!AC9</f>
        <v>100102.58094901108</v>
      </c>
      <c r="V15" s="82">
        <f>+BS!AD9</f>
        <v>144368.97511451811</v>
      </c>
      <c r="X15" s="271"/>
      <c r="Y15" s="272"/>
      <c r="Z15" s="272"/>
      <c r="AA15" s="272"/>
      <c r="AB15" s="272"/>
      <c r="AC15" s="272"/>
      <c r="AD15" s="272"/>
      <c r="AE15" s="273"/>
      <c r="AF15" s="271"/>
      <c r="AG15" s="272"/>
      <c r="AH15" s="272"/>
      <c r="AI15" s="272"/>
      <c r="AJ15" s="272"/>
      <c r="AK15" s="272"/>
      <c r="AL15" s="272"/>
      <c r="AM15" s="273"/>
    </row>
    <row r="16" spans="1:39" x14ac:dyDescent="0.2">
      <c r="A16" s="86" t="s">
        <v>320</v>
      </c>
      <c r="B16" s="84" t="s">
        <v>254</v>
      </c>
      <c r="C16" s="87">
        <f>+BS!K15</f>
        <v>420682.28023322503</v>
      </c>
      <c r="D16" s="87">
        <f>+BS!L15</f>
        <v>575201.60813739011</v>
      </c>
      <c r="E16" s="87">
        <f>+BS!M15</f>
        <v>392190.9755317613</v>
      </c>
      <c r="F16" s="87">
        <f>+BS!N15</f>
        <v>419136.26163055206</v>
      </c>
      <c r="G16" s="87">
        <f>+BS!O15</f>
        <v>359908.0254165256</v>
      </c>
      <c r="H16" s="87">
        <f>+BS!P15</f>
        <v>410452.79286333028</v>
      </c>
      <c r="I16" s="87">
        <f>+BS!Q15</f>
        <v>467293.27756528347</v>
      </c>
      <c r="J16" s="87">
        <f>+BS!R15</f>
        <v>328544.08464099409</v>
      </c>
      <c r="K16" s="87">
        <f>+BS!S15</f>
        <v>280182.47712232248</v>
      </c>
      <c r="L16" s="87">
        <f>+BS!T15</f>
        <v>268032.63653467869</v>
      </c>
      <c r="M16" s="87">
        <f>+BS!U15</f>
        <v>292140.24635349395</v>
      </c>
      <c r="N16" s="87">
        <f>+BS!V15</f>
        <v>392891.66266681004</v>
      </c>
      <c r="O16" s="87">
        <f>+BS!W15</f>
        <v>347388.25069029519</v>
      </c>
      <c r="P16" s="87">
        <f>+BS!X15</f>
        <v>313717.82464836363</v>
      </c>
      <c r="Q16" s="87">
        <f>+BS!Y15</f>
        <v>394706.04101210117</v>
      </c>
      <c r="R16" s="87">
        <f>+BS!Z15</f>
        <v>339491.11037597555</v>
      </c>
      <c r="S16" s="87">
        <f>+BS!AA15</f>
        <v>338857.47349092626</v>
      </c>
      <c r="T16" s="87">
        <f>+BS!AB15</f>
        <v>409043.5394520617</v>
      </c>
      <c r="U16" s="87">
        <f>+BS!AC15</f>
        <v>321051.13917934574</v>
      </c>
      <c r="V16" s="87">
        <f>+BS!AD15</f>
        <v>460817.62888037151</v>
      </c>
      <c r="X16" s="271"/>
      <c r="Y16" s="272"/>
      <c r="Z16" s="272"/>
      <c r="AA16" s="272"/>
      <c r="AB16" s="272"/>
      <c r="AC16" s="272"/>
      <c r="AD16" s="272"/>
      <c r="AE16" s="273"/>
      <c r="AF16" s="271"/>
      <c r="AG16" s="272"/>
      <c r="AH16" s="272"/>
      <c r="AI16" s="272"/>
      <c r="AJ16" s="272"/>
      <c r="AK16" s="272"/>
      <c r="AL16" s="272"/>
      <c r="AM16" s="273"/>
    </row>
    <row r="17" spans="1:39" x14ac:dyDescent="0.2">
      <c r="A17" s="86" t="s">
        <v>321</v>
      </c>
      <c r="B17" s="84" t="s">
        <v>254</v>
      </c>
      <c r="C17" s="87">
        <f>+BS!K30</f>
        <v>471824.94162390404</v>
      </c>
      <c r="D17" s="87">
        <f>+BS!L30</f>
        <v>606820.79475654091</v>
      </c>
      <c r="E17" s="87">
        <f>+BS!M30</f>
        <v>387475.0138747273</v>
      </c>
      <c r="F17" s="87">
        <f>+BS!N30</f>
        <v>416381.55008968187</v>
      </c>
      <c r="G17" s="87">
        <f>+BS!O30</f>
        <v>327848.02701821778</v>
      </c>
      <c r="H17" s="87">
        <f>+BS!P30</f>
        <v>340372.57301029452</v>
      </c>
      <c r="I17" s="87">
        <f>+BS!Q30</f>
        <v>414862.68827572581</v>
      </c>
      <c r="J17" s="87">
        <f>+BS!R30</f>
        <v>304436.52784579218</v>
      </c>
      <c r="K17" s="87">
        <f>+BS!S30</f>
        <v>224729.29305052274</v>
      </c>
      <c r="L17" s="87">
        <f>+BS!T30</f>
        <v>224381.03383388746</v>
      </c>
      <c r="M17" s="87">
        <f>+BS!U30</f>
        <v>232136.66308754147</v>
      </c>
      <c r="N17" s="87">
        <f>+BS!V30</f>
        <v>269323.18967678247</v>
      </c>
      <c r="O17" s="87">
        <f>+BS!W30</f>
        <v>245206.60274025123</v>
      </c>
      <c r="P17" s="87">
        <f>+BS!X30</f>
        <v>249173.22850795774</v>
      </c>
      <c r="Q17" s="87">
        <f>+BS!Y30</f>
        <v>279367.38212480739</v>
      </c>
      <c r="R17" s="87">
        <f>+BS!Z30</f>
        <v>244928.12846065586</v>
      </c>
      <c r="S17" s="87">
        <f>+BS!AA30</f>
        <v>278024.77494530013</v>
      </c>
      <c r="T17" s="87">
        <f>+BS!AB30</f>
        <v>335658.52188366349</v>
      </c>
      <c r="U17" s="87">
        <f>+BS!AC30</f>
        <v>245052.2709769519</v>
      </c>
      <c r="V17" s="87">
        <f>+BS!AD30</f>
        <v>370367.65764232964</v>
      </c>
      <c r="X17" s="271"/>
      <c r="Y17" s="272"/>
      <c r="Z17" s="272"/>
      <c r="AA17" s="272"/>
      <c r="AB17" s="272"/>
      <c r="AC17" s="272"/>
      <c r="AD17" s="272"/>
      <c r="AE17" s="273"/>
      <c r="AF17" s="271"/>
      <c r="AG17" s="272"/>
      <c r="AH17" s="272"/>
      <c r="AI17" s="272"/>
      <c r="AJ17" s="272"/>
      <c r="AK17" s="272"/>
      <c r="AL17" s="272"/>
      <c r="AM17" s="273"/>
    </row>
    <row r="18" spans="1:39" x14ac:dyDescent="0.2">
      <c r="A18" s="93" t="s">
        <v>344</v>
      </c>
      <c r="B18" s="84" t="s">
        <v>254</v>
      </c>
      <c r="C18" s="94">
        <f>+BS!K33+BS!K34+BS!K38+BS!K39+BS!K40</f>
        <v>342640.83670073707</v>
      </c>
      <c r="D18" s="94">
        <f>+BS!L33+BS!L34+BS!L38+BS!L39+BS!L40</f>
        <v>417534.9116240755</v>
      </c>
      <c r="E18" s="94">
        <f>+BS!M33+BS!M34+BS!M38+BS!M39+BS!M40</f>
        <v>255291.14080948822</v>
      </c>
      <c r="F18" s="94">
        <f>+BS!N33+BS!N34+BS!N38+BS!N39+BS!N40</f>
        <v>267545.03426213528</v>
      </c>
      <c r="G18" s="94">
        <f>+BS!O33+BS!O34+BS!O38+BS!O39+BS!O40</f>
        <v>213850.11186300512</v>
      </c>
      <c r="H18" s="94">
        <f>+BS!P33+BS!P34+BS!P38+BS!P39+BS!P40</f>
        <v>236879.30815550726</v>
      </c>
      <c r="I18" s="94">
        <f>+BS!Q33+BS!Q34+BS!Q38+BS!Q39+BS!Q40</f>
        <v>295046.19319305505</v>
      </c>
      <c r="J18" s="94">
        <f>+BS!R33+BS!R34+BS!R38+BS!R39+BS!R40</f>
        <v>211021.90943881264</v>
      </c>
      <c r="K18" s="94">
        <f>+BS!S33+BS!S34+BS!S38+BS!S39+BS!S40</f>
        <v>156347.82558102839</v>
      </c>
      <c r="L18" s="94">
        <f>+BS!T33+BS!T34+BS!T38+BS!T39+BS!T40</f>
        <v>165506.60197298467</v>
      </c>
      <c r="M18" s="94">
        <f>+BS!U33+BS!U34+BS!U38+BS!U39+BS!U40</f>
        <v>169630.87952047744</v>
      </c>
      <c r="N18" s="94">
        <f>+BS!V33+BS!V34+BS!V38+BS!V39+BS!V40</f>
        <v>171142.27705613722</v>
      </c>
      <c r="O18" s="94">
        <f>+BS!W33+BS!W34+BS!W38+BS!W39+BS!W40</f>
        <v>174262.86479925964</v>
      </c>
      <c r="P18" s="94">
        <f>+BS!X33+BS!X34+BS!X38+BS!X39+BS!X40</f>
        <v>177282.15666170861</v>
      </c>
      <c r="Q18" s="94">
        <f>+BS!Y33+BS!Y34+BS!Y38+BS!Y39+BS!Y40</f>
        <v>198589.70862316265</v>
      </c>
      <c r="R18" s="94">
        <f>+BS!Z33+BS!Z34+BS!Z38+BS!Z39+BS!Z40</f>
        <v>175302.43624230879</v>
      </c>
      <c r="S18" s="94">
        <f>+BS!AA33+BS!AA34+BS!AA38+BS!AA39+BS!AA40</f>
        <v>178345.71006049163</v>
      </c>
      <c r="T18" s="94">
        <f>+BS!AB33+BS!AB34+BS!AB38+BS!AB39+BS!AB40</f>
        <v>271254.83408808662</v>
      </c>
      <c r="U18" s="94">
        <f>+BS!AC33+BS!AC34+BS!AC38+BS!AC39+BS!AC40</f>
        <v>184139.20029526961</v>
      </c>
      <c r="V18" s="94">
        <f>+BS!AD33+BS!AD34+BS!AD38+BS!AD39+BS!AD40</f>
        <v>250124.15416783522</v>
      </c>
      <c r="X18" s="271"/>
      <c r="Y18" s="272"/>
      <c r="Z18" s="272"/>
      <c r="AA18" s="272"/>
      <c r="AB18" s="272"/>
      <c r="AC18" s="272"/>
      <c r="AD18" s="272"/>
      <c r="AE18" s="273"/>
      <c r="AF18" s="271"/>
      <c r="AG18" s="272"/>
      <c r="AH18" s="272"/>
      <c r="AI18" s="272"/>
      <c r="AJ18" s="272"/>
      <c r="AK18" s="272"/>
      <c r="AL18" s="272"/>
      <c r="AM18" s="273"/>
    </row>
    <row r="19" spans="1:39" x14ac:dyDescent="0.2">
      <c r="A19" s="88" t="s">
        <v>314</v>
      </c>
      <c r="B19" s="89" t="s">
        <v>254</v>
      </c>
      <c r="C19" s="90">
        <f>+BS!K43</f>
        <v>77242.117479271197</v>
      </c>
      <c r="D19" s="90">
        <f>+BS!L43</f>
        <v>97381.565516376853</v>
      </c>
      <c r="E19" s="90">
        <f>+BS!M43</f>
        <v>108067.23261786168</v>
      </c>
      <c r="F19" s="90">
        <f>+BS!N43</f>
        <v>109424.06256578342</v>
      </c>
      <c r="G19" s="90">
        <f>+BS!O43</f>
        <v>137051.77133361096</v>
      </c>
      <c r="H19" s="90">
        <f>+BS!P43</f>
        <v>157160.02652107546</v>
      </c>
      <c r="I19" s="90">
        <f>+BS!Q43</f>
        <v>163719.42962408118</v>
      </c>
      <c r="J19" s="90">
        <f>+BS!R43</f>
        <v>119099.25632925727</v>
      </c>
      <c r="K19" s="90">
        <f>+BS!S43</f>
        <v>139529.1625517784</v>
      </c>
      <c r="L19" s="90">
        <f>+BS!T43</f>
        <v>92707.483013790363</v>
      </c>
      <c r="M19" s="90">
        <f>+BS!U43</f>
        <v>139258.00102999643</v>
      </c>
      <c r="N19" s="90">
        <f>+BS!V43</f>
        <v>242661.69952737604</v>
      </c>
      <c r="O19" s="90">
        <f>+BS!W43</f>
        <v>197230.06618806516</v>
      </c>
      <c r="P19" s="90">
        <f>+BS!X43</f>
        <v>136400.56904993937</v>
      </c>
      <c r="Q19" s="90">
        <f>+BS!Y43</f>
        <v>208170.8302791233</v>
      </c>
      <c r="R19" s="90">
        <f>+BS!Z43</f>
        <v>205331.6753702501</v>
      </c>
      <c r="S19" s="90">
        <f>+BS!AA43</f>
        <v>185282.57140160454</v>
      </c>
      <c r="T19" s="90">
        <f>+BS!AB43</f>
        <v>169961.11935973505</v>
      </c>
      <c r="U19" s="90">
        <f>+BS!AC43</f>
        <v>176280.54012982099</v>
      </c>
      <c r="V19" s="90">
        <f>+BS!AD43</f>
        <v>235374.52721946963</v>
      </c>
      <c r="X19" s="271"/>
      <c r="Y19" s="272"/>
      <c r="Z19" s="272"/>
      <c r="AA19" s="272"/>
      <c r="AB19" s="272"/>
      <c r="AC19" s="272"/>
      <c r="AD19" s="272"/>
      <c r="AE19" s="273"/>
      <c r="AF19" s="271"/>
      <c r="AG19" s="272"/>
      <c r="AH19" s="272"/>
      <c r="AI19" s="272"/>
      <c r="AJ19" s="272"/>
      <c r="AK19" s="272"/>
      <c r="AL19" s="272"/>
      <c r="AM19" s="273"/>
    </row>
    <row r="20" spans="1:39" x14ac:dyDescent="0.2">
      <c r="A20" s="78" t="s">
        <v>313</v>
      </c>
      <c r="B20" s="79" t="s">
        <v>254</v>
      </c>
      <c r="C20" s="92">
        <f>+BS!K29</f>
        <v>549067.04512087698</v>
      </c>
      <c r="D20" s="92">
        <f>+BS!L29</f>
        <v>704202.37818090653</v>
      </c>
      <c r="E20" s="92">
        <f>+BS!M29</f>
        <v>495542.24649258901</v>
      </c>
      <c r="F20" s="92">
        <f>+BS!N29</f>
        <v>525805.61265546584</v>
      </c>
      <c r="G20" s="92">
        <f>+BS!O29</f>
        <v>464899.79835183016</v>
      </c>
      <c r="H20" s="92">
        <f>+BS!P29</f>
        <v>497532.59953137022</v>
      </c>
      <c r="I20" s="92">
        <f>+BS!Q29</f>
        <v>578582.11789980531</v>
      </c>
      <c r="J20" s="92">
        <f>+BS!R29</f>
        <v>423535.78417504946</v>
      </c>
      <c r="K20" s="92">
        <f>+BS!S29</f>
        <v>364258.45560230146</v>
      </c>
      <c r="L20" s="92">
        <f>+BS!T29</f>
        <v>317088.51684767776</v>
      </c>
      <c r="M20" s="92">
        <f>+BS!U29</f>
        <v>371394.66411753715</v>
      </c>
      <c r="N20" s="92">
        <f>+BS!V29</f>
        <v>511984.88920415915</v>
      </c>
      <c r="O20" s="92">
        <f>+BS!W29</f>
        <v>442436.66892831743</v>
      </c>
      <c r="P20" s="92">
        <f>+BS!X29</f>
        <v>385573.79755789763</v>
      </c>
      <c r="Q20" s="92">
        <f>+BS!Y29</f>
        <v>487538.21240393113</v>
      </c>
      <c r="R20" s="92">
        <f>+BS!Z29</f>
        <v>450259.80383090657</v>
      </c>
      <c r="S20" s="92">
        <f>+BS!AA29</f>
        <v>463307.34634690464</v>
      </c>
      <c r="T20" s="92">
        <f>+BS!AB29</f>
        <v>505619.64124339854</v>
      </c>
      <c r="U20" s="92">
        <f>+BS!AC29</f>
        <v>421332.81111287343</v>
      </c>
      <c r="V20" s="92">
        <f>+BS!AD29</f>
        <v>605742.18486179924</v>
      </c>
      <c r="X20" s="274"/>
      <c r="Y20" s="275"/>
      <c r="Z20" s="275"/>
      <c r="AA20" s="275"/>
      <c r="AB20" s="275"/>
      <c r="AC20" s="275"/>
      <c r="AD20" s="275"/>
      <c r="AE20" s="276"/>
      <c r="AF20" s="274"/>
      <c r="AG20" s="275"/>
      <c r="AH20" s="275"/>
      <c r="AI20" s="275"/>
      <c r="AJ20" s="275"/>
      <c r="AK20" s="275"/>
      <c r="AL20" s="275"/>
      <c r="AM20" s="276"/>
    </row>
    <row r="21" spans="1:39"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V21" s="192"/>
      <c r="X21" s="268"/>
      <c r="Y21" s="269"/>
      <c r="Z21" s="269"/>
      <c r="AA21" s="269"/>
      <c r="AB21" s="269"/>
      <c r="AC21" s="269"/>
      <c r="AD21" s="269"/>
      <c r="AE21" s="270"/>
      <c r="AF21" s="268"/>
      <c r="AG21" s="269"/>
      <c r="AH21" s="269"/>
      <c r="AI21" s="269"/>
      <c r="AJ21" s="269"/>
      <c r="AK21" s="269"/>
      <c r="AL21" s="269"/>
      <c r="AM21" s="270"/>
    </row>
    <row r="22" spans="1:39" x14ac:dyDescent="0.2">
      <c r="A22" s="80" t="s">
        <v>311</v>
      </c>
      <c r="B22" s="81" t="s">
        <v>254</v>
      </c>
      <c r="C22" s="96"/>
      <c r="D22" s="96">
        <f>+D11</f>
        <v>15653.910209344389</v>
      </c>
      <c r="E22" s="96">
        <f t="shared" ref="E22:K22" si="0">+E11</f>
        <v>12834.758099289995</v>
      </c>
      <c r="F22" s="96">
        <f t="shared" si="0"/>
        <v>13799.538513916081</v>
      </c>
      <c r="G22" s="96">
        <f t="shared" si="0"/>
        <v>15135.57588319772</v>
      </c>
      <c r="H22" s="96">
        <f t="shared" si="0"/>
        <v>14109.223651654676</v>
      </c>
      <c r="I22" s="96">
        <f t="shared" si="0"/>
        <v>13205.609216910569</v>
      </c>
      <c r="J22" s="96">
        <f t="shared" si="0"/>
        <v>8903.2891178717491</v>
      </c>
      <c r="K22" s="96">
        <f t="shared" si="0"/>
        <v>7504.3614091854324</v>
      </c>
      <c r="L22" s="96">
        <f>+L11</f>
        <v>7979.739968630749</v>
      </c>
      <c r="M22" s="96">
        <f>+M11</f>
        <v>10011.418791640424</v>
      </c>
      <c r="N22" s="96">
        <f>+N11</f>
        <v>12362.16355973294</v>
      </c>
      <c r="O22" s="96">
        <f>+O11</f>
        <v>11032.628548314819</v>
      </c>
      <c r="P22" s="96">
        <f t="shared" ref="P22:Q22" si="1">+P11</f>
        <v>9803.6832285068012</v>
      </c>
      <c r="Q22" s="96">
        <f t="shared" si="1"/>
        <v>11923.888319386093</v>
      </c>
      <c r="R22" s="96">
        <f t="shared" ref="R22:V22" si="2">+R11</f>
        <v>12028.524548764428</v>
      </c>
      <c r="S22" s="96">
        <f t="shared" ref="S22:T22" si="3">+S11</f>
        <v>10360.624788708226</v>
      </c>
      <c r="T22" s="96">
        <f t="shared" si="3"/>
        <v>7256.3373809852355</v>
      </c>
      <c r="U22" s="96">
        <f t="shared" ref="U22" si="4">+U11</f>
        <v>10985.737185666003</v>
      </c>
      <c r="V22" s="96">
        <f t="shared" si="2"/>
        <v>15736.719846685986</v>
      </c>
      <c r="X22" s="271"/>
      <c r="Y22" s="272"/>
      <c r="Z22" s="272"/>
      <c r="AA22" s="272"/>
      <c r="AB22" s="272"/>
      <c r="AC22" s="272"/>
      <c r="AD22" s="272"/>
      <c r="AE22" s="273"/>
      <c r="AF22" s="271"/>
      <c r="AG22" s="272"/>
      <c r="AH22" s="272"/>
      <c r="AI22" s="272"/>
      <c r="AJ22" s="272"/>
      <c r="AK22" s="272"/>
      <c r="AL22" s="272"/>
      <c r="AM22" s="273"/>
    </row>
    <row r="23" spans="1:39" x14ac:dyDescent="0.2">
      <c r="A23" s="86" t="s">
        <v>325</v>
      </c>
      <c r="B23" s="84" t="s">
        <v>254</v>
      </c>
      <c r="C23" s="97"/>
      <c r="D23" s="97">
        <f>+PL!L37-PL!L38</f>
        <v>6403.4311706452227</v>
      </c>
      <c r="E23" s="97">
        <f>+PL!M37-PL!M38</f>
        <v>6079.7129962613953</v>
      </c>
      <c r="F23" s="97">
        <f>+PL!N37-PL!N38</f>
        <v>5646.8623323624852</v>
      </c>
      <c r="G23" s="97">
        <f>+PL!O37-PL!O38</f>
        <v>5351.1536866434499</v>
      </c>
      <c r="H23" s="97">
        <f>+PL!P37-PL!P38</f>
        <v>5133.8529817885938</v>
      </c>
      <c r="I23" s="97">
        <f>+PL!Q37-PL!Q38</f>
        <v>3813.1894853640933</v>
      </c>
      <c r="J23" s="97">
        <f>+PL!R37-PL!R38</f>
        <v>2676.4324014250233</v>
      </c>
      <c r="K23" s="97">
        <f>+PL!S37-PL!S38</f>
        <v>2583.6033906827342</v>
      </c>
      <c r="L23" s="97">
        <f>+PL!T37-PL!T38</f>
        <v>2520.9668342397308</v>
      </c>
      <c r="M23" s="97">
        <f>+PL!U37-PL!U38</f>
        <v>2700.7573904848814</v>
      </c>
      <c r="N23" s="97">
        <f>+PL!V37-PL!V38</f>
        <v>13968.222078393996</v>
      </c>
      <c r="O23" s="97">
        <f>+PL!W37-PL!W38</f>
        <v>3222.0614155097883</v>
      </c>
      <c r="P23" s="97">
        <f>+PL!X37-PL!X38</f>
        <v>2615.0990211514754</v>
      </c>
      <c r="Q23" s="97">
        <f>+PL!Y37-PL!Y38</f>
        <v>3549.9744254389225</v>
      </c>
      <c r="R23" s="97">
        <f>+PL!Z37-PL!Z38</f>
        <v>3984.3520001530087</v>
      </c>
      <c r="S23" s="97">
        <f>+PL!AA37-PL!AA38</f>
        <v>2923.390930541851</v>
      </c>
      <c r="T23" s="97">
        <f>+PL!AB37-PL!AB38</f>
        <v>2664.6501436331027</v>
      </c>
      <c r="U23" s="97">
        <f>+PL!AC37-PL!AC38</f>
        <v>7162.7733012847857</v>
      </c>
      <c r="V23" s="97">
        <f>+PL!AD37-PL!AD38</f>
        <v>5609.9631423140454</v>
      </c>
      <c r="X23" s="271"/>
      <c r="Y23" s="272"/>
      <c r="Z23" s="272"/>
      <c r="AA23" s="272"/>
      <c r="AB23" s="272"/>
      <c r="AC23" s="272"/>
      <c r="AD23" s="272"/>
      <c r="AE23" s="273"/>
      <c r="AF23" s="271"/>
      <c r="AG23" s="272"/>
      <c r="AH23" s="272"/>
      <c r="AI23" s="272"/>
      <c r="AJ23" s="272"/>
      <c r="AK23" s="272"/>
      <c r="AL23" s="272"/>
      <c r="AM23" s="273"/>
    </row>
    <row r="24" spans="1:39" x14ac:dyDescent="0.2">
      <c r="A24" s="86" t="s">
        <v>326</v>
      </c>
      <c r="B24" s="84" t="s">
        <v>254</v>
      </c>
      <c r="C24" s="97"/>
      <c r="D24" s="97">
        <f>+PL!L13+PL!L24</f>
        <v>16337.529772031303</v>
      </c>
      <c r="E24" s="97">
        <f>+PL!M13+PL!M24</f>
        <v>12101.516464271255</v>
      </c>
      <c r="F24" s="97">
        <f>+PL!N13+PL!N24</f>
        <v>10916.393608185203</v>
      </c>
      <c r="G24" s="97">
        <f>+PL!O13+PL!O24</f>
        <v>9936.5186920319484</v>
      </c>
      <c r="H24" s="97">
        <f>+PL!P13+PL!P24</f>
        <v>10776.850051044756</v>
      </c>
      <c r="I24" s="97">
        <f>+PL!Q13+PL!Q24</f>
        <v>12608.544469917992</v>
      </c>
      <c r="J24" s="97">
        <f>+PL!R13+PL!R24</f>
        <v>9047.4606092354043</v>
      </c>
      <c r="K24" s="97">
        <f>+PL!S13+PL!S24</f>
        <v>7872.9329658075876</v>
      </c>
      <c r="L24" s="97">
        <f>+PL!T13+PL!T24</f>
        <v>7671.0747421690276</v>
      </c>
      <c r="M24" s="97">
        <f>+PL!U13+PL!U24</f>
        <v>7210.0092126611435</v>
      </c>
      <c r="N24" s="97">
        <f>+PL!V13+PL!V24</f>
        <v>8144.6734467379301</v>
      </c>
      <c r="O24" s="97">
        <f>+PL!W13+PL!W24</f>
        <v>7657.855626153404</v>
      </c>
      <c r="P24" s="97">
        <f>+PL!X13+PL!X24</f>
        <v>7976.6602338297544</v>
      </c>
      <c r="Q24" s="97">
        <f>+PL!Y13+PL!Y24</f>
        <v>8554.2558883224046</v>
      </c>
      <c r="R24" s="97">
        <f>+PL!Z13+PL!Z24</f>
        <v>7629.4249138159685</v>
      </c>
      <c r="S24" s="97">
        <f>+PL!AA13+PL!AA24</f>
        <v>8165.8511304646272</v>
      </c>
      <c r="T24" s="97">
        <f>+PL!AB13+PL!AB24</f>
        <v>8799.5421365580733</v>
      </c>
      <c r="U24" s="97">
        <f>+PL!AC13+PL!AC24</f>
        <v>7970.1675166851728</v>
      </c>
      <c r="V24" s="97">
        <f>+PL!AD13+PL!AD24</f>
        <v>10755.5705400268</v>
      </c>
      <c r="X24" s="271"/>
      <c r="Y24" s="272"/>
      <c r="Z24" s="272"/>
      <c r="AA24" s="272"/>
      <c r="AB24" s="272"/>
      <c r="AC24" s="272"/>
      <c r="AD24" s="272"/>
      <c r="AE24" s="273"/>
      <c r="AF24" s="271"/>
      <c r="AG24" s="272"/>
      <c r="AH24" s="272"/>
      <c r="AI24" s="272"/>
      <c r="AJ24" s="272"/>
      <c r="AK24" s="272"/>
      <c r="AL24" s="272"/>
      <c r="AM24" s="273"/>
    </row>
    <row r="25" spans="1:39" x14ac:dyDescent="0.2">
      <c r="A25" s="86" t="s">
        <v>327</v>
      </c>
      <c r="B25" s="84" t="s">
        <v>254</v>
      </c>
      <c r="C25" s="97"/>
      <c r="D25" s="97">
        <f>-(BS!L11-BS!K11)</f>
        <v>-536.45387426937305</v>
      </c>
      <c r="E25" s="97">
        <f>-(BS!M11-BS!L11)</f>
        <v>3854.2862456075354</v>
      </c>
      <c r="F25" s="97">
        <f>-(BS!N11-BS!M11)</f>
        <v>-2599.007891696031</v>
      </c>
      <c r="G25" s="97">
        <f>-(BS!O11-BS!N11)</f>
        <v>2966.2167424084782</v>
      </c>
      <c r="H25" s="97">
        <f>-(BS!P11-BS!O11)</f>
        <v>600.44318036853792</v>
      </c>
      <c r="I25" s="97">
        <f>-(BS!Q11-BS!P11)</f>
        <v>-2545.5127622285286</v>
      </c>
      <c r="J25" s="97">
        <f>-(BS!R11-BS!Q11)</f>
        <v>3577.2474179046394</v>
      </c>
      <c r="K25" s="97">
        <f>-(BS!S11-BS!R11)</f>
        <v>-2922.9837057544592</v>
      </c>
      <c r="L25" s="97">
        <f>-(BS!T11-BS!S11)</f>
        <v>2829.1052203086497</v>
      </c>
      <c r="M25" s="97">
        <f>-(BS!U11-BS!T11)</f>
        <v>-1996.116393701996</v>
      </c>
      <c r="N25" s="97">
        <f>-(BS!V11-BS!U11)</f>
        <v>2434.7742434963243</v>
      </c>
      <c r="O25" s="97">
        <f>-(BS!W11-BS!V11)</f>
        <v>-63.366964983643356</v>
      </c>
      <c r="P25" s="97">
        <f>-(BS!X11-BS!W11)</f>
        <v>279.24294681518245</v>
      </c>
      <c r="Q25" s="97">
        <f>-(BS!Y11-BS!X11)</f>
        <v>-1283.0692120516399</v>
      </c>
      <c r="R25" s="97">
        <f>-(BS!Z11-BS!Y11)</f>
        <v>-8545.269297321167</v>
      </c>
      <c r="S25" s="97">
        <f>-(BS!AA11-BS!Z11)</f>
        <v>2254.3469802374693</v>
      </c>
      <c r="T25" s="97">
        <f>-(BS!AB11-BS!AA11)</f>
        <v>1510.3314045510078</v>
      </c>
      <c r="U25" s="97">
        <f>-(BS!AC11-BS!AB11)</f>
        <v>3651.0665545037118</v>
      </c>
      <c r="V25" s="97">
        <f>-(BS!AD11-BS!AC11)</f>
        <v>-1336.76749435687</v>
      </c>
      <c r="X25" s="271"/>
      <c r="Y25" s="272"/>
      <c r="Z25" s="272"/>
      <c r="AA25" s="272"/>
      <c r="AB25" s="272"/>
      <c r="AC25" s="272"/>
      <c r="AD25" s="272"/>
      <c r="AE25" s="273"/>
      <c r="AF25" s="271"/>
      <c r="AG25" s="272"/>
      <c r="AH25" s="272"/>
      <c r="AI25" s="272"/>
      <c r="AJ25" s="272"/>
      <c r="AK25" s="272"/>
      <c r="AL25" s="272"/>
      <c r="AM25" s="273"/>
    </row>
    <row r="26" spans="1:39" x14ac:dyDescent="0.2">
      <c r="A26" s="86" t="s">
        <v>328</v>
      </c>
      <c r="B26" s="84" t="s">
        <v>254</v>
      </c>
      <c r="C26" s="97"/>
      <c r="D26" s="97">
        <f>-(BS!L13-BS!K13)</f>
        <v>13042.401258206626</v>
      </c>
      <c r="E26" s="97">
        <f>-(BS!M13-BS!L13)</f>
        <v>7301.3769066363193</v>
      </c>
      <c r="F26" s="97">
        <f>-(BS!N13-BS!M13)</f>
        <v>-1907.5854533712145</v>
      </c>
      <c r="G26" s="97">
        <f>-(BS!O13-BS!N13)</f>
        <v>932.50818278662882</v>
      </c>
      <c r="H26" s="97">
        <f>-(BS!P13-BS!O13)</f>
        <v>1615.328199960898</v>
      </c>
      <c r="I26" s="97">
        <f>-(BS!Q13-BS!P13)</f>
        <v>-2524.1770862994645</v>
      </c>
      <c r="J26" s="97">
        <f>-(BS!R13-BS!Q13)</f>
        <v>641.55577260902101</v>
      </c>
      <c r="K26" s="97">
        <f>-(BS!S13-BS!R13)</f>
        <v>3774.1325862155772</v>
      </c>
      <c r="L26" s="97">
        <f>-(BS!T13-BS!S13)</f>
        <v>686.46229839037005</v>
      </c>
      <c r="M26" s="97">
        <f>-(BS!U13-BS!T13)</f>
        <v>2052.1794693067686</v>
      </c>
      <c r="N26" s="97">
        <f>-(BS!V13-BS!U13)</f>
        <v>210.71325832282537</v>
      </c>
      <c r="O26" s="97">
        <f>-(BS!W13-BS!V13)</f>
        <v>-20866.066821763718</v>
      </c>
      <c r="P26" s="97">
        <f>-(BS!X13-BS!W13)</f>
        <v>17398.407437766171</v>
      </c>
      <c r="Q26" s="97">
        <f>-(BS!Y13-BS!X13)</f>
        <v>1678.0008850211984</v>
      </c>
      <c r="R26" s="97">
        <f>-(BS!Z13-BS!Y13)</f>
        <v>-377.69774764672593</v>
      </c>
      <c r="S26" s="97">
        <f>-(BS!AA13-BS!Z13)</f>
        <v>-17070.179127954387</v>
      </c>
      <c r="T26" s="97">
        <f>-(BS!AB13-BS!AA13)</f>
        <v>17693.303803924769</v>
      </c>
      <c r="U26" s="97">
        <f>-(BS!AC13-BS!AB13)</f>
        <v>-13295.771795619303</v>
      </c>
      <c r="V26" s="97">
        <f>-(BS!AD13-BS!AC13)</f>
        <v>14202.332302840188</v>
      </c>
      <c r="X26" s="271"/>
      <c r="Y26" s="272"/>
      <c r="Z26" s="272"/>
      <c r="AA26" s="272"/>
      <c r="AB26" s="272"/>
      <c r="AC26" s="272"/>
      <c r="AD26" s="272"/>
      <c r="AE26" s="273"/>
      <c r="AF26" s="271"/>
      <c r="AG26" s="272"/>
      <c r="AH26" s="272"/>
      <c r="AI26" s="272"/>
      <c r="AJ26" s="272"/>
      <c r="AK26" s="272"/>
      <c r="AL26" s="272"/>
      <c r="AM26" s="273"/>
    </row>
    <row r="27" spans="1:39" x14ac:dyDescent="0.2">
      <c r="A27" s="86" t="s">
        <v>329</v>
      </c>
      <c r="B27" s="84" t="s">
        <v>254</v>
      </c>
      <c r="C27" s="97"/>
      <c r="D27" s="97">
        <f>-((BS!L12+BS!L14)-(BS!K12+BS!K14))</f>
        <v>-5965.9344712404927</v>
      </c>
      <c r="E27" s="97">
        <f>-((BS!M12+BS!M14)-(BS!L12+BS!L14))</f>
        <v>9935.5102640000405</v>
      </c>
      <c r="F27" s="97">
        <f>-((BS!N12+BS!N14)-(BS!M12+BS!M14))</f>
        <v>7851.8586159696897</v>
      </c>
      <c r="G27" s="97">
        <f>-((BS!O12+BS!O14)-(BS!N12+BS!N14))</f>
        <v>-7530.0842948917452</v>
      </c>
      <c r="H27" s="97">
        <f>-((BS!P12+BS!P14)-(BS!O12+BS!O14))</f>
        <v>8126.1166135791682</v>
      </c>
      <c r="I27" s="97">
        <f>-((BS!Q12+BS!Q14)-(BS!P12+BS!P14))</f>
        <v>-12239.554164259342</v>
      </c>
      <c r="J27" s="97">
        <f>-((BS!R12+BS!R14)-(BS!Q12+BS!Q14))</f>
        <v>8290.8481578545543</v>
      </c>
      <c r="K27" s="97">
        <f>-((BS!S12+BS!S14)-(BS!R12+BS!R14))</f>
        <v>-1405.2179071442879</v>
      </c>
      <c r="L27" s="97">
        <f>-((BS!T12+BS!T14)-(BS!S12+BS!S14))</f>
        <v>22019.950483014771</v>
      </c>
      <c r="M27" s="97">
        <f>-((BS!U12+BS!U14)-(BS!T12+BS!T14))</f>
        <v>-6289.482794413123</v>
      </c>
      <c r="N27" s="97">
        <f>-((BS!V12+BS!V14)-(BS!U12+BS!U14))</f>
        <v>579.61471216612335</v>
      </c>
      <c r="O27" s="97">
        <f>-((BS!W12+BS!W14)-(BS!V12+BS!V14))</f>
        <v>-4453.3785566601764</v>
      </c>
      <c r="P27" s="97">
        <f>-((BS!X12+BS!X14)-(BS!W12+BS!W14))</f>
        <v>4700.1442713012511</v>
      </c>
      <c r="Q27" s="97">
        <f>-((BS!Y12+BS!Y14)-(BS!X12+BS!X14))</f>
        <v>-11679.165855300151</v>
      </c>
      <c r="R27" s="97">
        <f>-((BS!Z12+BS!Z14)-(BS!Y12+BS!Y14))</f>
        <v>3412.4338852328328</v>
      </c>
      <c r="S27" s="97">
        <f>-((BS!AA12+BS!AA14)-(BS!Z12+BS!Z14))</f>
        <v>-1055.2856036367884</v>
      </c>
      <c r="T27" s="97">
        <f>-((BS!AB12+BS!AB14)-(BS!AA12+BS!AA14))</f>
        <v>11109.753622773394</v>
      </c>
      <c r="U27" s="97">
        <f>-((BS!AC12+BS!AC14)-(BS!AB12+BS!AB14))</f>
        <v>-7387.7125490642939</v>
      </c>
      <c r="V27" s="97">
        <f>-((BS!AD12+BS!AD14)-(BS!AC12+BS!AC14))</f>
        <v>-13715.01737526567</v>
      </c>
      <c r="X27" s="271"/>
      <c r="Y27" s="272"/>
      <c r="Z27" s="272"/>
      <c r="AA27" s="272"/>
      <c r="AB27" s="272"/>
      <c r="AC27" s="272"/>
      <c r="AD27" s="272"/>
      <c r="AE27" s="273"/>
      <c r="AF27" s="271"/>
      <c r="AG27" s="272"/>
      <c r="AH27" s="272"/>
      <c r="AI27" s="272"/>
      <c r="AJ27" s="272"/>
      <c r="AK27" s="272"/>
      <c r="AL27" s="272"/>
      <c r="AM27" s="273"/>
    </row>
    <row r="28" spans="1:39" x14ac:dyDescent="0.2">
      <c r="A28" s="86" t="s">
        <v>330</v>
      </c>
      <c r="B28" s="84" t="s">
        <v>254</v>
      </c>
      <c r="C28" s="97"/>
      <c r="D28" s="97">
        <f>BS!L32-BS!K32</f>
        <v>-2920.5566613683186</v>
      </c>
      <c r="E28" s="97">
        <f>BS!M32-BS!L32</f>
        <v>-1262.381593679881</v>
      </c>
      <c r="F28" s="97">
        <f>BS!N32-BS!M32</f>
        <v>334.4911220554377</v>
      </c>
      <c r="G28" s="97">
        <f>BS!O32-BS!N32</f>
        <v>-73.52918826714631</v>
      </c>
      <c r="H28" s="97">
        <f>BS!P32-BS!O32</f>
        <v>-1019.9732972009078</v>
      </c>
      <c r="I28" s="97">
        <f>BS!Q32-BS!P32</f>
        <v>6751.7258162815597</v>
      </c>
      <c r="J28" s="97">
        <f>BS!R32-BS!Q32</f>
        <v>-7785.1744079730852</v>
      </c>
      <c r="K28" s="97">
        <f>BS!S32-BS!R32</f>
        <v>-323.21259417690453</v>
      </c>
      <c r="L28" s="97">
        <f>BS!T32-BS!S32</f>
        <v>579.99855746257481</v>
      </c>
      <c r="M28" s="97">
        <f>BS!U32-BS!T32</f>
        <v>-811.97264000176983</v>
      </c>
      <c r="N28" s="97">
        <f>BS!V32-BS!U32</f>
        <v>773.74184226434363</v>
      </c>
      <c r="O28" s="97">
        <f>BS!W32-BS!V32</f>
        <v>-293.49841376309814</v>
      </c>
      <c r="P28" s="97">
        <f>BS!X32-BS!W32</f>
        <v>-288.89375468528442</v>
      </c>
      <c r="Q28" s="97">
        <f>BS!Y32-BS!X32</f>
        <v>124.81658789950961</v>
      </c>
      <c r="R28" s="97">
        <f>BS!Z32-BS!Y32</f>
        <v>3503.399308402486</v>
      </c>
      <c r="S28" s="97">
        <f>BS!AA32-BS!Z32</f>
        <v>3898.5277463498287</v>
      </c>
      <c r="T28" s="97">
        <f>BS!AB32-BS!AA32</f>
        <v>-700.67476396312668</v>
      </c>
      <c r="U28" s="97">
        <f>BS!AC32-BS!AB32</f>
        <v>-4190.8506035606479</v>
      </c>
      <c r="V28" s="97">
        <f>BS!AD32-BS!AC32</f>
        <v>7101.8828419154743</v>
      </c>
      <c r="X28" s="271"/>
      <c r="Y28" s="272"/>
      <c r="Z28" s="272"/>
      <c r="AA28" s="272"/>
      <c r="AB28" s="272"/>
      <c r="AC28" s="272"/>
      <c r="AD28" s="272"/>
      <c r="AE28" s="273"/>
      <c r="AF28" s="271"/>
      <c r="AG28" s="272"/>
      <c r="AH28" s="272"/>
      <c r="AI28" s="272"/>
      <c r="AJ28" s="272"/>
      <c r="AK28" s="272"/>
      <c r="AL28" s="272"/>
      <c r="AM28" s="273"/>
    </row>
    <row r="29" spans="1:39" x14ac:dyDescent="0.2">
      <c r="A29" s="88" t="s">
        <v>331</v>
      </c>
      <c r="B29" s="89" t="s">
        <v>254</v>
      </c>
      <c r="C29" s="98"/>
      <c r="D29" s="98">
        <f>(BS!L36+BS!L42)-(BS!K36+BS!K42)</f>
        <v>63022.352778655244</v>
      </c>
      <c r="E29" s="98">
        <f>(BS!M36+BS!M42)-(BS!L36+BS!L42)</f>
        <v>-55839.646381534898</v>
      </c>
      <c r="F29" s="98">
        <f>(BS!N36+BS!N42)-(BS!M36+BS!M42)</f>
        <v>16318.151640251541</v>
      </c>
      <c r="G29" s="98">
        <f>(BS!O36+BS!O42)-(BS!N36+BS!N42)</f>
        <v>-34765.071484065265</v>
      </c>
      <c r="H29" s="98">
        <f>(BS!P36+BS!P42)-(BS!O36+BS!O42)</f>
        <v>-9484.6770032262866</v>
      </c>
      <c r="I29" s="98">
        <f>(BS!Q36+BS!Q42)-(BS!P36+BS!P42)</f>
        <v>9120.7746189330501</v>
      </c>
      <c r="J29" s="98">
        <f>(BS!R36+BS!R42)-(BS!Q36+BS!Q42)</f>
        <v>-18462.072701457277</v>
      </c>
      <c r="K29" s="98">
        <f>(BS!S36+BS!S42)-(BS!R36+BS!R42)</f>
        <v>-25277.351442505911</v>
      </c>
      <c r="L29" s="98">
        <f>(BS!T36+BS!T42)-(BS!S36+BS!S42)</f>
        <v>-9406.632816855592</v>
      </c>
      <c r="M29" s="98">
        <f>(BS!U36+BS!U42)-(BS!T36+BS!T42)</f>
        <v>4226.6861899847281</v>
      </c>
      <c r="N29" s="98">
        <f>(BS!V36+BS!V42)-(BS!U36+BS!U42)</f>
        <v>35039.864508155573</v>
      </c>
      <c r="O29" s="98">
        <f>(BS!W36+BS!W42)-(BS!V36+BS!V42)</f>
        <v>-27177.468613931109</v>
      </c>
      <c r="P29" s="98">
        <f>(BS!X36+BS!X42)-(BS!W36+BS!W42)</f>
        <v>1546.1314037383563</v>
      </c>
      <c r="Q29" s="98">
        <f>(BS!Y36+BS!Y42)-(BS!X36+BS!X42)</f>
        <v>8540.4163734198373</v>
      </c>
      <c r="R29" s="98">
        <f>(BS!Z36+BS!Z42)-(BS!Y36+BS!Y42)</f>
        <v>-14248.850457631444</v>
      </c>
      <c r="S29" s="98">
        <f>(BS!AA36+BS!AA42)-(BS!Z36+BS!Z42)</f>
        <v>26154.844920111311</v>
      </c>
      <c r="T29" s="98">
        <f>(BS!AB36+BS!AB42)-(BS!AA36+BS!AA42)</f>
        <v>-34574.702325268459</v>
      </c>
      <c r="U29" s="98">
        <f>(BS!AC36+BS!AC42)-(BS!AB36+BS!AB42)</f>
        <v>700.23348966611229</v>
      </c>
      <c r="V29" s="98">
        <f>(BS!AD36+BS!AD42)-(BS!AC36+BS!AC42)</f>
        <v>52228.549957128947</v>
      </c>
      <c r="X29" s="271"/>
      <c r="Y29" s="272"/>
      <c r="Z29" s="272"/>
      <c r="AA29" s="272"/>
      <c r="AB29" s="272"/>
      <c r="AC29" s="272"/>
      <c r="AD29" s="272"/>
      <c r="AE29" s="273"/>
      <c r="AF29" s="271"/>
      <c r="AG29" s="272"/>
      <c r="AH29" s="272"/>
      <c r="AI29" s="272"/>
      <c r="AJ29" s="272"/>
      <c r="AK29" s="272"/>
      <c r="AL29" s="272"/>
      <c r="AM29" s="273"/>
    </row>
    <row r="30" spans="1:39" x14ac:dyDescent="0.2">
      <c r="A30" s="80" t="s">
        <v>333</v>
      </c>
      <c r="B30" s="81" t="s">
        <v>254</v>
      </c>
      <c r="C30" s="96"/>
      <c r="D30" s="96">
        <f>-(BS!L15-BS!K15)</f>
        <v>-154519.32790416508</v>
      </c>
      <c r="E30" s="96">
        <f>-(BS!M15-BS!L15)</f>
        <v>183010.63260562881</v>
      </c>
      <c r="F30" s="96">
        <f>-(BS!N15-BS!M15)</f>
        <v>-26945.286098790762</v>
      </c>
      <c r="G30" s="96">
        <f>-(BS!O15-BS!N15)</f>
        <v>59228.236214026459</v>
      </c>
      <c r="H30" s="96">
        <f>-(BS!P15-BS!O15)</f>
        <v>-50544.767446804675</v>
      </c>
      <c r="I30" s="96">
        <f>-(BS!Q15-BS!P15)</f>
        <v>-56840.484701953188</v>
      </c>
      <c r="J30" s="96">
        <f>-(BS!R15-BS!Q15)</f>
        <v>138749.19292428938</v>
      </c>
      <c r="K30" s="96">
        <f>-(BS!S15-BS!R15)</f>
        <v>48361.607518671604</v>
      </c>
      <c r="L30" s="96">
        <f>-(BS!T15-BS!S15)</f>
        <v>12149.84058764379</v>
      </c>
      <c r="M30" s="96">
        <f>-(BS!U15-BS!T15)</f>
        <v>-24107.609818815254</v>
      </c>
      <c r="N30" s="96">
        <f>-(BS!V15-BS!U15)</f>
        <v>-100751.41631331609</v>
      </c>
      <c r="O30" s="96">
        <f>-(BS!W15-BS!V15)</f>
        <v>45503.41197651485</v>
      </c>
      <c r="P30" s="96">
        <f>-(BS!X15-BS!W15)</f>
        <v>33670.426041931554</v>
      </c>
      <c r="Q30" s="96">
        <f>-(BS!Y15-BS!X15)</f>
        <v>-80988.216363737534</v>
      </c>
      <c r="R30" s="96">
        <f>-(BS!Z15-BS!Y15)</f>
        <v>55214.930636125617</v>
      </c>
      <c r="S30" s="96">
        <f>-(BS!AA15-BS!Z15)</f>
        <v>633.63688504928723</v>
      </c>
      <c r="T30" s="96">
        <f>-(BS!AB15-BS!AA15)</f>
        <v>-70186.065961135435</v>
      </c>
      <c r="U30" s="96">
        <f>-(BS!AC15-BS!AB15)</f>
        <v>87992.400272715953</v>
      </c>
      <c r="V30" s="96">
        <f>-(BS!AD15-BS!AC15)</f>
        <v>-139766.48970102577</v>
      </c>
      <c r="X30" s="271"/>
      <c r="Y30" s="272"/>
      <c r="Z30" s="272"/>
      <c r="AA30" s="272"/>
      <c r="AB30" s="272"/>
      <c r="AC30" s="272"/>
      <c r="AD30" s="272"/>
      <c r="AE30" s="273"/>
      <c r="AF30" s="271"/>
      <c r="AG30" s="272"/>
      <c r="AH30" s="272"/>
      <c r="AI30" s="272"/>
      <c r="AJ30" s="272"/>
      <c r="AK30" s="272"/>
      <c r="AL30" s="272"/>
      <c r="AM30" s="273"/>
    </row>
    <row r="31" spans="1:39" x14ac:dyDescent="0.2">
      <c r="A31" s="88" t="s">
        <v>334</v>
      </c>
      <c r="B31" s="89" t="s">
        <v>254</v>
      </c>
      <c r="C31" s="98"/>
      <c r="D31" s="98">
        <f>-(PL!L13+PL!L24)</f>
        <v>-16337.529772031303</v>
      </c>
      <c r="E31" s="98">
        <f>-(PL!M13+PL!M24)</f>
        <v>-12101.516464271255</v>
      </c>
      <c r="F31" s="98">
        <f>-(PL!N13+PL!N24)</f>
        <v>-10916.393608185203</v>
      </c>
      <c r="G31" s="98">
        <f>-(PL!O13+PL!O24)</f>
        <v>-9936.5186920319484</v>
      </c>
      <c r="H31" s="98">
        <f>-(PL!P13+PL!P24)</f>
        <v>-10776.850051044756</v>
      </c>
      <c r="I31" s="98">
        <f>-(PL!Q13+PL!Q24)</f>
        <v>-12608.544469917992</v>
      </c>
      <c r="J31" s="98">
        <f>-(PL!R13+PL!R24)</f>
        <v>-9047.4606092354043</v>
      </c>
      <c r="K31" s="98">
        <f>-(PL!S13+PL!S24)</f>
        <v>-7872.9329658075876</v>
      </c>
      <c r="L31" s="98">
        <f>-(PL!T13+PL!T24)</f>
        <v>-7671.0747421690276</v>
      </c>
      <c r="M31" s="98">
        <f>-(PL!U13+PL!U24)</f>
        <v>-7210.0092126611435</v>
      </c>
      <c r="N31" s="98">
        <f>-(PL!V13+PL!V24)</f>
        <v>-8144.6734467379301</v>
      </c>
      <c r="O31" s="98">
        <f>-(PL!W13+PL!W24)</f>
        <v>-7657.855626153404</v>
      </c>
      <c r="P31" s="98">
        <f>-(PL!X13+PL!X24)</f>
        <v>-7976.6602338297544</v>
      </c>
      <c r="Q31" s="98">
        <f>-(PL!Y13+PL!Y24)</f>
        <v>-8554.2558883224046</v>
      </c>
      <c r="R31" s="98">
        <f>-(PL!Z13+PL!Z24)</f>
        <v>-7629.4249138159685</v>
      </c>
      <c r="S31" s="98">
        <f>-(PL!AA13+PL!AA24)</f>
        <v>-8165.8511304646272</v>
      </c>
      <c r="T31" s="98">
        <f>-(PL!AB13+PL!AB24)</f>
        <v>-8799.5421365580733</v>
      </c>
      <c r="U31" s="98">
        <f>-(PL!AC13+PL!AC24)</f>
        <v>-7970.1675166851728</v>
      </c>
      <c r="V31" s="98">
        <f>-(PL!AD13+PL!AD24)</f>
        <v>-10755.5705400268</v>
      </c>
      <c r="X31" s="271"/>
      <c r="Y31" s="272"/>
      <c r="Z31" s="272"/>
      <c r="AA31" s="272"/>
      <c r="AB31" s="272"/>
      <c r="AC31" s="272"/>
      <c r="AD31" s="272"/>
      <c r="AE31" s="273"/>
      <c r="AF31" s="271"/>
      <c r="AG31" s="272"/>
      <c r="AH31" s="272"/>
      <c r="AI31" s="272"/>
      <c r="AJ31" s="272"/>
      <c r="AK31" s="272"/>
      <c r="AL31" s="272"/>
      <c r="AM31" s="273"/>
    </row>
    <row r="32" spans="1:39" x14ac:dyDescent="0.2">
      <c r="A32" s="80" t="s">
        <v>336</v>
      </c>
      <c r="B32" s="81" t="s">
        <v>254</v>
      </c>
      <c r="C32" s="96"/>
      <c r="D32" s="96">
        <f>(BS!L33+BS!L34+BS!L38+BS!L39+BS!L40)-(BS!K33+BS!K34+BS!K38+BS!K39+BS!K40)</f>
        <v>74894.074923338427</v>
      </c>
      <c r="E32" s="96">
        <f>(BS!M33+BS!M34+BS!M38+BS!M39+BS!M40)-(BS!L33+BS!L34+BS!L38+BS!L39+BS!L40)</f>
        <v>-162243.77081458727</v>
      </c>
      <c r="F32" s="96">
        <f>(BS!N33+BS!N34+BS!N38+BS!N39+BS!N40)-(BS!M33+BS!M34+BS!M38+BS!M39+BS!M40)</f>
        <v>12253.893452647055</v>
      </c>
      <c r="G32" s="96">
        <f>(BS!O33+BS!O34+BS!O38+BS!O39+BS!O40)-(BS!N33+BS!N34+BS!N38+BS!N39+BS!N40)</f>
        <v>-53694.922399130155</v>
      </c>
      <c r="H32" s="96">
        <f>(BS!P33+BS!P34+BS!P38+BS!P39+BS!P40)-(BS!O33+BS!O34+BS!O38+BS!O39+BS!O40)</f>
        <v>23029.196292502136</v>
      </c>
      <c r="I32" s="96">
        <f>(BS!Q33+BS!Q34+BS!Q38+BS!Q39+BS!Q40)-(BS!P33+BS!P34+BS!P38+BS!P39+BS!P40)</f>
        <v>58166.885037547792</v>
      </c>
      <c r="J32" s="96">
        <f>(BS!R33+BS!R34+BS!R38+BS!R39+BS!R40)-(BS!Q33+BS!Q34+BS!Q38+BS!Q39+BS!Q40)</f>
        <v>-84024.283754242409</v>
      </c>
      <c r="K32" s="96">
        <f>(BS!S33+BS!S34+BS!S38+BS!S39+BS!S40)-(BS!R33+BS!R34+BS!R38+BS!R39+BS!R40)</f>
        <v>-54674.083857784251</v>
      </c>
      <c r="L32" s="96">
        <f>(BS!T33+BS!T34+BS!T38+BS!T39+BS!T40)-(BS!S33+BS!S34+BS!S38+BS!S39+BS!S40)</f>
        <v>9158.7763919562858</v>
      </c>
      <c r="M32" s="96">
        <f>(BS!U33+BS!U34+BS!U38+BS!U39+BS!U40)-(BS!T33+BS!T34+BS!T38+BS!T39+BS!T40)</f>
        <v>4124.2775474927621</v>
      </c>
      <c r="N32" s="96">
        <f>(BS!V33+BS!V34+BS!V38+BS!V39+BS!V40)-(BS!U33+BS!U34+BS!U38+BS!U39+BS!U40)</f>
        <v>1511.3975356597803</v>
      </c>
      <c r="O32" s="96">
        <f>(BS!W33+BS!W34+BS!W38+BS!W39+BS!W40)-(BS!V33+BS!V34+BS!V38+BS!V39+BS!V40)</f>
        <v>3120.5877431224217</v>
      </c>
      <c r="P32" s="96">
        <f>(BS!X33+BS!X34+BS!X38+BS!X39+BS!X40)-(BS!W33+BS!W34+BS!W38+BS!W39+BS!W40)</f>
        <v>3019.2918624489685</v>
      </c>
      <c r="Q32" s="96">
        <f>(BS!Y33+BS!Y34+BS!Y38+BS!Y39+BS!Y40)-(BS!X33+BS!X34+BS!X38+BS!X39+BS!X40)</f>
        <v>21307.551961454039</v>
      </c>
      <c r="R32" s="96">
        <f>(BS!Z33+BS!Z34+BS!Z38+BS!Z39+BS!Z40)-(BS!Y33+BS!Y34+BS!Y38+BS!Y39+BS!Y40)</f>
        <v>-23287.272380853858</v>
      </c>
      <c r="S32" s="96">
        <f>(BS!AA33+BS!AA34+BS!AA38+BS!AA39+BS!AA40)-(BS!Z33+BS!Z34+BS!Z38+BS!Z39+BS!Z40)</f>
        <v>3043.2738181828463</v>
      </c>
      <c r="T32" s="96">
        <f>(BS!AB33+BS!AB34+BS!AB38+BS!AB39+BS!AB40)-(BS!AA33+BS!AA34+BS!AA38+BS!AA39+BS!AA40)</f>
        <v>92909.124027594982</v>
      </c>
      <c r="U32" s="96">
        <f>(BS!AC33+BS!AC34+BS!AC38+BS!AC39+BS!AC40)-(BS!AB33+BS!AB34+BS!AB38+BS!AB39+BS!AB40)</f>
        <v>-87115.633792817011</v>
      </c>
      <c r="V32" s="96">
        <f>(BS!AD33+BS!AD34+BS!AD38+BS!AD39+BS!AD40)-(BS!AC33+BS!AC34+BS!AC38+BS!AC39+BS!AC40)</f>
        <v>65984.953872565617</v>
      </c>
      <c r="X32" s="271"/>
      <c r="Y32" s="272"/>
      <c r="Z32" s="272"/>
      <c r="AA32" s="272"/>
      <c r="AB32" s="272"/>
      <c r="AC32" s="272"/>
      <c r="AD32" s="272"/>
      <c r="AE32" s="273"/>
      <c r="AF32" s="271"/>
      <c r="AG32" s="272"/>
      <c r="AH32" s="272"/>
      <c r="AI32" s="272"/>
      <c r="AJ32" s="272"/>
      <c r="AK32" s="272"/>
      <c r="AL32" s="272"/>
      <c r="AM32" s="273"/>
    </row>
    <row r="33" spans="1:39" x14ac:dyDescent="0.2">
      <c r="A33" s="88" t="s">
        <v>337</v>
      </c>
      <c r="B33" s="89" t="s">
        <v>254</v>
      </c>
      <c r="C33" s="98"/>
      <c r="D33" s="98">
        <f>(BS!L45+BS!L46)-(BS!K45+BS!K46)</f>
        <v>17730.220259405243</v>
      </c>
      <c r="E33" s="98">
        <f>(BS!M45+BS!M46)-(BS!L45+BS!L46)</f>
        <v>-20952.064999051167</v>
      </c>
      <c r="F33" s="98">
        <f>(BS!N45+BS!N46)-(BS!M45+BS!M46)</f>
        <v>5685.8745602957351</v>
      </c>
      <c r="G33" s="98">
        <f>(BS!O45+BS!O46)-(BS!N45+BS!N46)</f>
        <v>-5461.6885783284743</v>
      </c>
      <c r="H33" s="98">
        <f>(BS!P45+BS!P46)-(BS!O45+BS!O46)</f>
        <v>1045.7036245824529</v>
      </c>
      <c r="I33" s="98">
        <f>(BS!Q45+BS!Q46)-(BS!P45+BS!P46)</f>
        <v>18487.413730228272</v>
      </c>
      <c r="J33" s="98">
        <f>(BS!R45+BS!R46)-(BS!Q45+BS!Q46)</f>
        <v>-21435.672106934762</v>
      </c>
      <c r="K33" s="98">
        <f>(BS!S45+BS!S46)-(BS!R45+BS!R46)</f>
        <v>16761.881938827413</v>
      </c>
      <c r="L33" s="98">
        <f>(BS!T45+BS!T46)-(BS!S45+BS!S46)</f>
        <v>-23092.366188439999</v>
      </c>
      <c r="M33" s="98">
        <f>(BS!U45+BS!U46)-(BS!T45+BS!T46)</f>
        <v>8307.1174514920494</v>
      </c>
      <c r="N33" s="98">
        <f>(BS!V45+BS!V46)-(BS!U45+BS!U46)</f>
        <v>3964.4396552441067</v>
      </c>
      <c r="O33" s="98">
        <f>(BS!W45+BS!W46)-(BS!V45+BS!V46)</f>
        <v>27517.189325274634</v>
      </c>
      <c r="P33" s="98">
        <f>(BS!X45+BS!X46)-(BS!W45+BS!W46)</f>
        <v>-37828.004857149295</v>
      </c>
      <c r="Q33" s="98">
        <f>(BS!Y45+BS!Y46)-(BS!X45+BS!X46)</f>
        <v>39206.238087171223</v>
      </c>
      <c r="R33" s="98">
        <f>(BS!Z45+BS!Z46)-(BS!Y45+BS!Y46)</f>
        <v>-30142.236102653027</v>
      </c>
      <c r="S33" s="98">
        <f>(BS!AA45+BS!AA46)-(BS!Z45+BS!Z46)</f>
        <v>15480.535133454512</v>
      </c>
      <c r="T33" s="98">
        <f>(BS!AB45+BS!AB46)-(BS!AA45+BS!AA46)</f>
        <v>23719.919764626553</v>
      </c>
      <c r="U33" s="98">
        <f>(BS!AC45+BS!AC46)-(BS!AB45+BS!AB46)</f>
        <v>-25854.013861275678</v>
      </c>
      <c r="V33" s="98">
        <f>(BS!AD45+BS!AD46)-(BS!AC45+BS!AC46)</f>
        <v>-4773.995811212546</v>
      </c>
      <c r="X33" s="271"/>
      <c r="Y33" s="272"/>
      <c r="Z33" s="272"/>
      <c r="AA33" s="272"/>
      <c r="AB33" s="272"/>
      <c r="AC33" s="272"/>
      <c r="AD33" s="272"/>
      <c r="AE33" s="273"/>
      <c r="AF33" s="271"/>
      <c r="AG33" s="272"/>
      <c r="AH33" s="272"/>
      <c r="AI33" s="272"/>
      <c r="AJ33" s="272"/>
      <c r="AK33" s="272"/>
      <c r="AL33" s="272"/>
      <c r="AM33" s="273"/>
    </row>
    <row r="34" spans="1:39" x14ac:dyDescent="0.2">
      <c r="A34" s="99" t="s">
        <v>332</v>
      </c>
      <c r="B34" s="79" t="s">
        <v>254</v>
      </c>
      <c r="C34" s="100"/>
      <c r="D34" s="100">
        <f>SUM(D22:D29)</f>
        <v>105036.68018200461</v>
      </c>
      <c r="E34" s="100">
        <f t="shared" ref="E34:K34" si="5">SUM(E22:E29)</f>
        <v>-4994.8669991482384</v>
      </c>
      <c r="F34" s="100">
        <f t="shared" si="5"/>
        <v>50360.702487673188</v>
      </c>
      <c r="G34" s="100">
        <f t="shared" si="5"/>
        <v>-8046.7117801559361</v>
      </c>
      <c r="H34" s="100">
        <f t="shared" si="5"/>
        <v>29857.164377969435</v>
      </c>
      <c r="I34" s="100">
        <f t="shared" si="5"/>
        <v>28190.599594619929</v>
      </c>
      <c r="J34" s="100">
        <f t="shared" si="5"/>
        <v>6889.5863674700304</v>
      </c>
      <c r="K34" s="100">
        <f t="shared" si="5"/>
        <v>-8193.7352976902293</v>
      </c>
      <c r="L34" s="100">
        <f>SUM(L22:L29)</f>
        <v>34880.66528736028</v>
      </c>
      <c r="M34" s="100">
        <f>SUM(M22:M29)</f>
        <v>17103.479225961059</v>
      </c>
      <c r="N34" s="100">
        <f>SUM(N22:N29)</f>
        <v>73513.767649270041</v>
      </c>
      <c r="O34" s="100">
        <f>SUM(O22:O29)</f>
        <v>-30941.233781123738</v>
      </c>
      <c r="P34" s="100">
        <f t="shared" ref="P34:Q34" si="6">SUM(P22:P29)</f>
        <v>44030.474788423715</v>
      </c>
      <c r="Q34" s="100">
        <f t="shared" si="6"/>
        <v>21409.117412136176</v>
      </c>
      <c r="R34" s="100">
        <f t="shared" ref="R34:V34" si="7">SUM(R22:R29)</f>
        <v>7386.3171537693852</v>
      </c>
      <c r="S34" s="100">
        <f t="shared" ref="S34:T34" si="8">SUM(S22:S29)</f>
        <v>35632.121764822135</v>
      </c>
      <c r="T34" s="100">
        <f t="shared" si="8"/>
        <v>13758.541403193994</v>
      </c>
      <c r="U34" s="100">
        <f t="shared" ref="U34" si="9">SUM(U22:U29)</f>
        <v>5595.6430995615447</v>
      </c>
      <c r="V34" s="100">
        <f t="shared" si="7"/>
        <v>90583.233761288895</v>
      </c>
      <c r="X34" s="271"/>
      <c r="Y34" s="272"/>
      <c r="Z34" s="272"/>
      <c r="AA34" s="272"/>
      <c r="AB34" s="272"/>
      <c r="AC34" s="272"/>
      <c r="AD34" s="272"/>
      <c r="AE34" s="273"/>
      <c r="AF34" s="271"/>
      <c r="AG34" s="272"/>
      <c r="AH34" s="272"/>
      <c r="AI34" s="272"/>
      <c r="AJ34" s="272"/>
      <c r="AK34" s="272"/>
      <c r="AL34" s="272"/>
      <c r="AM34" s="273"/>
    </row>
    <row r="35" spans="1:39" x14ac:dyDescent="0.2">
      <c r="A35" s="99" t="s">
        <v>335</v>
      </c>
      <c r="B35" s="79" t="s">
        <v>254</v>
      </c>
      <c r="C35" s="100"/>
      <c r="D35" s="100">
        <f>SUM(D30:D31)</f>
        <v>-170856.85767619638</v>
      </c>
      <c r="E35" s="100">
        <f t="shared" ref="E35:K35" si="10">SUM(E30:E31)</f>
        <v>170909.11614135755</v>
      </c>
      <c r="F35" s="100">
        <f t="shared" si="10"/>
        <v>-37861.679706975963</v>
      </c>
      <c r="G35" s="100">
        <f t="shared" si="10"/>
        <v>49291.717521994513</v>
      </c>
      <c r="H35" s="100">
        <f t="shared" si="10"/>
        <v>-61321.617497849431</v>
      </c>
      <c r="I35" s="100">
        <f t="shared" si="10"/>
        <v>-69449.029171871181</v>
      </c>
      <c r="J35" s="100">
        <f t="shared" si="10"/>
        <v>129701.73231505397</v>
      </c>
      <c r="K35" s="100">
        <f t="shared" si="10"/>
        <v>40488.674552864017</v>
      </c>
      <c r="L35" s="100">
        <f>SUM(L30:L31)</f>
        <v>4478.7658454747625</v>
      </c>
      <c r="M35" s="100">
        <f>SUM(M30:M31)</f>
        <v>-31317.619031476395</v>
      </c>
      <c r="N35" s="100">
        <f>SUM(N30:N31)</f>
        <v>-108896.08976005402</v>
      </c>
      <c r="O35" s="100">
        <f>SUM(O30:O31)</f>
        <v>37845.556350361447</v>
      </c>
      <c r="P35" s="100">
        <f t="shared" ref="P35:Q35" si="11">SUM(P30:P31)</f>
        <v>25693.765808101802</v>
      </c>
      <c r="Q35" s="100">
        <f t="shared" si="11"/>
        <v>-89542.472252059932</v>
      </c>
      <c r="R35" s="100">
        <f t="shared" ref="R35:V35" si="12">SUM(R30:R31)</f>
        <v>47585.505722309652</v>
      </c>
      <c r="S35" s="100">
        <f t="shared" ref="S35:T35" si="13">SUM(S30:S31)</f>
        <v>-7532.21424541534</v>
      </c>
      <c r="T35" s="100">
        <f t="shared" si="13"/>
        <v>-78985.608097693505</v>
      </c>
      <c r="U35" s="100">
        <f t="shared" ref="U35" si="14">SUM(U30:U31)</f>
        <v>80022.232756030775</v>
      </c>
      <c r="V35" s="100">
        <f t="shared" si="12"/>
        <v>-150522.06024105256</v>
      </c>
      <c r="X35" s="271"/>
      <c r="Y35" s="272"/>
      <c r="Z35" s="272"/>
      <c r="AA35" s="272"/>
      <c r="AB35" s="272"/>
      <c r="AC35" s="272"/>
      <c r="AD35" s="272"/>
      <c r="AE35" s="273"/>
      <c r="AF35" s="271"/>
      <c r="AG35" s="272"/>
      <c r="AH35" s="272"/>
      <c r="AI35" s="272"/>
      <c r="AJ35" s="272"/>
      <c r="AK35" s="272"/>
      <c r="AL35" s="272"/>
      <c r="AM35" s="273"/>
    </row>
    <row r="36" spans="1:39" x14ac:dyDescent="0.2">
      <c r="A36" s="99" t="s">
        <v>357</v>
      </c>
      <c r="B36" s="79" t="s">
        <v>254</v>
      </c>
      <c r="C36" s="100"/>
      <c r="D36" s="100">
        <f t="shared" ref="D36:K36" si="15">+D34+D35</f>
        <v>-65820.177494191768</v>
      </c>
      <c r="E36" s="100">
        <f t="shared" si="15"/>
        <v>165914.2491422093</v>
      </c>
      <c r="F36" s="100">
        <f t="shared" si="15"/>
        <v>12499.022780697225</v>
      </c>
      <c r="G36" s="100">
        <f t="shared" si="15"/>
        <v>41245.005741838577</v>
      </c>
      <c r="H36" s="100">
        <f t="shared" si="15"/>
        <v>-31464.453119879996</v>
      </c>
      <c r="I36" s="100">
        <f t="shared" si="15"/>
        <v>-41258.429577251256</v>
      </c>
      <c r="J36" s="100">
        <f t="shared" si="15"/>
        <v>136591.318682524</v>
      </c>
      <c r="K36" s="100">
        <f t="shared" si="15"/>
        <v>32294.939255173787</v>
      </c>
      <c r="L36" s="100">
        <f>+L34+L35</f>
        <v>39359.431132835045</v>
      </c>
      <c r="M36" s="100">
        <f>+M34+M35</f>
        <v>-14214.139805515337</v>
      </c>
      <c r="N36" s="100">
        <f>+N34+N35</f>
        <v>-35382.322110783978</v>
      </c>
      <c r="O36" s="100">
        <f>+O34+O35</f>
        <v>6904.3225692377091</v>
      </c>
      <c r="P36" s="100">
        <f t="shared" ref="P36:Q36" si="16">+P34+P35</f>
        <v>69724.240596525517</v>
      </c>
      <c r="Q36" s="100">
        <f t="shared" si="16"/>
        <v>-68133.354839923762</v>
      </c>
      <c r="R36" s="100">
        <f t="shared" ref="R36:V36" si="17">+R34+R35</f>
        <v>54971.822876079037</v>
      </c>
      <c r="S36" s="100">
        <f t="shared" ref="S36:T36" si="18">+S34+S35</f>
        <v>28099.907519406795</v>
      </c>
      <c r="T36" s="100">
        <f t="shared" si="18"/>
        <v>-65227.06669449951</v>
      </c>
      <c r="U36" s="100">
        <f t="shared" ref="U36" si="19">+U34+U35</f>
        <v>85617.875855592312</v>
      </c>
      <c r="V36" s="100">
        <f t="shared" si="17"/>
        <v>-59938.826479763666</v>
      </c>
      <c r="X36" s="271"/>
      <c r="Y36" s="272"/>
      <c r="Z36" s="272"/>
      <c r="AA36" s="272"/>
      <c r="AB36" s="272"/>
      <c r="AC36" s="272"/>
      <c r="AD36" s="272"/>
      <c r="AE36" s="273"/>
      <c r="AF36" s="271"/>
      <c r="AG36" s="272"/>
      <c r="AH36" s="272"/>
      <c r="AI36" s="272"/>
      <c r="AJ36" s="272"/>
      <c r="AK36" s="272"/>
      <c r="AL36" s="272"/>
      <c r="AM36" s="273"/>
    </row>
    <row r="37" spans="1:39" x14ac:dyDescent="0.2">
      <c r="A37" s="99" t="s">
        <v>338</v>
      </c>
      <c r="B37" s="79" t="s">
        <v>254</v>
      </c>
      <c r="C37" s="100"/>
      <c r="D37" s="100">
        <f>SUM(D32:D33)</f>
        <v>92624.295182743663</v>
      </c>
      <c r="E37" s="100">
        <f t="shared" ref="E37:K37" si="20">SUM(E32:E33)</f>
        <v>-183195.83581363843</v>
      </c>
      <c r="F37" s="100">
        <f t="shared" si="20"/>
        <v>17939.76801294279</v>
      </c>
      <c r="G37" s="100">
        <f t="shared" si="20"/>
        <v>-59156.610977458629</v>
      </c>
      <c r="H37" s="100">
        <f t="shared" si="20"/>
        <v>24074.899917084589</v>
      </c>
      <c r="I37" s="100">
        <f t="shared" si="20"/>
        <v>76654.298767776068</v>
      </c>
      <c r="J37" s="100">
        <f t="shared" si="20"/>
        <v>-105459.95586117718</v>
      </c>
      <c r="K37" s="100">
        <f t="shared" si="20"/>
        <v>-37912.201918956838</v>
      </c>
      <c r="L37" s="100">
        <f>SUM(L32:L33)</f>
        <v>-13933.589796483713</v>
      </c>
      <c r="M37" s="100">
        <f>SUM(M32:M33)</f>
        <v>12431.394998984812</v>
      </c>
      <c r="N37" s="100">
        <f>SUM(N32:N33)</f>
        <v>5475.8371909038869</v>
      </c>
      <c r="O37" s="100">
        <f>SUM(O32:O33)</f>
        <v>30637.777068397056</v>
      </c>
      <c r="P37" s="100">
        <f t="shared" ref="P37:Q37" si="21">SUM(P32:P33)</f>
        <v>-34808.712994700327</v>
      </c>
      <c r="Q37" s="100">
        <f t="shared" si="21"/>
        <v>60513.790048625262</v>
      </c>
      <c r="R37" s="100">
        <f t="shared" ref="R37:V37" si="22">SUM(R32:R33)</f>
        <v>-53429.508483506885</v>
      </c>
      <c r="S37" s="100">
        <f t="shared" ref="S37:T37" si="23">SUM(S32:S33)</f>
        <v>18523.808951637358</v>
      </c>
      <c r="T37" s="100">
        <f t="shared" si="23"/>
        <v>116629.04379222154</v>
      </c>
      <c r="U37" s="100">
        <f t="shared" ref="U37" si="24">SUM(U32:U33)</f>
        <v>-112969.6476540927</v>
      </c>
      <c r="V37" s="100">
        <f t="shared" si="22"/>
        <v>61210.958061353071</v>
      </c>
      <c r="X37" s="271"/>
      <c r="Y37" s="272"/>
      <c r="Z37" s="272"/>
      <c r="AA37" s="272"/>
      <c r="AB37" s="272"/>
      <c r="AC37" s="272"/>
      <c r="AD37" s="272"/>
      <c r="AE37" s="273"/>
      <c r="AF37" s="271"/>
      <c r="AG37" s="272"/>
      <c r="AH37" s="272"/>
      <c r="AI37" s="272"/>
      <c r="AJ37" s="272"/>
      <c r="AK37" s="272"/>
      <c r="AL37" s="272"/>
      <c r="AM37" s="273"/>
    </row>
    <row r="38" spans="1:39" x14ac:dyDescent="0.2">
      <c r="A38" s="78" t="s">
        <v>339</v>
      </c>
      <c r="B38" s="79" t="s">
        <v>254</v>
      </c>
      <c r="C38" s="100"/>
      <c r="D38" s="100">
        <f>+BS!K10</f>
        <v>49385.030551321994</v>
      </c>
      <c r="E38" s="100">
        <f>+BS!L10</f>
        <v>54828.817535502589</v>
      </c>
      <c r="F38" s="100">
        <f>+BS!M10</f>
        <v>50894.781785283107</v>
      </c>
      <c r="G38" s="100">
        <f>+BS!N10</f>
        <v>57989.314183787792</v>
      </c>
      <c r="H38" s="100">
        <f>+BS!O10</f>
        <v>53441.922615414427</v>
      </c>
      <c r="I38" s="100">
        <f>+BS!P10</f>
        <v>43544.53467669613</v>
      </c>
      <c r="J38" s="100">
        <f>+BS!Q10</f>
        <v>52741.292948795141</v>
      </c>
      <c r="K38" s="100">
        <f>+BS!R10</f>
        <v>49339.472208360785</v>
      </c>
      <c r="L38" s="100">
        <f>+BS!S10</f>
        <v>37890.507373768698</v>
      </c>
      <c r="M38" s="100">
        <f>+BS!T10</f>
        <v>28642.310588578486</v>
      </c>
      <c r="N38" s="100">
        <f>+BS!U10</f>
        <v>52562.46826810317</v>
      </c>
      <c r="O38" s="100">
        <f>+BS!V10</f>
        <v>95567.276399386537</v>
      </c>
      <c r="P38" s="100">
        <f>+BS!W10</f>
        <v>45414.047947147461</v>
      </c>
      <c r="Q38" s="100">
        <f>+BS!X10</f>
        <v>45070.710093709611</v>
      </c>
      <c r="R38" s="100">
        <f>+BS!Y10</f>
        <v>54959.256275439002</v>
      </c>
      <c r="S38" s="100">
        <f>+BS!Z10</f>
        <v>67373.702721737194</v>
      </c>
      <c r="T38" s="100">
        <f>+BS!AA10</f>
        <v>61292.076082200008</v>
      </c>
      <c r="U38" s="100">
        <f>+BS!AB10</f>
        <v>67419.845089504117</v>
      </c>
      <c r="V38" s="100">
        <f>+BS!AC10</f>
        <v>54619.785221879232</v>
      </c>
      <c r="X38" s="274"/>
      <c r="Y38" s="275"/>
      <c r="Z38" s="275"/>
      <c r="AA38" s="275"/>
      <c r="AB38" s="275"/>
      <c r="AC38" s="275"/>
      <c r="AD38" s="275"/>
      <c r="AE38" s="276"/>
      <c r="AF38" s="274"/>
      <c r="AG38" s="275"/>
      <c r="AH38" s="275"/>
      <c r="AI38" s="275"/>
      <c r="AJ38" s="275"/>
      <c r="AK38" s="275"/>
      <c r="AL38" s="275"/>
      <c r="AM38" s="276"/>
    </row>
    <row r="39" spans="1:39" x14ac:dyDescent="0.2">
      <c r="A39" s="78" t="s">
        <v>340</v>
      </c>
      <c r="B39" s="79" t="s">
        <v>254</v>
      </c>
      <c r="C39" s="100"/>
      <c r="D39" s="100">
        <f>D41-(D34+D35+D37)</f>
        <v>-21360.330704371299</v>
      </c>
      <c r="E39" s="100">
        <f t="shared" ref="E39:K39" si="25">E41-(E34+E35+E37)</f>
        <v>13347.550921209651</v>
      </c>
      <c r="F39" s="100">
        <f t="shared" si="25"/>
        <v>-23344.25839513533</v>
      </c>
      <c r="G39" s="100">
        <f t="shared" si="25"/>
        <v>13364.213667246688</v>
      </c>
      <c r="H39" s="100">
        <f t="shared" si="25"/>
        <v>-2507.8347359228901</v>
      </c>
      <c r="I39" s="100">
        <f t="shared" si="25"/>
        <v>-26199.110918425802</v>
      </c>
      <c r="J39" s="100">
        <f t="shared" si="25"/>
        <v>-34533.183561781174</v>
      </c>
      <c r="K39" s="100">
        <f t="shared" si="25"/>
        <v>-5831.702170809036</v>
      </c>
      <c r="L39" s="100">
        <f>L41-(L34+L35+L37)</f>
        <v>-34674.03812154154</v>
      </c>
      <c r="M39" s="100">
        <f>M41-(M34+M35+M37)</f>
        <v>25702.902486055209</v>
      </c>
      <c r="N39" s="100">
        <f>N41-(N34+N35+N37)</f>
        <v>72911.293051163462</v>
      </c>
      <c r="O39" s="100">
        <f>O41-(O34+O35+O37)</f>
        <v>-87695.32808987383</v>
      </c>
      <c r="P39" s="100">
        <f t="shared" ref="P39:Q39" si="26">P41-(P34+P35+P37)</f>
        <v>-35258.86545526304</v>
      </c>
      <c r="Q39" s="100">
        <f t="shared" si="26"/>
        <v>17508.110973027891</v>
      </c>
      <c r="R39" s="100">
        <f t="shared" ref="R39:V39" si="27">R41-(R34+R35+R37)</f>
        <v>10872.13205372604</v>
      </c>
      <c r="S39" s="100">
        <f t="shared" ref="S39:T39" si="28">S41-(S34+S35+S37)</f>
        <v>-52705.343110581343</v>
      </c>
      <c r="T39" s="100">
        <f t="shared" si="28"/>
        <v>-45274.208090417917</v>
      </c>
      <c r="U39" s="100">
        <f t="shared" ref="U39" si="29">U41-(U34+U35+U37)</f>
        <v>14551.711930875499</v>
      </c>
      <c r="V39" s="100">
        <f t="shared" si="27"/>
        <v>42144.810017135263</v>
      </c>
      <c r="X39" s="268"/>
      <c r="Y39" s="269"/>
      <c r="Z39" s="269"/>
      <c r="AA39" s="269"/>
      <c r="AB39" s="269"/>
      <c r="AC39" s="269"/>
      <c r="AD39" s="269"/>
      <c r="AE39" s="270"/>
      <c r="AF39" s="268"/>
      <c r="AG39" s="269"/>
      <c r="AH39" s="269"/>
      <c r="AI39" s="269"/>
      <c r="AJ39" s="269"/>
      <c r="AK39" s="269"/>
      <c r="AL39" s="269"/>
      <c r="AM39" s="270"/>
    </row>
    <row r="40" spans="1:39" x14ac:dyDescent="0.2">
      <c r="A40" s="78" t="s">
        <v>341</v>
      </c>
      <c r="B40" s="79" t="s">
        <v>254</v>
      </c>
      <c r="C40" s="100"/>
      <c r="D40" s="100">
        <f>+BS!L10</f>
        <v>54828.817535502589</v>
      </c>
      <c r="E40" s="100">
        <f>+BS!M10</f>
        <v>50894.781785283107</v>
      </c>
      <c r="F40" s="100">
        <f>+BS!N10</f>
        <v>57989.314183787792</v>
      </c>
      <c r="G40" s="100">
        <f>+BS!O10</f>
        <v>53441.922615414427</v>
      </c>
      <c r="H40" s="100">
        <f>+BS!P10</f>
        <v>43544.53467669613</v>
      </c>
      <c r="I40" s="100">
        <f>+BS!Q10</f>
        <v>52741.292948795141</v>
      </c>
      <c r="J40" s="100">
        <f>+BS!R10</f>
        <v>49339.472208360785</v>
      </c>
      <c r="K40" s="100">
        <f>+BS!S10</f>
        <v>37890.507373768698</v>
      </c>
      <c r="L40" s="100">
        <f>+BS!T10</f>
        <v>28642.310588578486</v>
      </c>
      <c r="M40" s="100">
        <f>+BS!U10</f>
        <v>52562.46826810317</v>
      </c>
      <c r="N40" s="100">
        <f>+BS!V10</f>
        <v>95567.276399386537</v>
      </c>
      <c r="O40" s="100">
        <f>+BS!W10</f>
        <v>45414.047947147461</v>
      </c>
      <c r="P40" s="100">
        <f>+BS!X10</f>
        <v>45070.710093709611</v>
      </c>
      <c r="Q40" s="100">
        <f>+BS!Y10</f>
        <v>54959.256275439002</v>
      </c>
      <c r="R40" s="100">
        <f>+BS!Z10</f>
        <v>67373.702721737194</v>
      </c>
      <c r="S40" s="100">
        <f>+BS!AA10</f>
        <v>61292.076082200008</v>
      </c>
      <c r="T40" s="100">
        <f>+BS!AB10</f>
        <v>67419.845089504117</v>
      </c>
      <c r="U40" s="100">
        <f>+BS!AC10</f>
        <v>54619.785221879232</v>
      </c>
      <c r="V40" s="100">
        <f>+BS!AD10</f>
        <v>98036.726820603901</v>
      </c>
      <c r="X40" s="271"/>
      <c r="Y40" s="272"/>
      <c r="Z40" s="272"/>
      <c r="AA40" s="272"/>
      <c r="AB40" s="272"/>
      <c r="AC40" s="272"/>
      <c r="AD40" s="272"/>
      <c r="AE40" s="273"/>
      <c r="AF40" s="271"/>
      <c r="AG40" s="272"/>
      <c r="AH40" s="272"/>
      <c r="AI40" s="272"/>
      <c r="AJ40" s="272"/>
      <c r="AK40" s="272"/>
      <c r="AL40" s="272"/>
      <c r="AM40" s="273"/>
    </row>
    <row r="41" spans="1:39" x14ac:dyDescent="0.2">
      <c r="A41" s="78" t="s">
        <v>342</v>
      </c>
      <c r="B41" s="79" t="s">
        <v>254</v>
      </c>
      <c r="C41" s="100"/>
      <c r="D41" s="100">
        <f t="shared" ref="D41:K41" si="30">+D40-D38</f>
        <v>5443.786984180595</v>
      </c>
      <c r="E41" s="100">
        <f t="shared" si="30"/>
        <v>-3934.035750219482</v>
      </c>
      <c r="F41" s="100">
        <f t="shared" si="30"/>
        <v>7094.5323985046853</v>
      </c>
      <c r="G41" s="100">
        <f t="shared" si="30"/>
        <v>-4547.3915683733649</v>
      </c>
      <c r="H41" s="100">
        <f t="shared" si="30"/>
        <v>-9897.3879387182969</v>
      </c>
      <c r="I41" s="100">
        <f t="shared" si="30"/>
        <v>9196.7582720990104</v>
      </c>
      <c r="J41" s="100">
        <f t="shared" si="30"/>
        <v>-3401.8207404343557</v>
      </c>
      <c r="K41" s="100">
        <f t="shared" si="30"/>
        <v>-11448.964834592087</v>
      </c>
      <c r="L41" s="100">
        <f>+L40-L38</f>
        <v>-9248.1967851902118</v>
      </c>
      <c r="M41" s="100">
        <f>+M40-M38</f>
        <v>23920.157679524684</v>
      </c>
      <c r="N41" s="100">
        <f>+N40-N38</f>
        <v>43004.808131283367</v>
      </c>
      <c r="O41" s="100">
        <f>+O40-O38</f>
        <v>-50153.228452239076</v>
      </c>
      <c r="P41" s="100">
        <f t="shared" ref="P41:Q41" si="31">+P40-P38</f>
        <v>-343.33785343784984</v>
      </c>
      <c r="Q41" s="100">
        <f t="shared" si="31"/>
        <v>9888.5461817293908</v>
      </c>
      <c r="R41" s="100">
        <f t="shared" ref="R41:V41" si="32">+R40-R38</f>
        <v>12414.446446298192</v>
      </c>
      <c r="S41" s="100">
        <f t="shared" ref="S41:T41" si="33">+S40-S38</f>
        <v>-6081.6266395371858</v>
      </c>
      <c r="T41" s="100">
        <f t="shared" si="33"/>
        <v>6127.7690073041085</v>
      </c>
      <c r="U41" s="100">
        <f t="shared" ref="U41" si="34">+U40-U38</f>
        <v>-12800.059867624885</v>
      </c>
      <c r="V41" s="100">
        <f t="shared" si="32"/>
        <v>43416.941598724668</v>
      </c>
      <c r="X41" s="271"/>
      <c r="Y41" s="272"/>
      <c r="Z41" s="272"/>
      <c r="AA41" s="272"/>
      <c r="AB41" s="272"/>
      <c r="AC41" s="272"/>
      <c r="AD41" s="272"/>
      <c r="AE41" s="273"/>
      <c r="AF41" s="271"/>
      <c r="AG41" s="272"/>
      <c r="AH41" s="272"/>
      <c r="AI41" s="272"/>
      <c r="AJ41" s="272"/>
      <c r="AK41" s="272"/>
      <c r="AL41" s="272"/>
      <c r="AM41" s="273"/>
    </row>
    <row r="42" spans="1:39"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V42" s="192"/>
      <c r="X42" s="271"/>
      <c r="Y42" s="272"/>
      <c r="Z42" s="272"/>
      <c r="AA42" s="272"/>
      <c r="AB42" s="272"/>
      <c r="AC42" s="272"/>
      <c r="AD42" s="272"/>
      <c r="AE42" s="273"/>
      <c r="AF42" s="271"/>
      <c r="AG42" s="272"/>
      <c r="AH42" s="272"/>
      <c r="AI42" s="272"/>
      <c r="AJ42" s="272"/>
      <c r="AK42" s="272"/>
      <c r="AL42" s="272"/>
      <c r="AM42" s="273"/>
    </row>
    <row r="43" spans="1:39" x14ac:dyDescent="0.2">
      <c r="A43" s="78" t="s">
        <v>343</v>
      </c>
      <c r="B43" s="79" t="s">
        <v>352</v>
      </c>
      <c r="C43" s="101">
        <f t="shared" ref="C43:K43" si="35">+C12/C20*100</f>
        <v>-0.18866647214376084</v>
      </c>
      <c r="D43" s="101">
        <f>+D12/D20*100</f>
        <v>1.3723850947140459</v>
      </c>
      <c r="E43" s="101">
        <f t="shared" si="35"/>
        <v>1.4153415308560782</v>
      </c>
      <c r="F43" s="101">
        <f t="shared" si="35"/>
        <v>1.7069430449835739</v>
      </c>
      <c r="G43" s="101">
        <f t="shared" si="35"/>
        <v>1.478509138491501</v>
      </c>
      <c r="H43" s="101">
        <f t="shared" si="35"/>
        <v>1.1165356310971561</v>
      </c>
      <c r="I43" s="101">
        <f t="shared" si="35"/>
        <v>1.2166658077546419</v>
      </c>
      <c r="J43" s="101">
        <f t="shared" si="35"/>
        <v>0.4768424360283956</v>
      </c>
      <c r="K43" s="101">
        <f t="shared" si="35"/>
        <v>-0.29207373988536817</v>
      </c>
      <c r="L43" s="101">
        <f>+L12/L20*100</f>
        <v>1.1159369994366384</v>
      </c>
      <c r="M43" s="101">
        <f>+M12/M20*100</f>
        <v>1.8608594952133</v>
      </c>
      <c r="N43" s="101">
        <f>+N12/N20*100</f>
        <v>5.2251373222796413</v>
      </c>
      <c r="O43" s="101">
        <f>+O12/O20*100</f>
        <v>1.7235011652300416</v>
      </c>
      <c r="P43" s="101">
        <f t="shared" ref="P43:Q43" si="36">+P12/P20*100</f>
        <v>1.8467900358935843</v>
      </c>
      <c r="Q43" s="101">
        <f t="shared" si="36"/>
        <v>1.4628481065666361</v>
      </c>
      <c r="R43" s="101">
        <f t="shared" ref="R43:V43" si="37">+R12/R20*100</f>
        <v>6.1147171864281971</v>
      </c>
      <c r="S43" s="101">
        <f t="shared" ref="S43:T43" si="38">+S12/S20*100</f>
        <v>1.7943805327287061</v>
      </c>
      <c r="T43" s="101">
        <f t="shared" si="38"/>
        <v>1.1551116870795934</v>
      </c>
      <c r="U43" s="101">
        <f t="shared" ref="U43" si="39">+U12/U20*100</f>
        <v>-5.8383974536078425</v>
      </c>
      <c r="V43" s="101">
        <f t="shared" si="37"/>
        <v>2.2560249583855616</v>
      </c>
      <c r="X43" s="271"/>
      <c r="Y43" s="272"/>
      <c r="Z43" s="272"/>
      <c r="AA43" s="272"/>
      <c r="AB43" s="272"/>
      <c r="AC43" s="272"/>
      <c r="AD43" s="272"/>
      <c r="AE43" s="273"/>
      <c r="AF43" s="271"/>
      <c r="AG43" s="272"/>
      <c r="AH43" s="272"/>
      <c r="AI43" s="272"/>
      <c r="AJ43" s="272"/>
      <c r="AK43" s="272"/>
      <c r="AL43" s="272"/>
      <c r="AM43" s="273"/>
    </row>
    <row r="44" spans="1:39" x14ac:dyDescent="0.2">
      <c r="A44" s="78" t="s">
        <v>315</v>
      </c>
      <c r="B44" s="79" t="s">
        <v>353</v>
      </c>
      <c r="C44" s="102">
        <f t="shared" ref="C44:K44" si="40">+C19/C20*100</f>
        <v>14.067884453394278</v>
      </c>
      <c r="D44" s="102">
        <f>+D19/D20*100</f>
        <v>13.828633434600523</v>
      </c>
      <c r="E44" s="102">
        <f t="shared" si="40"/>
        <v>21.807874784189131</v>
      </c>
      <c r="F44" s="102">
        <f t="shared" si="40"/>
        <v>20.810744490375672</v>
      </c>
      <c r="G44" s="102">
        <f t="shared" si="40"/>
        <v>29.479851748589475</v>
      </c>
      <c r="H44" s="102">
        <f t="shared" si="40"/>
        <v>31.58788522985342</v>
      </c>
      <c r="I44" s="102">
        <f t="shared" si="40"/>
        <v>28.296662575463994</v>
      </c>
      <c r="J44" s="102">
        <f t="shared" si="40"/>
        <v>28.120234648232923</v>
      </c>
      <c r="K44" s="102">
        <f t="shared" si="40"/>
        <v>38.304989329916005</v>
      </c>
      <c r="L44" s="102">
        <f>+L19/L20*100</f>
        <v>29.237098818789757</v>
      </c>
      <c r="M44" s="102">
        <f>+M19/M20*100</f>
        <v>37.495961704480699</v>
      </c>
      <c r="N44" s="102">
        <f>+N19/N20*100</f>
        <v>47.396262007766445</v>
      </c>
      <c r="O44" s="102">
        <f>+O19/O20*100</f>
        <v>44.578146442021044</v>
      </c>
      <c r="P44" s="102">
        <f t="shared" ref="P44:Q44" si="41">+P19/P20*100</f>
        <v>35.375995442080708</v>
      </c>
      <c r="Q44" s="102">
        <f t="shared" si="41"/>
        <v>42.698361888944888</v>
      </c>
      <c r="R44" s="102">
        <f t="shared" ref="R44:V44" si="42">+R19/R20*100</f>
        <v>45.602932712013015</v>
      </c>
      <c r="S44" s="102">
        <f t="shared" ref="S44:T44" si="43">+S19/S20*100</f>
        <v>39.991287179563287</v>
      </c>
      <c r="T44" s="102">
        <f t="shared" si="43"/>
        <v>33.61442188870943</v>
      </c>
      <c r="U44" s="102">
        <f t="shared" ref="U44" si="44">+U19/U20*100</f>
        <v>41.838787647277755</v>
      </c>
      <c r="V44" s="102">
        <f t="shared" si="42"/>
        <v>38.85721237545485</v>
      </c>
      <c r="X44" s="271"/>
      <c r="Y44" s="272"/>
      <c r="Z44" s="272"/>
      <c r="AA44" s="272"/>
      <c r="AB44" s="272"/>
      <c r="AC44" s="272"/>
      <c r="AD44" s="272"/>
      <c r="AE44" s="273"/>
      <c r="AF44" s="271"/>
      <c r="AG44" s="272"/>
      <c r="AH44" s="272"/>
      <c r="AI44" s="272"/>
      <c r="AJ44" s="272"/>
      <c r="AK44" s="272"/>
      <c r="AL44" s="272"/>
      <c r="AM44" s="273"/>
    </row>
    <row r="45" spans="1:39" x14ac:dyDescent="0.2">
      <c r="A45" s="78" t="s">
        <v>316</v>
      </c>
      <c r="B45" s="79" t="s">
        <v>353</v>
      </c>
      <c r="C45" s="102">
        <f t="shared" ref="C45:K45" si="45">+C12/C19*100</f>
        <v>-1.3411147409462814</v>
      </c>
      <c r="D45" s="102">
        <f>+D12/D19*100</f>
        <v>9.9242278798150174</v>
      </c>
      <c r="E45" s="102">
        <f t="shared" si="45"/>
        <v>6.4900479522296735</v>
      </c>
      <c r="F45" s="102">
        <f t="shared" si="45"/>
        <v>8.2022199915672509</v>
      </c>
      <c r="G45" s="102">
        <f t="shared" si="45"/>
        <v>5.0153208065649224</v>
      </c>
      <c r="H45" s="102">
        <f t="shared" si="45"/>
        <v>3.5346957321534416</v>
      </c>
      <c r="I45" s="102">
        <f t="shared" si="45"/>
        <v>4.299679527611894</v>
      </c>
      <c r="J45" s="102">
        <f t="shared" si="45"/>
        <v>1.6957270876057942</v>
      </c>
      <c r="K45" s="102">
        <f t="shared" si="45"/>
        <v>-0.7624952910697198</v>
      </c>
      <c r="L45" s="102">
        <f>+L12/L19*100</f>
        <v>3.8168527128945535</v>
      </c>
      <c r="M45" s="102">
        <f>+M12/M19*100</f>
        <v>4.9628264234943753</v>
      </c>
      <c r="N45" s="102">
        <f>+N12/N19*100</f>
        <v>11.024365848562992</v>
      </c>
      <c r="O45" s="102">
        <f>+O12/O19*100</f>
        <v>3.866246811028025</v>
      </c>
      <c r="P45" s="102">
        <f t="shared" ref="P45:Q45" si="46">+P12/P19*100</f>
        <v>5.2204609730833953</v>
      </c>
      <c r="Q45" s="102">
        <f t="shared" si="46"/>
        <v>3.4260052185875183</v>
      </c>
      <c r="R45" s="102">
        <f t="shared" ref="R45:V45" si="47">+R12/R19*100</f>
        <v>13.408605154943073</v>
      </c>
      <c r="S45" s="102">
        <f t="shared" ref="S45:T45" si="48">+S12/S19*100</f>
        <v>4.4869286769186241</v>
      </c>
      <c r="T45" s="102">
        <f t="shared" si="48"/>
        <v>3.4363574387920024</v>
      </c>
      <c r="U45" s="102">
        <f t="shared" ref="U45" si="49">+U12/U19*100</f>
        <v>-13.954509157455758</v>
      </c>
      <c r="V45" s="102">
        <f t="shared" si="47"/>
        <v>5.8059361968298004</v>
      </c>
      <c r="X45" s="271"/>
      <c r="Y45" s="272"/>
      <c r="Z45" s="272"/>
      <c r="AA45" s="272"/>
      <c r="AB45" s="272"/>
      <c r="AC45" s="272"/>
      <c r="AD45" s="272"/>
      <c r="AE45" s="273"/>
      <c r="AF45" s="271"/>
      <c r="AG45" s="272"/>
      <c r="AH45" s="272"/>
      <c r="AI45" s="272"/>
      <c r="AJ45" s="272"/>
      <c r="AK45" s="272"/>
      <c r="AL45" s="272"/>
      <c r="AM45" s="273"/>
    </row>
    <row r="46" spans="1:39" x14ac:dyDescent="0.2">
      <c r="A46" s="78" t="s">
        <v>349</v>
      </c>
      <c r="B46" s="79" t="s">
        <v>354</v>
      </c>
      <c r="C46" s="101">
        <f t="shared" ref="C46:K46" si="50">+C18/C20*100</f>
        <v>62.404189023091853</v>
      </c>
      <c r="D46" s="101">
        <f>+D18/D20*100</f>
        <v>59.291891729001321</v>
      </c>
      <c r="E46" s="101">
        <f t="shared" si="50"/>
        <v>51.517533089543797</v>
      </c>
      <c r="F46" s="101">
        <f t="shared" si="50"/>
        <v>50.882879114005227</v>
      </c>
      <c r="G46" s="101">
        <f t="shared" si="50"/>
        <v>45.99918361357647</v>
      </c>
      <c r="H46" s="101">
        <f t="shared" si="50"/>
        <v>47.610811508356576</v>
      </c>
      <c r="I46" s="101">
        <f t="shared" si="50"/>
        <v>50.99469618315252</v>
      </c>
      <c r="J46" s="101">
        <f t="shared" si="50"/>
        <v>49.8238678580217</v>
      </c>
      <c r="K46" s="101">
        <f t="shared" si="50"/>
        <v>42.9222227175227</v>
      </c>
      <c r="L46" s="101">
        <f>+L18/L20*100</f>
        <v>52.195709771631485</v>
      </c>
      <c r="M46" s="101">
        <f>+M18/M20*100</f>
        <v>45.674021710444798</v>
      </c>
      <c r="N46" s="101">
        <f>+N18/N20*100</f>
        <v>33.427212533980175</v>
      </c>
      <c r="O46" s="101">
        <f>+O18/O20*100</f>
        <v>39.387075492943218</v>
      </c>
      <c r="P46" s="101">
        <f t="shared" ref="P46:Q46" si="51">+P18/P20*100</f>
        <v>45.978787403230633</v>
      </c>
      <c r="Q46" s="101">
        <f t="shared" si="51"/>
        <v>40.733157641934483</v>
      </c>
      <c r="R46" s="101">
        <f t="shared" ref="R46:V46" si="52">+R18/R20*100</f>
        <v>38.933618935289857</v>
      </c>
      <c r="S46" s="101">
        <f t="shared" ref="S46:T46" si="53">+S18/S20*100</f>
        <v>38.494038885140839</v>
      </c>
      <c r="T46" s="101">
        <f t="shared" si="53"/>
        <v>53.648001770862408</v>
      </c>
      <c r="U46" s="101">
        <f t="shared" ref="U46" si="54">+U18/U20*100</f>
        <v>43.703978289490351</v>
      </c>
      <c r="V46" s="101">
        <f t="shared" si="52"/>
        <v>41.292180141771262</v>
      </c>
      <c r="X46" s="271"/>
      <c r="Y46" s="272"/>
      <c r="Z46" s="272"/>
      <c r="AA46" s="272"/>
      <c r="AB46" s="272"/>
      <c r="AC46" s="272"/>
      <c r="AD46" s="272"/>
      <c r="AE46" s="273"/>
      <c r="AF46" s="271"/>
      <c r="AG46" s="272"/>
      <c r="AH46" s="272"/>
      <c r="AI46" s="272"/>
      <c r="AJ46" s="272"/>
      <c r="AK46" s="272"/>
      <c r="AL46" s="272"/>
      <c r="AM46" s="273"/>
    </row>
    <row r="47" spans="1:39" x14ac:dyDescent="0.2">
      <c r="A47" s="78" t="s">
        <v>350</v>
      </c>
      <c r="B47" s="79" t="s">
        <v>254</v>
      </c>
      <c r="C47" s="100">
        <f t="shared" ref="C47:K47" si="55">+C5/C13</f>
        <v>19505.106007201462</v>
      </c>
      <c r="D47" s="100">
        <f>+D5/D13</f>
        <v>22261.235889375297</v>
      </c>
      <c r="E47" s="100">
        <f t="shared" si="55"/>
        <v>18829.520992610476</v>
      </c>
      <c r="F47" s="100">
        <f t="shared" si="55"/>
        <v>19087.913673549552</v>
      </c>
      <c r="G47" s="100">
        <f t="shared" si="55"/>
        <v>16239.16765035501</v>
      </c>
      <c r="H47" s="100">
        <f t="shared" si="55"/>
        <v>18142.143971314148</v>
      </c>
      <c r="I47" s="100">
        <f t="shared" si="55"/>
        <v>19833.807629888604</v>
      </c>
      <c r="J47" s="100">
        <f t="shared" si="55"/>
        <v>18328.4408867196</v>
      </c>
      <c r="K47" s="100">
        <f t="shared" si="55"/>
        <v>17344.333791248577</v>
      </c>
      <c r="L47" s="100">
        <f>+L5/L13</f>
        <v>15515.509642730451</v>
      </c>
      <c r="M47" s="100">
        <f>+M5/M13</f>
        <v>15911.316282572952</v>
      </c>
      <c r="N47" s="100">
        <f>+N5/N13</f>
        <v>18400.113414837251</v>
      </c>
      <c r="O47" s="100">
        <f>+O5/O13</f>
        <v>17434.809644183882</v>
      </c>
      <c r="P47" s="100">
        <f t="shared" ref="P47:Q47" si="56">+P5/P13</f>
        <v>17596.475299976344</v>
      </c>
      <c r="Q47" s="100">
        <f t="shared" si="56"/>
        <v>17966.13357058269</v>
      </c>
      <c r="R47" s="100">
        <f t="shared" ref="R47:V47" si="57">+R5/R13</f>
        <v>18805.905658186173</v>
      </c>
      <c r="S47" s="100">
        <f t="shared" ref="S47:T47" si="58">+S5/S13</f>
        <v>18297.692473737228</v>
      </c>
      <c r="T47" s="100">
        <f t="shared" si="58"/>
        <v>16411.102207935968</v>
      </c>
      <c r="U47" s="100">
        <f t="shared" ref="U47" si="59">+U5/U13</f>
        <v>20026.452370587911</v>
      </c>
      <c r="V47" s="100">
        <f t="shared" si="57"/>
        <v>24915.577271609374</v>
      </c>
      <c r="X47" s="271"/>
      <c r="Y47" s="272"/>
      <c r="Z47" s="272"/>
      <c r="AA47" s="272"/>
      <c r="AB47" s="272"/>
      <c r="AC47" s="272"/>
      <c r="AD47" s="272"/>
      <c r="AE47" s="273"/>
      <c r="AF47" s="271"/>
      <c r="AG47" s="272"/>
      <c r="AH47" s="272"/>
      <c r="AI47" s="272"/>
      <c r="AJ47" s="272"/>
      <c r="AK47" s="272"/>
      <c r="AL47" s="272"/>
      <c r="AM47" s="273"/>
    </row>
    <row r="48" spans="1:39" x14ac:dyDescent="0.2">
      <c r="A48" s="78" t="s">
        <v>185</v>
      </c>
      <c r="B48" s="79" t="s">
        <v>254</v>
      </c>
      <c r="C48" s="100">
        <f>+PL!K47</f>
        <v>82543.640850683121</v>
      </c>
      <c r="D48" s="100">
        <f>+PL!L47</f>
        <v>125422.59271861181</v>
      </c>
      <c r="E48" s="100">
        <f>+PL!M47</f>
        <v>107015.27569274588</v>
      </c>
      <c r="F48" s="100">
        <f>+PL!N47</f>
        <v>109503.11195975177</v>
      </c>
      <c r="G48" s="100">
        <f>+PL!O47</f>
        <v>100082.58419085346</v>
      </c>
      <c r="H48" s="100">
        <f>+PL!P47</f>
        <v>103701.31280092319</v>
      </c>
      <c r="I48" s="100">
        <f>+PL!Q47</f>
        <v>115836.21682537267</v>
      </c>
      <c r="J48" s="100">
        <f>+PL!R47</f>
        <v>73812.68005770749</v>
      </c>
      <c r="K48" s="100">
        <f>+PL!S47</f>
        <v>67705.721421713301</v>
      </c>
      <c r="L48" s="100">
        <f>+PL!T47</f>
        <v>64290.527518280389</v>
      </c>
      <c r="M48" s="100">
        <f>+PL!U47</f>
        <v>63812.729567023736</v>
      </c>
      <c r="N48" s="100">
        <f>+PL!V47</f>
        <v>71893.163624242996</v>
      </c>
      <c r="O48" s="100">
        <f>+PL!W47</f>
        <v>71503.856638060795</v>
      </c>
      <c r="P48" s="100">
        <f>+PL!X47</f>
        <v>68021.391371885038</v>
      </c>
      <c r="Q48" s="100">
        <f>+PL!Y47</f>
        <v>74384.335756773944</v>
      </c>
      <c r="R48" s="100">
        <f>+PL!Z47</f>
        <v>74663.565571423242</v>
      </c>
      <c r="S48" s="100">
        <f>+PL!AA47</f>
        <v>77500.392569393793</v>
      </c>
      <c r="T48" s="100">
        <f>+PL!AB47</f>
        <v>58607.422801911758</v>
      </c>
      <c r="U48" s="100">
        <f>+PL!AC47</f>
        <v>68834.017960199621</v>
      </c>
      <c r="V48" s="100">
        <f>+PL!AD47</f>
        <v>98303.846617431671</v>
      </c>
      <c r="X48" s="271"/>
      <c r="Y48" s="272"/>
      <c r="Z48" s="272"/>
      <c r="AA48" s="272"/>
      <c r="AB48" s="272"/>
      <c r="AC48" s="272"/>
      <c r="AD48" s="272"/>
      <c r="AE48" s="273"/>
      <c r="AF48" s="271"/>
      <c r="AG48" s="272"/>
      <c r="AH48" s="272"/>
      <c r="AI48" s="272"/>
      <c r="AJ48" s="272"/>
      <c r="AK48" s="272"/>
      <c r="AL48" s="272"/>
      <c r="AM48" s="273"/>
    </row>
    <row r="49" spans="1:39" x14ac:dyDescent="0.2">
      <c r="A49" s="78" t="s">
        <v>351</v>
      </c>
      <c r="B49" s="79" t="s">
        <v>355</v>
      </c>
      <c r="C49" s="103">
        <f t="shared" ref="C49:K49" si="60">+C7/C48*100</f>
        <v>22.10972769235093</v>
      </c>
      <c r="D49" s="103">
        <f t="shared" si="60"/>
        <v>18.798601829341333</v>
      </c>
      <c r="E49" s="103">
        <f t="shared" si="60"/>
        <v>20.684617399857359</v>
      </c>
      <c r="F49" s="103">
        <f t="shared" si="60"/>
        <v>21.868067749644521</v>
      </c>
      <c r="G49" s="103">
        <f t="shared" si="60"/>
        <v>22.534398285839796</v>
      </c>
      <c r="H49" s="103">
        <f t="shared" si="60"/>
        <v>20.520526036155719</v>
      </c>
      <c r="I49" s="103">
        <f t="shared" si="60"/>
        <v>18.471571135137062</v>
      </c>
      <c r="J49" s="103">
        <f t="shared" si="60"/>
        <v>22.896640629274646</v>
      </c>
      <c r="K49" s="103">
        <f t="shared" si="60"/>
        <v>23.075603200592955</v>
      </c>
      <c r="L49" s="103">
        <f>+L7/L48*100</f>
        <v>23.692230727598165</v>
      </c>
      <c r="M49" s="103">
        <f>+M7/M48*100</f>
        <v>20.606142092977858</v>
      </c>
      <c r="N49" s="103">
        <f>+N7/N48*100</f>
        <v>18.910811233431627</v>
      </c>
      <c r="O49" s="103">
        <f>+O7/O48*100</f>
        <v>21.218241622975764</v>
      </c>
      <c r="P49" s="103">
        <f t="shared" ref="P49:Q49" si="61">+P7/P48*100</f>
        <v>19.422259609922563</v>
      </c>
      <c r="Q49" s="103">
        <f t="shared" si="61"/>
        <v>20.97689349533988</v>
      </c>
      <c r="R49" s="103">
        <f t="shared" ref="R49:V49" si="62">+R7/R48*100</f>
        <v>22.036018352435459</v>
      </c>
      <c r="S49" s="103">
        <f t="shared" ref="S49:T49" si="63">+S7/S48*100</f>
        <v>20.535753156205381</v>
      </c>
      <c r="T49" s="103">
        <f t="shared" si="63"/>
        <v>23.307046816484281</v>
      </c>
      <c r="U49" s="103">
        <f t="shared" ref="U49" si="64">+U7/U48*100</f>
        <v>18.03553905078503</v>
      </c>
      <c r="V49" s="103">
        <f t="shared" si="62"/>
        <v>15.101783293042931</v>
      </c>
      <c r="X49" s="271"/>
      <c r="Y49" s="272"/>
      <c r="Z49" s="272"/>
      <c r="AA49" s="272"/>
      <c r="AB49" s="272"/>
      <c r="AC49" s="272"/>
      <c r="AD49" s="272"/>
      <c r="AE49" s="273"/>
      <c r="AF49" s="271"/>
      <c r="AG49" s="272"/>
      <c r="AH49" s="272"/>
      <c r="AI49" s="272"/>
      <c r="AJ49" s="272"/>
      <c r="AK49" s="272"/>
      <c r="AL49" s="272"/>
      <c r="AM49" s="273"/>
    </row>
    <row r="50" spans="1:39" ht="12.6" thickBot="1" x14ac:dyDescent="0.25">
      <c r="A50" s="76" t="s">
        <v>356</v>
      </c>
      <c r="X50" s="271"/>
      <c r="Y50" s="272"/>
      <c r="Z50" s="272"/>
      <c r="AA50" s="272"/>
      <c r="AB50" s="272"/>
      <c r="AC50" s="272"/>
      <c r="AD50" s="272"/>
      <c r="AE50" s="273"/>
      <c r="AF50" s="271"/>
      <c r="AG50" s="272"/>
      <c r="AH50" s="272"/>
      <c r="AI50" s="272"/>
      <c r="AJ50" s="272"/>
      <c r="AK50" s="272"/>
      <c r="AL50" s="272"/>
      <c r="AM50" s="273"/>
    </row>
    <row r="51" spans="1:39" x14ac:dyDescent="0.2">
      <c r="A51" s="277"/>
      <c r="B51" s="278"/>
      <c r="C51" s="278"/>
      <c r="D51" s="278"/>
      <c r="E51" s="278"/>
      <c r="F51" s="278"/>
      <c r="G51" s="278"/>
      <c r="H51" s="278"/>
      <c r="I51" s="278"/>
      <c r="J51" s="278"/>
      <c r="K51" s="278"/>
      <c r="L51" s="278"/>
      <c r="M51" s="278"/>
      <c r="N51" s="278"/>
      <c r="O51" s="278"/>
      <c r="P51" s="278"/>
      <c r="Q51" s="278"/>
      <c r="R51" s="278"/>
      <c r="S51" s="278"/>
      <c r="T51" s="278"/>
      <c r="U51" s="278"/>
      <c r="V51" s="279"/>
      <c r="X51" s="271"/>
      <c r="Y51" s="272"/>
      <c r="Z51" s="272"/>
      <c r="AA51" s="272"/>
      <c r="AB51" s="272"/>
      <c r="AC51" s="272"/>
      <c r="AD51" s="272"/>
      <c r="AE51" s="273"/>
      <c r="AF51" s="271"/>
      <c r="AG51" s="272"/>
      <c r="AH51" s="272"/>
      <c r="AI51" s="272"/>
      <c r="AJ51" s="272"/>
      <c r="AK51" s="272"/>
      <c r="AL51" s="272"/>
      <c r="AM51" s="273"/>
    </row>
    <row r="52" spans="1:39" x14ac:dyDescent="0.2">
      <c r="A52" s="280"/>
      <c r="B52" s="281"/>
      <c r="C52" s="281"/>
      <c r="D52" s="281"/>
      <c r="E52" s="281"/>
      <c r="F52" s="281"/>
      <c r="G52" s="281"/>
      <c r="H52" s="281"/>
      <c r="I52" s="281"/>
      <c r="J52" s="281"/>
      <c r="K52" s="281"/>
      <c r="L52" s="281"/>
      <c r="M52" s="281"/>
      <c r="N52" s="281"/>
      <c r="O52" s="281"/>
      <c r="P52" s="281"/>
      <c r="Q52" s="281"/>
      <c r="R52" s="281"/>
      <c r="S52" s="281"/>
      <c r="T52" s="281"/>
      <c r="U52" s="281"/>
      <c r="V52" s="282"/>
      <c r="X52" s="271"/>
      <c r="Y52" s="272"/>
      <c r="Z52" s="272"/>
      <c r="AA52" s="272"/>
      <c r="AB52" s="272"/>
      <c r="AC52" s="272"/>
      <c r="AD52" s="272"/>
      <c r="AE52" s="273"/>
      <c r="AF52" s="271"/>
      <c r="AG52" s="272"/>
      <c r="AH52" s="272"/>
      <c r="AI52" s="272"/>
      <c r="AJ52" s="272"/>
      <c r="AK52" s="272"/>
      <c r="AL52" s="272"/>
      <c r="AM52" s="273"/>
    </row>
    <row r="53" spans="1:39" x14ac:dyDescent="0.2">
      <c r="A53" s="280"/>
      <c r="B53" s="281"/>
      <c r="C53" s="281"/>
      <c r="D53" s="281"/>
      <c r="E53" s="281"/>
      <c r="F53" s="281"/>
      <c r="G53" s="281"/>
      <c r="H53" s="281"/>
      <c r="I53" s="281"/>
      <c r="J53" s="281"/>
      <c r="K53" s="281"/>
      <c r="L53" s="281"/>
      <c r="M53" s="281"/>
      <c r="N53" s="281"/>
      <c r="O53" s="281"/>
      <c r="P53" s="281"/>
      <c r="Q53" s="281"/>
      <c r="R53" s="281"/>
      <c r="S53" s="281"/>
      <c r="T53" s="281"/>
      <c r="U53" s="281"/>
      <c r="V53" s="282"/>
      <c r="X53" s="271"/>
      <c r="Y53" s="272"/>
      <c r="Z53" s="272"/>
      <c r="AA53" s="272"/>
      <c r="AB53" s="272"/>
      <c r="AC53" s="272"/>
      <c r="AD53" s="272"/>
      <c r="AE53" s="273"/>
      <c r="AF53" s="271"/>
      <c r="AG53" s="272"/>
      <c r="AH53" s="272"/>
      <c r="AI53" s="272"/>
      <c r="AJ53" s="272"/>
      <c r="AK53" s="272"/>
      <c r="AL53" s="272"/>
      <c r="AM53" s="273"/>
    </row>
    <row r="54" spans="1:39" x14ac:dyDescent="0.2">
      <c r="A54" s="280"/>
      <c r="B54" s="281"/>
      <c r="C54" s="281"/>
      <c r="D54" s="281"/>
      <c r="E54" s="281"/>
      <c r="F54" s="281"/>
      <c r="G54" s="281"/>
      <c r="H54" s="281"/>
      <c r="I54" s="281"/>
      <c r="J54" s="281"/>
      <c r="K54" s="281"/>
      <c r="L54" s="281"/>
      <c r="M54" s="281"/>
      <c r="N54" s="281"/>
      <c r="O54" s="281"/>
      <c r="P54" s="281"/>
      <c r="Q54" s="281"/>
      <c r="R54" s="281"/>
      <c r="S54" s="281"/>
      <c r="T54" s="281"/>
      <c r="U54" s="281"/>
      <c r="V54" s="282"/>
      <c r="X54" s="271"/>
      <c r="Y54" s="272"/>
      <c r="Z54" s="272"/>
      <c r="AA54" s="272"/>
      <c r="AB54" s="272"/>
      <c r="AC54" s="272"/>
      <c r="AD54" s="272"/>
      <c r="AE54" s="273"/>
      <c r="AF54" s="271"/>
      <c r="AG54" s="272"/>
      <c r="AH54" s="272"/>
      <c r="AI54" s="272"/>
      <c r="AJ54" s="272"/>
      <c r="AK54" s="272"/>
      <c r="AL54" s="272"/>
      <c r="AM54" s="273"/>
    </row>
    <row r="55" spans="1:39" x14ac:dyDescent="0.2">
      <c r="A55" s="280"/>
      <c r="B55" s="281"/>
      <c r="C55" s="281"/>
      <c r="D55" s="281"/>
      <c r="E55" s="281"/>
      <c r="F55" s="281"/>
      <c r="G55" s="281"/>
      <c r="H55" s="281"/>
      <c r="I55" s="281"/>
      <c r="J55" s="281"/>
      <c r="K55" s="281"/>
      <c r="L55" s="281"/>
      <c r="M55" s="281"/>
      <c r="N55" s="281"/>
      <c r="O55" s="281"/>
      <c r="P55" s="281"/>
      <c r="Q55" s="281"/>
      <c r="R55" s="281"/>
      <c r="S55" s="281"/>
      <c r="T55" s="281"/>
      <c r="U55" s="281"/>
      <c r="V55" s="282"/>
      <c r="X55" s="271"/>
      <c r="Y55" s="272"/>
      <c r="Z55" s="272"/>
      <c r="AA55" s="272"/>
      <c r="AB55" s="272"/>
      <c r="AC55" s="272"/>
      <c r="AD55" s="272"/>
      <c r="AE55" s="273"/>
      <c r="AF55" s="271"/>
      <c r="AG55" s="272"/>
      <c r="AH55" s="272"/>
      <c r="AI55" s="272"/>
      <c r="AJ55" s="272"/>
      <c r="AK55" s="272"/>
      <c r="AL55" s="272"/>
      <c r="AM55" s="273"/>
    </row>
    <row r="56" spans="1:39"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4"/>
      <c r="V56" s="285"/>
      <c r="X56" s="274"/>
      <c r="Y56" s="275"/>
      <c r="Z56" s="275"/>
      <c r="AA56" s="275"/>
      <c r="AB56" s="275"/>
      <c r="AC56" s="275"/>
      <c r="AD56" s="275"/>
      <c r="AE56" s="276"/>
      <c r="AF56" s="274"/>
      <c r="AG56" s="275"/>
      <c r="AH56" s="275"/>
      <c r="AI56" s="275"/>
      <c r="AJ56" s="275"/>
      <c r="AK56" s="275"/>
      <c r="AL56" s="275"/>
      <c r="AM56" s="276"/>
    </row>
    <row r="57" spans="1:39" x14ac:dyDescent="0.2">
      <c r="A57" s="267" t="s">
        <v>582</v>
      </c>
      <c r="B57" s="267"/>
      <c r="C57" s="267"/>
      <c r="D57" s="267"/>
      <c r="E57" s="267"/>
      <c r="F57" s="267"/>
      <c r="G57" s="267"/>
      <c r="H57" s="267"/>
      <c r="I57" s="267"/>
      <c r="J57" s="267"/>
      <c r="K57" s="267"/>
      <c r="L57" s="267"/>
      <c r="M57" s="267"/>
      <c r="N57" s="267"/>
      <c r="O57" s="267"/>
      <c r="P57" s="267"/>
      <c r="Q57" s="267"/>
      <c r="R57" s="267"/>
      <c r="S57" s="267"/>
      <c r="T57" s="267"/>
      <c r="U57" s="267"/>
      <c r="V57" s="267"/>
    </row>
  </sheetData>
  <sheetProtection algorithmName="SHA-512" hashValue="rk+Rl9ejertLQdoYhCuR49EL1/C6IdhK3MTc7hU3IDPGd4VLjyugIeR19fnY8qhPt/uCODM4BxEpjS0pjMys1w==" saltValue="Kj9+4xYkseLaRKK0o3VPjA==" spinCount="100000" sheet="1" objects="1" scenarios="1"/>
  <mergeCells count="8">
    <mergeCell ref="A57:V57"/>
    <mergeCell ref="AF39:AM56"/>
    <mergeCell ref="A51:V56"/>
    <mergeCell ref="X3:AE20"/>
    <mergeCell ref="AF3:AM20"/>
    <mergeCell ref="X39:AE56"/>
    <mergeCell ref="X21:AE38"/>
    <mergeCell ref="AF21:AM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92"/>
  <sheetViews>
    <sheetView zoomScaleNormal="100" workbookViewId="0">
      <selection activeCell="J93" sqref="J93"/>
    </sheetView>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2" width="9.21875" style="76" customWidth="1"/>
    <col min="23" max="26" width="7.44140625" style="76" customWidth="1"/>
    <col min="27" max="42" width="7.44140625" style="31" customWidth="1"/>
    <col min="43" max="16384" width="9" style="31"/>
  </cols>
  <sheetData>
    <row r="1" spans="1:42" ht="14.4" x14ac:dyDescent="0.2">
      <c r="A1" s="75" t="s">
        <v>384</v>
      </c>
    </row>
    <row r="2" spans="1:42" ht="15" thickBot="1" x14ac:dyDescent="0.25">
      <c r="A2" s="75" t="str">
        <f>BS!A2</f>
        <v>６９　不動産賃貸業・管理業</v>
      </c>
    </row>
    <row r="3" spans="1:42"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239" t="s">
        <v>579</v>
      </c>
      <c r="V3" s="109" t="s">
        <v>581</v>
      </c>
      <c r="W3" s="110" t="s">
        <v>532</v>
      </c>
      <c r="X3" s="110" t="s">
        <v>519</v>
      </c>
      <c r="Y3" s="111" t="s">
        <v>520</v>
      </c>
      <c r="Z3" s="111" t="s">
        <v>521</v>
      </c>
      <c r="AA3" s="111" t="s">
        <v>522</v>
      </c>
      <c r="AB3" s="111" t="s">
        <v>359</v>
      </c>
      <c r="AC3" s="111" t="s">
        <v>506</v>
      </c>
      <c r="AD3" s="111" t="s">
        <v>511</v>
      </c>
      <c r="AE3" s="111" t="s">
        <v>515</v>
      </c>
      <c r="AF3" s="111" t="s">
        <v>517</v>
      </c>
      <c r="AG3" s="111" t="s">
        <v>535</v>
      </c>
      <c r="AH3" s="111" t="s">
        <v>536</v>
      </c>
      <c r="AI3" s="111" t="s">
        <v>539</v>
      </c>
      <c r="AJ3" s="111" t="s">
        <v>554</v>
      </c>
      <c r="AK3" s="111" t="s">
        <v>557</v>
      </c>
      <c r="AL3" s="111" t="s">
        <v>559</v>
      </c>
      <c r="AM3" s="111" t="s">
        <v>563</v>
      </c>
      <c r="AN3" s="111" t="s">
        <v>576</v>
      </c>
      <c r="AO3" s="111" t="s">
        <v>579</v>
      </c>
      <c r="AP3" s="111" t="s">
        <v>581</v>
      </c>
    </row>
    <row r="4" spans="1:42" x14ac:dyDescent="0.2">
      <c r="A4" s="195" t="s">
        <v>322</v>
      </c>
      <c r="B4" s="189"/>
      <c r="C4" s="196"/>
      <c r="D4" s="196"/>
      <c r="E4" s="196"/>
      <c r="F4" s="196"/>
      <c r="G4" s="196"/>
      <c r="H4" s="196"/>
      <c r="I4" s="196"/>
      <c r="J4" s="196"/>
      <c r="K4" s="196"/>
      <c r="L4" s="196"/>
      <c r="M4" s="196"/>
      <c r="N4" s="196"/>
      <c r="O4" s="196"/>
      <c r="P4" s="196"/>
      <c r="Q4" s="196"/>
      <c r="R4" s="196"/>
      <c r="S4" s="196"/>
      <c r="T4" s="196"/>
      <c r="U4" s="196"/>
      <c r="V4" s="197"/>
      <c r="W4" s="200" t="s">
        <v>383</v>
      </c>
      <c r="X4" s="196"/>
      <c r="Y4" s="196"/>
      <c r="Z4" s="196"/>
      <c r="AA4" s="196"/>
      <c r="AB4" s="196"/>
      <c r="AC4" s="196"/>
      <c r="AD4" s="196"/>
      <c r="AE4" s="196"/>
      <c r="AF4" s="196"/>
      <c r="AG4" s="196"/>
      <c r="AH4" s="110"/>
      <c r="AI4" s="110"/>
      <c r="AJ4" s="110"/>
      <c r="AK4" s="110"/>
      <c r="AL4" s="110"/>
      <c r="AM4" s="110"/>
      <c r="AN4" s="110"/>
      <c r="AO4" s="110"/>
      <c r="AP4" s="110"/>
    </row>
    <row r="5" spans="1:42" x14ac:dyDescent="0.2">
      <c r="A5" s="113" t="s">
        <v>310</v>
      </c>
      <c r="B5" s="81" t="s">
        <v>254</v>
      </c>
      <c r="C5" s="82">
        <f>PL!K6</f>
        <v>107629.490764692</v>
      </c>
      <c r="D5" s="82">
        <f>PL!L6</f>
        <v>153443.90322522877</v>
      </c>
      <c r="E5" s="82">
        <f>PL!M6</f>
        <v>122702.14935468711</v>
      </c>
      <c r="F5" s="82">
        <f>PL!N6</f>
        <v>134643.77120936109</v>
      </c>
      <c r="G5" s="82">
        <f>PL!O6</f>
        <v>122190.1530570623</v>
      </c>
      <c r="H5" s="82">
        <f>PL!P6</f>
        <v>117117.86794373595</v>
      </c>
      <c r="I5" s="82">
        <f>PL!Q6</f>
        <v>128747.066465904</v>
      </c>
      <c r="J5" s="82">
        <f>PL!R6</f>
        <v>89330.530343840102</v>
      </c>
      <c r="K5" s="82">
        <f>PL!S6</f>
        <v>77413.875779371112</v>
      </c>
      <c r="L5" s="82">
        <f>PL!T6</f>
        <v>73200.946820408819</v>
      </c>
      <c r="M5" s="82">
        <f>PL!U6</f>
        <v>71135.359744677393</v>
      </c>
      <c r="N5" s="240">
        <f>PL!V6</f>
        <v>80506.792831506449</v>
      </c>
      <c r="O5" s="240">
        <f>PL!W6</f>
        <v>80809.01291244899</v>
      </c>
      <c r="P5" s="240">
        <f>PL!X6</f>
        <v>75808.624721591332</v>
      </c>
      <c r="Q5" s="240">
        <f>PL!Y6</f>
        <v>85473.774217329614</v>
      </c>
      <c r="R5" s="240">
        <f>PL!Z6</f>
        <v>86955.078162896534</v>
      </c>
      <c r="S5" s="240">
        <f>PL!AA6</f>
        <v>88371.048650735771</v>
      </c>
      <c r="T5" s="240">
        <f>PL!AB6</f>
        <v>66670.964787937322</v>
      </c>
      <c r="U5" s="240">
        <f>PL!AC6</f>
        <v>79707.523542258947</v>
      </c>
      <c r="V5" s="114">
        <f>PL!AD6</f>
        <v>106703.8265370353</v>
      </c>
      <c r="W5" s="115">
        <f t="shared" ref="W5:W13" si="0">+C5/C$5</f>
        <v>1</v>
      </c>
      <c r="X5" s="116">
        <f t="shared" ref="X5:X13" si="1">+D5/D$5</f>
        <v>1</v>
      </c>
      <c r="Y5" s="116">
        <f t="shared" ref="Y5:Y13" si="2">+E5/E$5</f>
        <v>1</v>
      </c>
      <c r="Z5" s="116">
        <f t="shared" ref="Z5:Z13" si="3">+F5/F$5</f>
        <v>1</v>
      </c>
      <c r="AA5" s="116">
        <f t="shared" ref="AA5:AA13" si="4">+G5/G$5</f>
        <v>1</v>
      </c>
      <c r="AB5" s="116">
        <f t="shared" ref="AB5:AB13" si="5">+H5/H$5</f>
        <v>1</v>
      </c>
      <c r="AC5" s="116">
        <f t="shared" ref="AC5:AC13" si="6">+I5/I$5</f>
        <v>1</v>
      </c>
      <c r="AD5" s="116">
        <f t="shared" ref="AD5:AD13" si="7">+J5/J$5</f>
        <v>1</v>
      </c>
      <c r="AE5" s="116">
        <f t="shared" ref="AE5:AE13" si="8">+K5/K$5</f>
        <v>1</v>
      </c>
      <c r="AF5" s="116">
        <f t="shared" ref="AF5:AF13" si="9">+L5/L$5</f>
        <v>1</v>
      </c>
      <c r="AG5" s="116">
        <f t="shared" ref="AG5:AG13" si="10">+M5/M$5</f>
        <v>1</v>
      </c>
      <c r="AH5" s="116">
        <f t="shared" ref="AH5:AH13" si="11">+N5/N$5</f>
        <v>1</v>
      </c>
      <c r="AI5" s="116">
        <f t="shared" ref="AI5:AI13" si="12">+O5/O$5</f>
        <v>1</v>
      </c>
      <c r="AJ5" s="116">
        <f t="shared" ref="AJ5:AJ13" si="13">+P5/P$5</f>
        <v>1</v>
      </c>
      <c r="AK5" s="116">
        <f t="shared" ref="AK5:AK13" si="14">+Q5/Q$5</f>
        <v>1</v>
      </c>
      <c r="AL5" s="116">
        <f t="shared" ref="AL5:AL13" si="15">+R5/R$5</f>
        <v>1</v>
      </c>
      <c r="AM5" s="116">
        <f t="shared" ref="AM5:AM13" si="16">+S5/S$5</f>
        <v>1</v>
      </c>
      <c r="AN5" s="116">
        <f t="shared" ref="AN5:AN13" si="17">+T5/T$5</f>
        <v>1</v>
      </c>
      <c r="AO5" s="116">
        <f t="shared" ref="AO5:AO13" si="18">+U5/U$5</f>
        <v>1</v>
      </c>
      <c r="AP5" s="116">
        <f t="shared" ref="AP5:AP6" si="19">+V5/V$5</f>
        <v>1</v>
      </c>
    </row>
    <row r="6" spans="1:42" x14ac:dyDescent="0.2">
      <c r="A6" s="117" t="s">
        <v>371</v>
      </c>
      <c r="B6" s="84" t="s">
        <v>254</v>
      </c>
      <c r="C6" s="85">
        <f>PL!K9+PL!K10</f>
        <v>19316.744920930119</v>
      </c>
      <c r="D6" s="85">
        <f>PL!L9+PL!L10</f>
        <v>15836.804498486774</v>
      </c>
      <c r="E6" s="85">
        <f>PL!M9+PL!M10</f>
        <v>8458.6862213031018</v>
      </c>
      <c r="F6" s="85">
        <f>PL!N9+PL!N10</f>
        <v>13129.062932075074</v>
      </c>
      <c r="G6" s="85">
        <f>PL!O9+PL!O10</f>
        <v>11894.311392065443</v>
      </c>
      <c r="H6" s="85">
        <f>PL!P9+PL!P10</f>
        <v>8373.007742122003</v>
      </c>
      <c r="I6" s="85">
        <f>PL!Q9+PL!Q10</f>
        <v>4016.5641826749884</v>
      </c>
      <c r="J6" s="85">
        <f>PL!R9+PL!R10</f>
        <v>10972.678061839975</v>
      </c>
      <c r="K6" s="85">
        <f>PL!S9+PL!S10</f>
        <v>6020.5649679113876</v>
      </c>
      <c r="L6" s="85">
        <f>PL!T9+PL!T10</f>
        <v>5090.0024170825436</v>
      </c>
      <c r="M6" s="85">
        <f>PL!U9+PL!U10</f>
        <v>4640.4660845794924</v>
      </c>
      <c r="N6" s="241">
        <f>PL!V9+PL!V10</f>
        <v>5230.365375623157</v>
      </c>
      <c r="O6" s="241">
        <f>PL!W9+PL!W10</f>
        <v>6167.6871980612596</v>
      </c>
      <c r="P6" s="241">
        <f>PL!X9+PL!X10</f>
        <v>5663.7548369915276</v>
      </c>
      <c r="Q6" s="241">
        <f>PL!Y9+PL!Y10</f>
        <v>5888.9834241290173</v>
      </c>
      <c r="R6" s="241">
        <f>PL!Z9+PL!Z10</f>
        <v>7825.231988918521</v>
      </c>
      <c r="S6" s="241">
        <f>PL!AA9+PL!AA10</f>
        <v>8223.1466043159307</v>
      </c>
      <c r="T6" s="241">
        <f>PL!AB9+PL!AB10</f>
        <v>5932.6337167730844</v>
      </c>
      <c r="U6" s="241">
        <f>PL!AC9+PL!AC10</f>
        <v>6193.7415048987905</v>
      </c>
      <c r="V6" s="118">
        <f>PL!AD9+PL!AD10</f>
        <v>4712.1087532329939</v>
      </c>
      <c r="W6" s="119">
        <f t="shared" si="0"/>
        <v>0.17947446172686904</v>
      </c>
      <c r="X6" s="120">
        <f t="shared" si="1"/>
        <v>0.1032090827045837</v>
      </c>
      <c r="Y6" s="120">
        <f t="shared" si="2"/>
        <v>6.8936740438442765E-2</v>
      </c>
      <c r="Z6" s="120">
        <f t="shared" si="3"/>
        <v>9.750961974810074E-2</v>
      </c>
      <c r="AA6" s="120">
        <f t="shared" si="4"/>
        <v>9.7342634365232758E-2</v>
      </c>
      <c r="AB6" s="120">
        <f t="shared" si="5"/>
        <v>7.1492146238048324E-2</v>
      </c>
      <c r="AC6" s="120">
        <f t="shared" si="6"/>
        <v>3.1197325833740006E-2</v>
      </c>
      <c r="AD6" s="120">
        <f t="shared" si="7"/>
        <v>0.1228323398462462</v>
      </c>
      <c r="AE6" s="120">
        <f t="shared" si="8"/>
        <v>7.7771134790744059E-2</v>
      </c>
      <c r="AF6" s="120">
        <f t="shared" si="9"/>
        <v>6.9534652735713298E-2</v>
      </c>
      <c r="AG6" s="120">
        <f t="shared" si="10"/>
        <v>6.5234309649030903E-2</v>
      </c>
      <c r="AH6" s="120">
        <f t="shared" si="11"/>
        <v>6.4968000732184755E-2</v>
      </c>
      <c r="AI6" s="120">
        <f t="shared" si="12"/>
        <v>7.6324248691708743E-2</v>
      </c>
      <c r="AJ6" s="120">
        <f t="shared" si="13"/>
        <v>7.4711219967276532E-2</v>
      </c>
      <c r="AK6" s="120">
        <f t="shared" si="14"/>
        <v>6.8898132533090364E-2</v>
      </c>
      <c r="AL6" s="120">
        <f t="shared" si="15"/>
        <v>8.999166183554215E-2</v>
      </c>
      <c r="AM6" s="120">
        <f t="shared" si="16"/>
        <v>9.3052495470726374E-2</v>
      </c>
      <c r="AN6" s="120">
        <f t="shared" si="17"/>
        <v>8.8983768806154537E-2</v>
      </c>
      <c r="AO6" s="120">
        <f t="shared" si="18"/>
        <v>7.7705857987358282E-2</v>
      </c>
      <c r="AP6" s="120">
        <f t="shared" si="19"/>
        <v>4.4160635153955713E-2</v>
      </c>
    </row>
    <row r="7" spans="1:42" x14ac:dyDescent="0.2">
      <c r="A7" s="117" t="s">
        <v>368</v>
      </c>
      <c r="B7" s="84" t="s">
        <v>254</v>
      </c>
      <c r="C7" s="85">
        <f>PL!K12</f>
        <v>5769.1049930787594</v>
      </c>
      <c r="D7" s="85">
        <f>PL!L12</f>
        <v>12184.506008130225</v>
      </c>
      <c r="E7" s="85">
        <f>PL!M12</f>
        <v>7228.187440638123</v>
      </c>
      <c r="F7" s="85">
        <f>PL!N12</f>
        <v>12011.596317534244</v>
      </c>
      <c r="G7" s="85">
        <f>PL!O12</f>
        <v>10213.257474143387</v>
      </c>
      <c r="H7" s="85">
        <f>PL!P12</f>
        <v>5043.5474006907561</v>
      </c>
      <c r="I7" s="85">
        <f>PL!Q12</f>
        <v>8894.2854578563474</v>
      </c>
      <c r="J7" s="85">
        <f>PL!R12</f>
        <v>4545.1722242926362</v>
      </c>
      <c r="K7" s="85">
        <f>PL!S12</f>
        <v>3687.5893897464325</v>
      </c>
      <c r="L7" s="85">
        <f>PL!T12</f>
        <v>3820.4168850458809</v>
      </c>
      <c r="M7" s="85">
        <f>PL!U12</f>
        <v>2682.1640930741532</v>
      </c>
      <c r="N7" s="241">
        <f>PL!V12</f>
        <v>3383.2638316402931</v>
      </c>
      <c r="O7" s="241">
        <f>PL!W12</f>
        <v>3137.4690763269305</v>
      </c>
      <c r="P7" s="241">
        <f>PL!X12</f>
        <v>2123.4785127147652</v>
      </c>
      <c r="Q7" s="241">
        <f>PL!Y12</f>
        <v>5200.4550364266515</v>
      </c>
      <c r="R7" s="241">
        <f>PL!Z12</f>
        <v>4466.2806025547688</v>
      </c>
      <c r="S7" s="241">
        <f>PL!AA12</f>
        <v>2647.5094770260416</v>
      </c>
      <c r="T7" s="241">
        <f>PL!AB12</f>
        <v>2130.9082692524807</v>
      </c>
      <c r="U7" s="241">
        <f>PL!AC12</f>
        <v>4679.7640771605311</v>
      </c>
      <c r="V7" s="118">
        <f>PL!AD12</f>
        <v>3687.8711663706335</v>
      </c>
      <c r="W7" s="119">
        <f t="shared" si="0"/>
        <v>5.3601526422638449E-2</v>
      </c>
      <c r="X7" s="120">
        <f t="shared" si="1"/>
        <v>7.9406908661893885E-2</v>
      </c>
      <c r="Y7" s="120">
        <f t="shared" si="2"/>
        <v>5.890840118655194E-2</v>
      </c>
      <c r="Z7" s="120">
        <f t="shared" si="3"/>
        <v>8.9210189299118059E-2</v>
      </c>
      <c r="AA7" s="120">
        <f t="shared" si="4"/>
        <v>8.358494705685357E-2</v>
      </c>
      <c r="AB7" s="120">
        <f t="shared" si="5"/>
        <v>4.3063859419928165E-2</v>
      </c>
      <c r="AC7" s="120">
        <f t="shared" si="6"/>
        <v>6.9083402845623781E-2</v>
      </c>
      <c r="AD7" s="120">
        <f t="shared" si="7"/>
        <v>5.0880390016693262E-2</v>
      </c>
      <c r="AE7" s="120">
        <f t="shared" si="8"/>
        <v>4.7634734117382664E-2</v>
      </c>
      <c r="AF7" s="120">
        <f t="shared" si="9"/>
        <v>5.2190812427862311E-2</v>
      </c>
      <c r="AG7" s="120">
        <f t="shared" si="10"/>
        <v>3.7705075263569504E-2</v>
      </c>
      <c r="AH7" s="120">
        <f t="shared" si="11"/>
        <v>4.2024575972379907E-2</v>
      </c>
      <c r="AI7" s="120">
        <f t="shared" si="12"/>
        <v>3.8825731972820438E-2</v>
      </c>
      <c r="AJ7" s="120">
        <f t="shared" si="13"/>
        <v>2.8011041230642054E-2</v>
      </c>
      <c r="AK7" s="120">
        <f t="shared" si="14"/>
        <v>6.0842698056174885E-2</v>
      </c>
      <c r="AL7" s="120">
        <f t="shared" si="15"/>
        <v>5.1363079614371698E-2</v>
      </c>
      <c r="AM7" s="120">
        <f t="shared" si="16"/>
        <v>2.9959013924228211E-2</v>
      </c>
      <c r="AN7" s="120">
        <f t="shared" si="17"/>
        <v>3.1961563418653617E-2</v>
      </c>
      <c r="AO7" s="120">
        <f t="shared" si="18"/>
        <v>5.8711698333965133E-2</v>
      </c>
      <c r="AP7" s="120">
        <f t="shared" ref="AP7:AP13" si="20">+V7/V$5</f>
        <v>3.4561751776452258E-2</v>
      </c>
    </row>
    <row r="8" spans="1:42" x14ac:dyDescent="0.2">
      <c r="A8" s="117" t="s">
        <v>346</v>
      </c>
      <c r="B8" s="84" t="s">
        <v>254</v>
      </c>
      <c r="C8" s="85">
        <f>PL!K11+PL!K17+PL!K25</f>
        <v>18250.17421943818</v>
      </c>
      <c r="D8" s="85">
        <f>PL!L11+PL!L17+PL!L25</f>
        <v>23640.622481689083</v>
      </c>
      <c r="E8" s="85">
        <f>PL!M11+PL!M17+PL!M25</f>
        <v>22232.137952802674</v>
      </c>
      <c r="F8" s="85">
        <f>PL!N11+PL!N17+PL!N25</f>
        <v>24003.620000549046</v>
      </c>
      <c r="G8" s="85">
        <f>PL!O11+PL!O17+PL!O25</f>
        <v>22606.159865860944</v>
      </c>
      <c r="H8" s="85">
        <f>PL!P11+PL!P17+PL!P25</f>
        <v>21337.068530939992</v>
      </c>
      <c r="I8" s="85">
        <f>PL!Q11+PL!Q17+PL!Q25</f>
        <v>21452.999711223001</v>
      </c>
      <c r="J8" s="85">
        <f>PL!R11+PL!R17+PL!R25</f>
        <v>16935.189862085059</v>
      </c>
      <c r="K8" s="85">
        <f>PL!S11+PL!S17+PL!S25</f>
        <v>15656.399974843915</v>
      </c>
      <c r="L8" s="85">
        <f>PL!T11+PL!T17+PL!T25</f>
        <v>15285.400227161808</v>
      </c>
      <c r="M8" s="85">
        <f>PL!U11+PL!U17+PL!U25</f>
        <v>13211.902037715601</v>
      </c>
      <c r="N8" s="241">
        <f>PL!V11+PL!V17+PL!V25</f>
        <v>13621.61784021735</v>
      </c>
      <c r="O8" s="241">
        <f>PL!W11+PL!W17+PL!W25</f>
        <v>15211.750958588605</v>
      </c>
      <c r="P8" s="241">
        <f>PL!X11+PL!X17+PL!X25</f>
        <v>13332.404722775504</v>
      </c>
      <c r="Q8" s="241">
        <f>PL!Y11+PL!Y17+PL!Y25</f>
        <v>15636.964145220705</v>
      </c>
      <c r="R8" s="241">
        <f>PL!Z11+PL!Z17+PL!Z25</f>
        <v>16468.620183707946</v>
      </c>
      <c r="S8" s="241">
        <f>PL!AA11+PL!AA17+PL!AA25</f>
        <v>15926.164666008837</v>
      </c>
      <c r="T8" s="241">
        <f>PL!AB11+PL!AB17+PL!AB25</f>
        <v>13666.508059761405</v>
      </c>
      <c r="U8" s="241">
        <f>PL!AC11+PL!AC17+PL!AC25</f>
        <v>12422.267231176565</v>
      </c>
      <c r="V8" s="118">
        <f>PL!AD11+PL!AD17+PL!AD25</f>
        <v>14854.384799476489</v>
      </c>
      <c r="W8" s="119">
        <f t="shared" si="0"/>
        <v>0.16956481062739706</v>
      </c>
      <c r="X8" s="120">
        <f t="shared" si="1"/>
        <v>0.15406687385284243</v>
      </c>
      <c r="Y8" s="120">
        <f t="shared" si="2"/>
        <v>0.18118784446503608</v>
      </c>
      <c r="Z8" s="120">
        <f t="shared" si="3"/>
        <v>0.1782750125382718</v>
      </c>
      <c r="AA8" s="120">
        <f t="shared" si="4"/>
        <v>0.18500803297385149</v>
      </c>
      <c r="AB8" s="120">
        <f t="shared" si="5"/>
        <v>0.18218457102711633</v>
      </c>
      <c r="AC8" s="120">
        <f t="shared" si="6"/>
        <v>0.16662903707327875</v>
      </c>
      <c r="AD8" s="120">
        <f t="shared" si="7"/>
        <v>0.18957896921579001</v>
      </c>
      <c r="AE8" s="120">
        <f t="shared" si="8"/>
        <v>0.2022428126381958</v>
      </c>
      <c r="AF8" s="120">
        <f t="shared" si="9"/>
        <v>0.20881424204338511</v>
      </c>
      <c r="AG8" s="120">
        <f t="shared" si="10"/>
        <v>0.18572903946977176</v>
      </c>
      <c r="AH8" s="120">
        <f t="shared" si="11"/>
        <v>0.16919836651208034</v>
      </c>
      <c r="AI8" s="120">
        <f t="shared" si="12"/>
        <v>0.18824324676592066</v>
      </c>
      <c r="AJ8" s="120">
        <f t="shared" si="13"/>
        <v>0.17586923350395844</v>
      </c>
      <c r="AK8" s="120">
        <f t="shared" si="14"/>
        <v>0.18294458491398108</v>
      </c>
      <c r="AL8" s="120">
        <f t="shared" si="15"/>
        <v>0.1893922762378133</v>
      </c>
      <c r="AM8" s="120">
        <f t="shared" si="16"/>
        <v>0.18021925629685551</v>
      </c>
      <c r="AN8" s="120">
        <f t="shared" si="17"/>
        <v>0.20498440517894029</v>
      </c>
      <c r="AO8" s="120">
        <f t="shared" si="18"/>
        <v>0.15584811419452252</v>
      </c>
      <c r="AP8" s="120">
        <f t="shared" si="20"/>
        <v>0.13921135990676731</v>
      </c>
    </row>
    <row r="9" spans="1:42" x14ac:dyDescent="0.2">
      <c r="A9" s="117" t="s">
        <v>369</v>
      </c>
      <c r="B9" s="84" t="s">
        <v>254</v>
      </c>
      <c r="C9" s="85">
        <f>PL!K13+PL!K18+PL!K19+PL!K24+PL!K26+PL!K14*0.5</f>
        <v>31731.858527104701</v>
      </c>
      <c r="D9" s="85">
        <f>PL!L13+PL!L18+PL!L19+PL!L24+PL!L26+PL!L14*0.5</f>
        <v>49905.606991278808</v>
      </c>
      <c r="E9" s="85">
        <f>PL!M13+PL!M18+PL!M19+PL!M24+PL!M26+PL!M14*0.5</f>
        <v>41660.816470298843</v>
      </c>
      <c r="F9" s="85">
        <f>PL!N13+PL!N18+PL!N19+PL!N24+PL!N26+PL!N14*0.5</f>
        <v>38313.351442737781</v>
      </c>
      <c r="G9" s="85">
        <f>PL!O13+PL!O18+PL!O19+PL!O24+PL!O26+PL!O14*0.5</f>
        <v>34806.178548267708</v>
      </c>
      <c r="H9" s="85">
        <f>PL!P13+PL!P18+PL!P19+PL!P24+PL!P26+PL!P14*0.5</f>
        <v>37511.459635664723</v>
      </c>
      <c r="I9" s="85">
        <f>PL!Q13+PL!Q18+PL!Q19+PL!Q24+PL!Q26+PL!Q14*0.5</f>
        <v>43555.503818397621</v>
      </c>
      <c r="J9" s="85">
        <f>PL!R13+PL!R18+PL!R19+PL!R24+PL!R26+PL!R14*0.5</f>
        <v>26961.673450891725</v>
      </c>
      <c r="K9" s="85">
        <f>PL!S13+PL!S18+PL!S19+PL!S24+PL!S26+PL!S14*0.5</f>
        <v>25866.873254724651</v>
      </c>
      <c r="L9" s="85">
        <f>PL!T13+PL!T18+PL!T19+PL!T24+PL!T26+PL!T14*0.5</f>
        <v>22957.982681768706</v>
      </c>
      <c r="M9" s="85">
        <f>PL!U13+PL!U18+PL!U19+PL!U24+PL!U26+PL!U14*0.5</f>
        <v>23395.803241742964</v>
      </c>
      <c r="N9" s="241">
        <f>PL!V13+PL!V18+PL!V19+PL!V24+PL!V26+PL!V14*0.5</f>
        <v>27086.490500711327</v>
      </c>
      <c r="O9" s="241">
        <f>PL!W13+PL!W18+PL!W19+PL!W24+PL!W26+PL!W14*0.5</f>
        <v>25686.168286238204</v>
      </c>
      <c r="P9" s="241">
        <f>PL!X13+PL!X18+PL!X19+PL!X24+PL!X26+PL!X14*0.5</f>
        <v>24957.794162876307</v>
      </c>
      <c r="Q9" s="241">
        <f>PL!Y13+PL!Y18+PL!Y19+PL!Y24+PL!Y26+PL!Y14*0.5</f>
        <v>26808.7463793438</v>
      </c>
      <c r="R9" s="241">
        <f>PL!Z13+PL!Z18+PL!Z19+PL!Z24+PL!Z26+PL!Z14*0.5</f>
        <v>25188.556711460304</v>
      </c>
      <c r="S9" s="241">
        <f>PL!AA13+PL!AA18+PL!AA19+PL!AA24+PL!AA26+PL!AA14*0.5</f>
        <v>28211.37920545712</v>
      </c>
      <c r="T9" s="241">
        <f>PL!AB13+PL!AB18+PL!AB19+PL!AB24+PL!AB26+PL!AB14*0.5</f>
        <v>21497.137081801877</v>
      </c>
      <c r="U9" s="241">
        <f>PL!AC13+PL!AC18+PL!AC19+PL!AC24+PL!AC26+PL!AC14*0.5</f>
        <v>23659.326895154896</v>
      </c>
      <c r="V9" s="118">
        <f>PL!AD13+PL!AD18+PL!AD19+PL!AD24+PL!AD26+PL!AD14*0.5</f>
        <v>34859.364310865974</v>
      </c>
      <c r="W9" s="119">
        <f t="shared" si="0"/>
        <v>0.29482494343933457</v>
      </c>
      <c r="X9" s="120">
        <f t="shared" si="1"/>
        <v>0.32523681907404373</v>
      </c>
      <c r="Y9" s="120">
        <f t="shared" si="2"/>
        <v>0.33952800899903257</v>
      </c>
      <c r="Z9" s="120">
        <f t="shared" si="3"/>
        <v>0.28455346354762567</v>
      </c>
      <c r="AA9" s="120">
        <f t="shared" si="4"/>
        <v>0.2848525652636949</v>
      </c>
      <c r="AB9" s="120">
        <f t="shared" si="5"/>
        <v>0.32028810201433505</v>
      </c>
      <c r="AC9" s="120">
        <f t="shared" si="6"/>
        <v>0.33830288342866743</v>
      </c>
      <c r="AD9" s="120">
        <f t="shared" si="7"/>
        <v>0.30181924754184447</v>
      </c>
      <c r="AE9" s="120">
        <f t="shared" si="8"/>
        <v>0.33413742684121667</v>
      </c>
      <c r="AF9" s="120">
        <f t="shared" si="9"/>
        <v>0.31362958648736899</v>
      </c>
      <c r="AG9" s="120">
        <f t="shared" si="10"/>
        <v>0.32889133232356393</v>
      </c>
      <c r="AH9" s="120">
        <f t="shared" si="11"/>
        <v>0.33644975222651013</v>
      </c>
      <c r="AI9" s="120">
        <f t="shared" si="12"/>
        <v>0.31786266606260122</v>
      </c>
      <c r="AJ9" s="120">
        <f t="shared" si="13"/>
        <v>0.32922103856301704</v>
      </c>
      <c r="AK9" s="120">
        <f t="shared" si="14"/>
        <v>0.31364879607607626</v>
      </c>
      <c r="AL9" s="120">
        <f t="shared" si="15"/>
        <v>0.28967321108346933</v>
      </c>
      <c r="AM9" s="120">
        <f t="shared" si="16"/>
        <v>0.31923780057149104</v>
      </c>
      <c r="AN9" s="120">
        <f t="shared" si="17"/>
        <v>0.32243626817428811</v>
      </c>
      <c r="AO9" s="120">
        <f t="shared" si="18"/>
        <v>0.29682677172389266</v>
      </c>
      <c r="AP9" s="120">
        <f t="shared" si="20"/>
        <v>0.32669272923185011</v>
      </c>
    </row>
    <row r="10" spans="1:42" x14ac:dyDescent="0.2">
      <c r="A10" s="117" t="s">
        <v>370</v>
      </c>
      <c r="B10" s="84" t="s">
        <v>254</v>
      </c>
      <c r="C10" s="85">
        <f>PL!K14*0.5+PL!K20+PL!K21+PL!K22+PL!K23+PL!K27</f>
        <v>19215.319285784211</v>
      </c>
      <c r="D10" s="85">
        <f>PL!L14*0.5+PL!L20+PL!L21+PL!L22+PL!L23+PL!L27</f>
        <v>31311.402016439533</v>
      </c>
      <c r="E10" s="85">
        <f>PL!M14*0.5+PL!M20+PL!M21+PL!M22+PL!M23+PL!M27</f>
        <v>27439.29120069688</v>
      </c>
      <c r="F10" s="85">
        <f>PL!N14*0.5+PL!N20+PL!N21+PL!N22+PL!N23+PL!N27</f>
        <v>30620.287318596704</v>
      </c>
      <c r="G10" s="85">
        <f>PL!O14*0.5+PL!O20+PL!O21+PL!O22+PL!O23+PL!O27</f>
        <v>26020.233190866711</v>
      </c>
      <c r="H10" s="85">
        <f>PL!P14*0.5+PL!P20+PL!P21+PL!P22+PL!P23+PL!P27</f>
        <v>29274.089734263929</v>
      </c>
      <c r="I10" s="85">
        <f>PL!Q14*0.5+PL!Q20+PL!Q21+PL!Q22+PL!Q23+PL!Q27</f>
        <v>34871.008013580395</v>
      </c>
      <c r="J10" s="85">
        <f>PL!R14*0.5+PL!R20+PL!R21+PL!R22+PL!R23+PL!R27</f>
        <v>20306.968456581159</v>
      </c>
      <c r="K10" s="85">
        <f>PL!S14*0.5+PL!S20+PL!S21+PL!S22+PL!S23+PL!S27</f>
        <v>18220.641210245893</v>
      </c>
      <c r="L10" s="85">
        <f>PL!T14*0.5+PL!T20+PL!T21+PL!T22+PL!T23+PL!T27</f>
        <v>18114.562091885058</v>
      </c>
      <c r="M10" s="85">
        <f>PL!U14*0.5+PL!U20+PL!U21+PL!U22+PL!U23+PL!U27</f>
        <v>18038.999586004204</v>
      </c>
      <c r="N10" s="241">
        <f>PL!V14*0.5+PL!V20+PL!V21+PL!V22+PL!V23+PL!V27</f>
        <v>19265.595360338419</v>
      </c>
      <c r="O10" s="241">
        <f>PL!W14*0.5+PL!W20+PL!W21+PL!W22+PL!W23+PL!W27</f>
        <v>19043.896125356398</v>
      </c>
      <c r="P10" s="241">
        <f>PL!X14*0.5+PL!X20+PL!X21+PL!X22+PL!X23+PL!X27</f>
        <v>19948.07599207657</v>
      </c>
      <c r="Q10" s="241">
        <f>PL!Y14*0.5+PL!Y20+PL!Y21+PL!Y22+PL!Y23+PL!Y27</f>
        <v>20660.892008688876</v>
      </c>
      <c r="R10" s="241">
        <f>PL!Z14*0.5+PL!Z20+PL!Z21+PL!Z22+PL!Z23+PL!Z27</f>
        <v>21541.873359048921</v>
      </c>
      <c r="S10" s="241">
        <f>PL!AA14*0.5+PL!AA20+PL!AA21+PL!AA22+PL!AA23+PL!AA27</f>
        <v>24930.159153116831</v>
      </c>
      <c r="T10" s="241">
        <f>PL!AB14*0.5+PL!AB20+PL!AB21+PL!AB22+PL!AB23+PL!AB27</f>
        <v>16178.588917671261</v>
      </c>
      <c r="U10" s="241">
        <f>PL!AC14*0.5+PL!AC20+PL!AC21+PL!AC22+PL!AC23+PL!AC27</f>
        <v>22834.084005417342</v>
      </c>
      <c r="V10" s="118">
        <f>PL!AD14*0.5+PL!AD20+PL!AD21+PL!AD22+PL!AD23+PL!AD27</f>
        <v>32416.098797170547</v>
      </c>
      <c r="W10" s="119">
        <f t="shared" si="0"/>
        <v>0.17853210257952667</v>
      </c>
      <c r="X10" s="120">
        <f t="shared" si="1"/>
        <v>0.20405764815875335</v>
      </c>
      <c r="Y10" s="120">
        <f t="shared" si="2"/>
        <v>0.22362518786349789</v>
      </c>
      <c r="Z10" s="120">
        <f t="shared" si="3"/>
        <v>0.22741703566059826</v>
      </c>
      <c r="AA10" s="120">
        <f t="shared" si="4"/>
        <v>0.21294869136235037</v>
      </c>
      <c r="AB10" s="120">
        <f t="shared" si="5"/>
        <v>0.24995408683777745</v>
      </c>
      <c r="AC10" s="120">
        <f t="shared" si="6"/>
        <v>0.2708489519084713</v>
      </c>
      <c r="AD10" s="120">
        <f t="shared" si="7"/>
        <v>0.22732394376724363</v>
      </c>
      <c r="AE10" s="120">
        <f t="shared" si="8"/>
        <v>0.23536660613886023</v>
      </c>
      <c r="AF10" s="120">
        <f t="shared" si="9"/>
        <v>0.24746349437702383</v>
      </c>
      <c r="AG10" s="120">
        <f t="shared" si="10"/>
        <v>0.25358695943551401</v>
      </c>
      <c r="AH10" s="120">
        <f t="shared" si="11"/>
        <v>0.23930397277978263</v>
      </c>
      <c r="AI10" s="120">
        <f t="shared" si="12"/>
        <v>0.23566549619890975</v>
      </c>
      <c r="AJ10" s="120">
        <f t="shared" si="13"/>
        <v>0.26313728900024597</v>
      </c>
      <c r="AK10" s="120">
        <f t="shared" si="14"/>
        <v>0.24172200418055165</v>
      </c>
      <c r="AL10" s="120">
        <f t="shared" si="15"/>
        <v>0.24773565632007877</v>
      </c>
      <c r="AM10" s="120">
        <f t="shared" si="16"/>
        <v>0.28210776644336294</v>
      </c>
      <c r="AN10" s="120">
        <f t="shared" si="17"/>
        <v>0.24266318882786631</v>
      </c>
      <c r="AO10" s="120">
        <f t="shared" si="18"/>
        <v>0.28647338407535994</v>
      </c>
      <c r="AP10" s="120">
        <f t="shared" si="20"/>
        <v>0.30379509197750659</v>
      </c>
    </row>
    <row r="11" spans="1:42" x14ac:dyDescent="0.2">
      <c r="A11" s="121" t="s">
        <v>69</v>
      </c>
      <c r="B11" s="122" t="s">
        <v>254</v>
      </c>
      <c r="C11" s="123">
        <f>PL!K42</f>
        <v>13346.288818356014</v>
      </c>
      <c r="D11" s="123">
        <f>PL!L42</f>
        <v>20564.979137193121</v>
      </c>
      <c r="E11" s="123">
        <f>PL!M42</f>
        <v>15683.030068947846</v>
      </c>
      <c r="F11" s="123">
        <f>PL!N42</f>
        <v>16565.853197868142</v>
      </c>
      <c r="G11" s="123">
        <f>PL!O42</f>
        <v>16650.012585857883</v>
      </c>
      <c r="H11" s="123">
        <f>PL!P42</f>
        <v>15578.694900054616</v>
      </c>
      <c r="I11" s="123">
        <f>PL!Q28</f>
        <v>15956.705282171697</v>
      </c>
      <c r="J11" s="123">
        <f>PL!R28</f>
        <v>9608.8482881495511</v>
      </c>
      <c r="K11" s="123">
        <f>PL!S28</f>
        <v>7961.8069818990098</v>
      </c>
      <c r="L11" s="123">
        <f>PL!T28</f>
        <v>7932.5825174648262</v>
      </c>
      <c r="M11" s="123">
        <f>PL!U28</f>
        <v>9166.024701561093</v>
      </c>
      <c r="N11" s="242">
        <f>PL!V28</f>
        <v>11919.459922975877</v>
      </c>
      <c r="O11" s="242">
        <f>PL!W28</f>
        <v>11562.041267877517</v>
      </c>
      <c r="P11" s="242">
        <f>PL!X28</f>
        <v>9783.1164941565912</v>
      </c>
      <c r="Q11" s="242">
        <f>PL!Y28</f>
        <v>11277.73322352064</v>
      </c>
      <c r="R11" s="242">
        <f>PL!Z28</f>
        <v>11464.515317206055</v>
      </c>
      <c r="S11" s="242">
        <f>PL!AA28</f>
        <v>8432.6895448110172</v>
      </c>
      <c r="T11" s="242">
        <f>PL!AB28</f>
        <v>7265.1887489494075</v>
      </c>
      <c r="U11" s="242">
        <f>PL!AC28</f>
        <v>9918.339822350199</v>
      </c>
      <c r="V11" s="124">
        <f>PL!AD28</f>
        <v>16173.998709918667</v>
      </c>
      <c r="W11" s="125">
        <f t="shared" si="0"/>
        <v>0.12400215520423405</v>
      </c>
      <c r="X11" s="126">
        <f t="shared" si="1"/>
        <v>0.13402278425495559</v>
      </c>
      <c r="Y11" s="126">
        <f t="shared" si="2"/>
        <v>0.12781381704744171</v>
      </c>
      <c r="Z11" s="126">
        <f t="shared" si="3"/>
        <v>0.12303467920628476</v>
      </c>
      <c r="AA11" s="126">
        <f t="shared" si="4"/>
        <v>0.13626312897801507</v>
      </c>
      <c r="AB11" s="126">
        <f t="shared" si="5"/>
        <v>0.13301723446279523</v>
      </c>
      <c r="AC11" s="126">
        <f t="shared" si="6"/>
        <v>0.12393839891021906</v>
      </c>
      <c r="AD11" s="126">
        <f t="shared" si="7"/>
        <v>0.10756510961218245</v>
      </c>
      <c r="AE11" s="126">
        <f t="shared" si="8"/>
        <v>0.10284728547360285</v>
      </c>
      <c r="AF11" s="126">
        <f t="shared" si="9"/>
        <v>0.10836721192864653</v>
      </c>
      <c r="AG11" s="126">
        <f t="shared" si="10"/>
        <v>0.12885328385855149</v>
      </c>
      <c r="AH11" s="126">
        <f t="shared" si="11"/>
        <v>0.1480553317770619</v>
      </c>
      <c r="AI11" s="126">
        <f t="shared" si="12"/>
        <v>0.14307861030803823</v>
      </c>
      <c r="AJ11" s="126">
        <f t="shared" si="13"/>
        <v>0.12905017773485905</v>
      </c>
      <c r="AK11" s="126">
        <f t="shared" si="14"/>
        <v>0.13194378424012665</v>
      </c>
      <c r="AL11" s="126">
        <f t="shared" si="15"/>
        <v>0.13184411490872455</v>
      </c>
      <c r="AM11" s="126">
        <f t="shared" si="16"/>
        <v>9.542366729333597E-2</v>
      </c>
      <c r="AN11" s="126">
        <f t="shared" si="17"/>
        <v>0.10897080568817398</v>
      </c>
      <c r="AO11" s="126">
        <f t="shared" si="18"/>
        <v>0.12443417360836385</v>
      </c>
      <c r="AP11" s="126">
        <f t="shared" si="20"/>
        <v>0.15157843195346807</v>
      </c>
    </row>
    <row r="12" spans="1:42" x14ac:dyDescent="0.2">
      <c r="A12" s="112" t="s">
        <v>311</v>
      </c>
      <c r="B12" s="79" t="s">
        <v>254</v>
      </c>
      <c r="C12" s="92">
        <f>+PL!K34</f>
        <v>11147.006110264399</v>
      </c>
      <c r="D12" s="92">
        <f>+PL!L34</f>
        <v>15653.910209344389</v>
      </c>
      <c r="E12" s="92">
        <f>+PL!M34</f>
        <v>12834.758099289995</v>
      </c>
      <c r="F12" s="92">
        <f>+PL!N34</f>
        <v>13799.538513916081</v>
      </c>
      <c r="G12" s="92">
        <f>+PL!O34</f>
        <v>15135.57588319772</v>
      </c>
      <c r="H12" s="92">
        <f>+PL!P34</f>
        <v>14109.223651654676</v>
      </c>
      <c r="I12" s="92">
        <f>+PL!Q34</f>
        <v>13205.609216910569</v>
      </c>
      <c r="J12" s="92">
        <f>+PL!R34</f>
        <v>8903.2891178717491</v>
      </c>
      <c r="K12" s="92">
        <f>+PL!S34</f>
        <v>7504.3614091854324</v>
      </c>
      <c r="L12" s="92">
        <f>+PL!T34</f>
        <v>7979.739968630749</v>
      </c>
      <c r="M12" s="92">
        <f>+PL!U34</f>
        <v>10011.418791640424</v>
      </c>
      <c r="N12" s="243">
        <f>+PL!V34</f>
        <v>12362.16355973294</v>
      </c>
      <c r="O12" s="243">
        <f>+PL!W34</f>
        <v>11032.628548314819</v>
      </c>
      <c r="P12" s="243">
        <f>+PL!X34</f>
        <v>9803.6832285068012</v>
      </c>
      <c r="Q12" s="243">
        <f>+PL!Y34</f>
        <v>11923.888319386093</v>
      </c>
      <c r="R12" s="243">
        <f>+PL!Z34</f>
        <v>12028.524548764428</v>
      </c>
      <c r="S12" s="243">
        <f>+PL!AA34</f>
        <v>10360.624788708226</v>
      </c>
      <c r="T12" s="243">
        <f>+PL!AB34</f>
        <v>7256.3373809852355</v>
      </c>
      <c r="U12" s="243">
        <f>+PL!AC34</f>
        <v>10985.737185666003</v>
      </c>
      <c r="V12" s="127">
        <f>+PL!AD34</f>
        <v>15736.719846685986</v>
      </c>
      <c r="W12" s="128">
        <f t="shared" si="0"/>
        <v>0.10356832528953291</v>
      </c>
      <c r="X12" s="129">
        <f t="shared" si="1"/>
        <v>0.10201715337211666</v>
      </c>
      <c r="Y12" s="129">
        <f t="shared" si="2"/>
        <v>0.10460092318504867</v>
      </c>
      <c r="Z12" s="129">
        <f t="shared" si="3"/>
        <v>0.1024892454360835</v>
      </c>
      <c r="AA12" s="129">
        <f t="shared" si="4"/>
        <v>0.12386903121505599</v>
      </c>
      <c r="AB12" s="129">
        <f t="shared" si="5"/>
        <v>0.12047029116370887</v>
      </c>
      <c r="AC12" s="129">
        <f t="shared" si="6"/>
        <v>0.10257017561178997</v>
      </c>
      <c r="AD12" s="129">
        <f t="shared" si="7"/>
        <v>9.9666811375711109E-2</v>
      </c>
      <c r="AE12" s="129">
        <f t="shared" si="8"/>
        <v>9.693819529941633E-2</v>
      </c>
      <c r="AF12" s="129">
        <f t="shared" si="9"/>
        <v>0.10901143107080624</v>
      </c>
      <c r="AG12" s="129">
        <f t="shared" si="10"/>
        <v>0.14073758574601875</v>
      </c>
      <c r="AH12" s="129">
        <f t="shared" si="11"/>
        <v>0.15355429181741034</v>
      </c>
      <c r="AI12" s="129">
        <f t="shared" si="12"/>
        <v>0.13652720347256206</v>
      </c>
      <c r="AJ12" s="129">
        <f t="shared" si="13"/>
        <v>0.1293214758150675</v>
      </c>
      <c r="AK12" s="129">
        <f t="shared" si="14"/>
        <v>0.13950347259813117</v>
      </c>
      <c r="AL12" s="129">
        <f t="shared" si="15"/>
        <v>0.13833032875010354</v>
      </c>
      <c r="AM12" s="129">
        <f t="shared" si="16"/>
        <v>0.1172400344558089</v>
      </c>
      <c r="AN12" s="129">
        <f t="shared" si="17"/>
        <v>0.10883804372811647</v>
      </c>
      <c r="AO12" s="129">
        <f t="shared" si="18"/>
        <v>0.13782559910849115</v>
      </c>
      <c r="AP12" s="129">
        <f t="shared" si="20"/>
        <v>0.14748037026792105</v>
      </c>
    </row>
    <row r="13" spans="1:42" x14ac:dyDescent="0.2">
      <c r="A13" s="112" t="s">
        <v>312</v>
      </c>
      <c r="B13" s="79" t="s">
        <v>254</v>
      </c>
      <c r="C13" s="92">
        <f>PL!K38</f>
        <v>-1035.9054237335502</v>
      </c>
      <c r="D13" s="92">
        <f>PL!L38</f>
        <v>9664.3684747765983</v>
      </c>
      <c r="E13" s="92">
        <f>PL!M38</f>
        <v>7013.6152175468096</v>
      </c>
      <c r="F13" s="92">
        <f>PL!N38</f>
        <v>8975.2023353557433</v>
      </c>
      <c r="G13" s="92">
        <f>PL!O38</f>
        <v>6873.5860034603693</v>
      </c>
      <c r="H13" s="92">
        <f>PL!P38</f>
        <v>5555.1287500916715</v>
      </c>
      <c r="I13" s="92">
        <f>PL!Q38</f>
        <v>7039.4107982695805</v>
      </c>
      <c r="J13" s="92">
        <f>PL!R38</f>
        <v>2019.5983507122737</v>
      </c>
      <c r="K13" s="92">
        <f>PL!S38</f>
        <v>-1063.9032941263251</v>
      </c>
      <c r="L13" s="92">
        <f>PL!T38</f>
        <v>3538.5080804681147</v>
      </c>
      <c r="M13" s="92">
        <f>PL!U38</f>
        <v>6911.1328719467328</v>
      </c>
      <c r="N13" s="243">
        <f>PL!V38</f>
        <v>26751.913530238588</v>
      </c>
      <c r="O13" s="243">
        <f>PL!W38</f>
        <v>7625.401144384532</v>
      </c>
      <c r="P13" s="243">
        <f>PL!X38</f>
        <v>7120.7384743157536</v>
      </c>
      <c r="Q13" s="243">
        <f>PL!Y38</f>
        <v>7131.9435089397302</v>
      </c>
      <c r="R13" s="243">
        <f>PL!Z38</f>
        <v>27532.113608426331</v>
      </c>
      <c r="S13" s="243">
        <f>PL!AA38</f>
        <v>8313.4968295508188</v>
      </c>
      <c r="T13" s="243">
        <f>PL!AB38</f>
        <v>5840.4715681724092</v>
      </c>
      <c r="U13" s="243">
        <f>PL!AC38</f>
        <v>-24599.084115228343</v>
      </c>
      <c r="V13" s="127">
        <f>PL!AD38</f>
        <v>13665.694873952198</v>
      </c>
      <c r="W13" s="128">
        <f t="shared" si="0"/>
        <v>-9.6247359006680373E-3</v>
      </c>
      <c r="X13" s="129">
        <f t="shared" si="1"/>
        <v>6.2983072456068837E-2</v>
      </c>
      <c r="Y13" s="129">
        <f t="shared" si="2"/>
        <v>5.7159676944802403E-2</v>
      </c>
      <c r="Z13" s="129">
        <f t="shared" si="3"/>
        <v>6.665887515435058E-2</v>
      </c>
      <c r="AA13" s="129">
        <f t="shared" si="4"/>
        <v>5.6253190879059077E-2</v>
      </c>
      <c r="AB13" s="129">
        <f t="shared" si="5"/>
        <v>4.7431949092177676E-2</v>
      </c>
      <c r="AC13" s="129">
        <f t="shared" si="6"/>
        <v>5.4676281110714257E-2</v>
      </c>
      <c r="AD13" s="129">
        <f t="shared" si="7"/>
        <v>2.2608153594730535E-2</v>
      </c>
      <c r="AE13" s="129">
        <f t="shared" si="8"/>
        <v>-1.3743056828189826E-2</v>
      </c>
      <c r="AF13" s="129">
        <f t="shared" si="9"/>
        <v>4.833964906423259E-2</v>
      </c>
      <c r="AG13" s="129">
        <f t="shared" si="10"/>
        <v>9.7154676615856278E-2</v>
      </c>
      <c r="AH13" s="129">
        <f t="shared" si="11"/>
        <v>0.3322938672545056</v>
      </c>
      <c r="AI13" s="129">
        <f t="shared" si="12"/>
        <v>9.4363250701331169E-2</v>
      </c>
      <c r="AJ13" s="129">
        <f t="shared" si="13"/>
        <v>9.3930453170293041E-2</v>
      </c>
      <c r="AK13" s="129">
        <f t="shared" si="14"/>
        <v>8.3440137916522994E-2</v>
      </c>
      <c r="AL13" s="129">
        <f t="shared" si="15"/>
        <v>0.31662456282138335</v>
      </c>
      <c r="AM13" s="129">
        <f t="shared" si="16"/>
        <v>9.407489168096006E-2</v>
      </c>
      <c r="AN13" s="129">
        <f t="shared" si="17"/>
        <v>8.7601425699319072E-2</v>
      </c>
      <c r="AO13" s="129">
        <f t="shared" si="18"/>
        <v>-0.30861684094584269</v>
      </c>
      <c r="AP13" s="129">
        <f t="shared" si="20"/>
        <v>0.12807127276929511</v>
      </c>
    </row>
    <row r="14" spans="1:42" x14ac:dyDescent="0.2">
      <c r="A14" s="112" t="s">
        <v>317</v>
      </c>
      <c r="B14" s="79" t="s">
        <v>318</v>
      </c>
      <c r="C14" s="102">
        <f>PL!K5</f>
        <v>5.5180161915015598</v>
      </c>
      <c r="D14" s="102">
        <f>PL!L5</f>
        <v>6.8928744112748701</v>
      </c>
      <c r="E14" s="102">
        <f>PL!M5</f>
        <v>6.5164774718826237</v>
      </c>
      <c r="F14" s="102">
        <f>PL!N5</f>
        <v>7.0538757410632709</v>
      </c>
      <c r="G14" s="102">
        <f>PL!O5</f>
        <v>7.5244098520277953</v>
      </c>
      <c r="H14" s="102">
        <f>PL!P5</f>
        <v>6.4555693157831548</v>
      </c>
      <c r="I14" s="102">
        <f>PL!Q5</f>
        <v>6.4912934958534283</v>
      </c>
      <c r="J14" s="102">
        <f>PL!R5</f>
        <v>4.873875028211871</v>
      </c>
      <c r="K14" s="102">
        <f>PL!S5</f>
        <v>4.4633525110334187</v>
      </c>
      <c r="L14" s="102">
        <f>PL!T5</f>
        <v>4.7179208744010532</v>
      </c>
      <c r="M14" s="102">
        <f>PL!U5</f>
        <v>4.470740099773467</v>
      </c>
      <c r="N14" s="247">
        <f>PL!V5</f>
        <v>4.3753422066729435</v>
      </c>
      <c r="O14" s="247">
        <f>PL!W5</f>
        <v>4.6349237279689053</v>
      </c>
      <c r="P14" s="247">
        <f>PL!X5</f>
        <v>4.3081710075024651</v>
      </c>
      <c r="Q14" s="247">
        <f>PL!Y5</f>
        <v>4.7574940863894222</v>
      </c>
      <c r="R14" s="247">
        <f>PL!Z5</f>
        <v>4.6238176317259763</v>
      </c>
      <c r="S14" s="247">
        <f>PL!AA5</f>
        <v>4.8296280406709853</v>
      </c>
      <c r="T14" s="247">
        <f>PL!AB5</f>
        <v>4.0625525295733658</v>
      </c>
      <c r="U14" s="247">
        <f>PL!AC5</f>
        <v>3.980112007223124</v>
      </c>
      <c r="V14" s="144">
        <f>PL!AD5</f>
        <v>4.2826150634134184</v>
      </c>
      <c r="W14" s="130"/>
      <c r="X14" s="91"/>
      <c r="Y14" s="91"/>
      <c r="Z14" s="91"/>
      <c r="AA14" s="91"/>
      <c r="AB14" s="91"/>
      <c r="AC14" s="91"/>
      <c r="AD14" s="91"/>
      <c r="AE14" s="91"/>
      <c r="AF14" s="91"/>
      <c r="AG14" s="91"/>
      <c r="AH14" s="91"/>
      <c r="AI14" s="91"/>
      <c r="AJ14" s="91"/>
      <c r="AK14" s="91"/>
      <c r="AL14" s="91"/>
      <c r="AM14" s="91"/>
      <c r="AN14" s="91"/>
      <c r="AO14" s="91"/>
      <c r="AP14" s="91"/>
    </row>
    <row r="15" spans="1:42" x14ac:dyDescent="0.2">
      <c r="A15" s="195" t="s">
        <v>323</v>
      </c>
      <c r="B15" s="189"/>
      <c r="C15" s="193"/>
      <c r="D15" s="193"/>
      <c r="E15" s="193"/>
      <c r="F15" s="193"/>
      <c r="G15" s="193"/>
      <c r="H15" s="193"/>
      <c r="I15" s="193"/>
      <c r="J15" s="193"/>
      <c r="K15" s="193"/>
      <c r="L15" s="193"/>
      <c r="M15" s="193"/>
      <c r="N15" s="193"/>
      <c r="O15" s="193"/>
      <c r="P15" s="193"/>
      <c r="Q15" s="193"/>
      <c r="R15" s="193"/>
      <c r="S15" s="193"/>
      <c r="T15" s="193"/>
      <c r="U15" s="193"/>
      <c r="V15" s="198"/>
      <c r="W15" s="200" t="s">
        <v>383</v>
      </c>
      <c r="X15" s="193"/>
      <c r="Y15" s="193"/>
      <c r="Z15" s="193"/>
      <c r="AA15" s="193"/>
      <c r="AB15" s="193"/>
      <c r="AC15" s="193"/>
      <c r="AD15" s="193"/>
      <c r="AE15" s="193"/>
      <c r="AF15" s="193"/>
      <c r="AG15" s="193"/>
      <c r="AH15" s="152"/>
      <c r="AI15" s="152"/>
      <c r="AJ15" s="152"/>
      <c r="AK15" s="152"/>
      <c r="AL15" s="152"/>
      <c r="AM15" s="152"/>
      <c r="AN15" s="152"/>
      <c r="AO15" s="152"/>
      <c r="AP15" s="152"/>
    </row>
    <row r="16" spans="1:42" x14ac:dyDescent="0.2">
      <c r="A16" s="113" t="s">
        <v>372</v>
      </c>
      <c r="B16" s="81" t="s">
        <v>254</v>
      </c>
      <c r="C16" s="82">
        <f>BS!K10</f>
        <v>49385.030551321994</v>
      </c>
      <c r="D16" s="82">
        <f>BS!L10</f>
        <v>54828.817535502589</v>
      </c>
      <c r="E16" s="82">
        <f>BS!M10</f>
        <v>50894.781785283107</v>
      </c>
      <c r="F16" s="82">
        <f>BS!N10</f>
        <v>57989.314183787792</v>
      </c>
      <c r="G16" s="82">
        <f>BS!O10</f>
        <v>53441.922615414427</v>
      </c>
      <c r="H16" s="82">
        <f>BS!P10</f>
        <v>43544.53467669613</v>
      </c>
      <c r="I16" s="82">
        <f>BS!Q10</f>
        <v>52741.292948795141</v>
      </c>
      <c r="J16" s="82">
        <f>BS!R10</f>
        <v>49339.472208360785</v>
      </c>
      <c r="K16" s="82">
        <f>BS!S10</f>
        <v>37890.507373768698</v>
      </c>
      <c r="L16" s="82">
        <f>BS!T10</f>
        <v>28642.310588578486</v>
      </c>
      <c r="M16" s="82">
        <f>BS!U10</f>
        <v>52562.46826810317</v>
      </c>
      <c r="N16" s="240">
        <f>BS!V10</f>
        <v>95567.276399386537</v>
      </c>
      <c r="O16" s="240">
        <f>BS!W10</f>
        <v>45414.047947147461</v>
      </c>
      <c r="P16" s="240">
        <f>BS!X10</f>
        <v>45070.710093709611</v>
      </c>
      <c r="Q16" s="240">
        <f>BS!Y10</f>
        <v>54959.256275439002</v>
      </c>
      <c r="R16" s="240">
        <f>BS!Z10</f>
        <v>67373.702721737194</v>
      </c>
      <c r="S16" s="240">
        <f>BS!AA10</f>
        <v>61292.076082200008</v>
      </c>
      <c r="T16" s="240">
        <f>BS!AB10</f>
        <v>67419.845089504117</v>
      </c>
      <c r="U16" s="240">
        <f>BS!AC10</f>
        <v>54619.785221879232</v>
      </c>
      <c r="V16" s="114">
        <f>BS!AD10</f>
        <v>98036.726820603901</v>
      </c>
      <c r="W16" s="115">
        <f t="shared" ref="W16:W25" si="21">+C16/C$25</f>
        <v>8.994353420072751E-2</v>
      </c>
      <c r="X16" s="116">
        <f t="shared" ref="X16:X25" si="22">+D16/D$25</f>
        <v>7.7859460908292058E-2</v>
      </c>
      <c r="Y16" s="116">
        <f t="shared" ref="Y16:Y25" si="23">+E16/E$25</f>
        <v>0.10270523279400004</v>
      </c>
      <c r="Z16" s="116">
        <f t="shared" ref="Z16:Z25" si="24">+F16/F$25</f>
        <v>0.11028660171755392</v>
      </c>
      <c r="AA16" s="116">
        <f t="shared" ref="AA16:AA25" si="25">+G16/G$25</f>
        <v>0.11495363690170989</v>
      </c>
      <c r="AB16" s="116">
        <f t="shared" ref="AB16:AB25" si="26">+H16/H$25</f>
        <v>8.7520967907853797E-2</v>
      </c>
      <c r="AC16" s="116">
        <f t="shared" ref="AC16:AC25" si="27">+I16/I$25</f>
        <v>9.1156106137951012E-2</v>
      </c>
      <c r="AD16" s="116">
        <f t="shared" ref="AD16:AD25" si="28">+J16/J$25</f>
        <v>0.11649422327906191</v>
      </c>
      <c r="AE16" s="116">
        <f t="shared" ref="AE16:AE25" si="29">+K16/K$25</f>
        <v>0.10402094115047167</v>
      </c>
      <c r="AF16" s="116">
        <f t="shared" ref="AF16:AF25" si="30">+L16/L$25</f>
        <v>9.0329069224344111E-2</v>
      </c>
      <c r="AG16" s="116">
        <f t="shared" ref="AG16:AG25" si="31">+M16/M$25</f>
        <v>0.14152725751457879</v>
      </c>
      <c r="AH16" s="116">
        <f t="shared" ref="AH16:AH25" si="32">+N16/N$25</f>
        <v>0.18666034567531567</v>
      </c>
      <c r="AI16" s="116">
        <f t="shared" ref="AI16:AI25" si="33">+O16/O$25</f>
        <v>0.10264530753554095</v>
      </c>
      <c r="AJ16" s="116">
        <f t="shared" ref="AJ16:AJ25" si="34">+P16/P$25</f>
        <v>0.11689256474162202</v>
      </c>
      <c r="AK16" s="116">
        <f t="shared" ref="AK16:AK25" si="35">+Q16/Q$25</f>
        <v>0.11272809982308549</v>
      </c>
      <c r="AL16" s="116">
        <f t="shared" ref="AL16:AL25" si="36">+R16/R$25</f>
        <v>0.14963295001798371</v>
      </c>
      <c r="AM16" s="116">
        <f t="shared" ref="AM16:AM25" si="37">+S16/S$25</f>
        <v>0.132292476183417</v>
      </c>
      <c r="AN16" s="116">
        <f t="shared" ref="AN16:AN25" si="38">+T16/T$25</f>
        <v>0.1333410326460184</v>
      </c>
      <c r="AO16" s="116">
        <f t="shared" ref="AO16:AO25" si="39">+U16/U$25</f>
        <v>0.12963572686781993</v>
      </c>
      <c r="AP16" s="116">
        <f t="shared" ref="AP16" si="40">+V16/V$25</f>
        <v>0.16184563213633715</v>
      </c>
    </row>
    <row r="17" spans="1:42" x14ac:dyDescent="0.2">
      <c r="A17" s="131" t="s">
        <v>373</v>
      </c>
      <c r="B17" s="84" t="s">
        <v>254</v>
      </c>
      <c r="C17" s="85">
        <f>BS!K11+BS!K12+BS!K14</f>
        <v>49912.289042072734</v>
      </c>
      <c r="D17" s="85">
        <f>BS!L11+BS!L12+BS!L14</f>
        <v>56414.677387582604</v>
      </c>
      <c r="E17" s="85">
        <f>BS!M11+BS!M12+BS!M14</f>
        <v>42624.880877975025</v>
      </c>
      <c r="F17" s="85">
        <f>BS!N11+BS!N12+BS!N14</f>
        <v>37372.030153701366</v>
      </c>
      <c r="G17" s="85">
        <f>BS!O11+BS!O12+BS!O14</f>
        <v>41935.897706184631</v>
      </c>
      <c r="H17" s="85">
        <f>BS!P11+BS!P12+BS!P14</f>
        <v>33209.33791223693</v>
      </c>
      <c r="I17" s="85">
        <f>BS!Q11+BS!Q12+BS!Q14</f>
        <v>47994.404838724789</v>
      </c>
      <c r="J17" s="85">
        <f>BS!R11+BS!R12+BS!R14</f>
        <v>36126.309262965602</v>
      </c>
      <c r="K17" s="85">
        <f>BS!S11+BS!S12+BS!S14</f>
        <v>40454.510875864347</v>
      </c>
      <c r="L17" s="85">
        <f>BS!T11+BS!T12+BS!T14</f>
        <v>15605.455172540933</v>
      </c>
      <c r="M17" s="85">
        <f>BS!U11+BS!U12+BS!U14</f>
        <v>23891.054360656053</v>
      </c>
      <c r="N17" s="241">
        <f>BS!V11+BS!V12+BS!V14</f>
        <v>20876.665404993604</v>
      </c>
      <c r="O17" s="241">
        <f>BS!W11+BS!W12+BS!W14</f>
        <v>25393.410926637425</v>
      </c>
      <c r="P17" s="241">
        <f>BS!X11+BS!X12+BS!X14</f>
        <v>20414.023708520988</v>
      </c>
      <c r="Q17" s="241">
        <f>BS!Y11+BS!Y12+BS!Y14</f>
        <v>33376.258775872782</v>
      </c>
      <c r="R17" s="241">
        <f>BS!Z11+BS!Z12+BS!Z14</f>
        <v>38509.094187961113</v>
      </c>
      <c r="S17" s="241">
        <f>BS!AA11+BS!AA12+BS!AA14</f>
        <v>37310.032811360434</v>
      </c>
      <c r="T17" s="241">
        <f>BS!AB11+BS!AB12+BS!AB14</f>
        <v>24689.94778403603</v>
      </c>
      <c r="U17" s="241">
        <f>BS!AC11+BS!AC12+BS!AC14</f>
        <v>28426.593778596613</v>
      </c>
      <c r="V17" s="118">
        <f>BS!AD11+BS!AD12+BS!AD14</f>
        <v>43478.37864821915</v>
      </c>
      <c r="W17" s="119">
        <f t="shared" si="21"/>
        <v>9.0903814908586539E-2</v>
      </c>
      <c r="X17" s="120">
        <f t="shared" si="22"/>
        <v>8.0111455365022802E-2</v>
      </c>
      <c r="Y17" s="120">
        <f t="shared" si="23"/>
        <v>8.6016643746664886E-2</v>
      </c>
      <c r="Z17" s="120">
        <f t="shared" si="24"/>
        <v>7.1075753575474646E-2</v>
      </c>
      <c r="AA17" s="120">
        <f t="shared" si="25"/>
        <v>9.0204164112043961E-2</v>
      </c>
      <c r="AB17" s="120">
        <f t="shared" si="26"/>
        <v>6.6748064234418134E-2</v>
      </c>
      <c r="AC17" s="120">
        <f t="shared" si="27"/>
        <v>8.2951759748364912E-2</v>
      </c>
      <c r="AD17" s="120">
        <f t="shared" si="28"/>
        <v>8.5296946829017922E-2</v>
      </c>
      <c r="AE17" s="120">
        <f t="shared" si="29"/>
        <v>0.11105990884679068</v>
      </c>
      <c r="AF17" s="120">
        <f t="shared" si="30"/>
        <v>4.9214822812512778E-2</v>
      </c>
      <c r="AG17" s="120">
        <f t="shared" si="31"/>
        <v>6.4327941860508608E-2</v>
      </c>
      <c r="AH17" s="120">
        <f t="shared" si="32"/>
        <v>4.0775940550598598E-2</v>
      </c>
      <c r="AI17" s="120">
        <f t="shared" si="33"/>
        <v>5.7394453737629976E-2</v>
      </c>
      <c r="AJ17" s="120">
        <f t="shared" si="34"/>
        <v>5.2944530561508461E-2</v>
      </c>
      <c r="AK17" s="120">
        <f t="shared" si="35"/>
        <v>6.8458754466245123E-2</v>
      </c>
      <c r="AL17" s="120">
        <f t="shared" si="36"/>
        <v>8.5526386900001986E-2</v>
      </c>
      <c r="AM17" s="120">
        <f t="shared" si="37"/>
        <v>8.0529767346758804E-2</v>
      </c>
      <c r="AN17" s="120">
        <f t="shared" si="38"/>
        <v>4.8831069385120308E-2</v>
      </c>
      <c r="AO17" s="120">
        <f t="shared" si="39"/>
        <v>6.7468265059901153E-2</v>
      </c>
      <c r="AP17" s="120">
        <f t="shared" ref="AP17:AP25" si="41">+V17/V$25</f>
        <v>7.1777036063847513E-2</v>
      </c>
    </row>
    <row r="18" spans="1:42" x14ac:dyDescent="0.2">
      <c r="A18" s="131" t="s">
        <v>374</v>
      </c>
      <c r="B18" s="84" t="s">
        <v>254</v>
      </c>
      <c r="C18" s="85">
        <f>BS!K13</f>
        <v>28041.093975027601</v>
      </c>
      <c r="D18" s="85">
        <f>BS!L13</f>
        <v>14998.692716820975</v>
      </c>
      <c r="E18" s="85">
        <f>BS!M13</f>
        <v>7697.3158101846557</v>
      </c>
      <c r="F18" s="85">
        <f>BS!N13</f>
        <v>9604.9012635558702</v>
      </c>
      <c r="G18" s="85">
        <f>BS!O13</f>
        <v>8672.3930807692414</v>
      </c>
      <c r="H18" s="85">
        <f>BS!P13</f>
        <v>7057.0648808083433</v>
      </c>
      <c r="I18" s="85">
        <f>BS!Q13</f>
        <v>9581.2419671078078</v>
      </c>
      <c r="J18" s="85">
        <f>BS!R13</f>
        <v>8939.6861944987868</v>
      </c>
      <c r="K18" s="85">
        <f>BS!S13</f>
        <v>5165.5536082832095</v>
      </c>
      <c r="L18" s="85">
        <f>BS!T13</f>
        <v>4479.0913098928395</v>
      </c>
      <c r="M18" s="85">
        <f>BS!U13</f>
        <v>2426.9118405860709</v>
      </c>
      <c r="N18" s="241">
        <f>BS!V13</f>
        <v>2216.1985822632455</v>
      </c>
      <c r="O18" s="241">
        <f>BS!W13</f>
        <v>23082.265404026963</v>
      </c>
      <c r="P18" s="241">
        <f>BS!X13</f>
        <v>5683.8579662607926</v>
      </c>
      <c r="Q18" s="241">
        <f>BS!Y13</f>
        <v>4005.8570812395942</v>
      </c>
      <c r="R18" s="241">
        <f>BS!Z13</f>
        <v>4383.5548288863201</v>
      </c>
      <c r="S18" s="241">
        <f>BS!AA13</f>
        <v>21453.733956840708</v>
      </c>
      <c r="T18" s="241">
        <f>BS!AB13</f>
        <v>3760.4301529159397</v>
      </c>
      <c r="U18" s="241">
        <f>BS!AC13</f>
        <v>17056.201948535243</v>
      </c>
      <c r="V18" s="118">
        <f>BS!AD13</f>
        <v>2853.8696456950547</v>
      </c>
      <c r="W18" s="119">
        <f t="shared" si="21"/>
        <v>5.107043706994719E-2</v>
      </c>
      <c r="X18" s="120">
        <f t="shared" si="22"/>
        <v>2.129883848953415E-2</v>
      </c>
      <c r="Y18" s="120">
        <f t="shared" si="23"/>
        <v>1.5533117236049361E-2</v>
      </c>
      <c r="Z18" s="120">
        <f t="shared" si="24"/>
        <v>1.8267019279327248E-2</v>
      </c>
      <c r="AA18" s="120">
        <f t="shared" si="25"/>
        <v>1.8654327473392636E-2</v>
      </c>
      <c r="AB18" s="120">
        <f t="shared" si="26"/>
        <v>1.4184125597911467E-2</v>
      </c>
      <c r="AC18" s="120">
        <f t="shared" si="27"/>
        <v>1.6559865351329469E-2</v>
      </c>
      <c r="AD18" s="120">
        <f t="shared" si="28"/>
        <v>2.1107274824277822E-2</v>
      </c>
      <c r="AE18" s="120">
        <f t="shared" si="29"/>
        <v>1.4181012214917469E-2</v>
      </c>
      <c r="AF18" s="120">
        <f t="shared" si="30"/>
        <v>1.4125681227505614E-2</v>
      </c>
      <c r="AG18" s="120">
        <f t="shared" si="31"/>
        <v>6.5345899525848161E-3</v>
      </c>
      <c r="AH18" s="120">
        <f t="shared" si="32"/>
        <v>4.3286406083354427E-3</v>
      </c>
      <c r="AI18" s="120">
        <f t="shared" si="33"/>
        <v>5.2170778384932413E-2</v>
      </c>
      <c r="AJ18" s="120">
        <f t="shared" si="34"/>
        <v>1.4741297262056056E-2</v>
      </c>
      <c r="AK18" s="120">
        <f t="shared" si="35"/>
        <v>8.2164986852778111E-3</v>
      </c>
      <c r="AL18" s="120">
        <f t="shared" si="36"/>
        <v>9.7356121767701656E-3</v>
      </c>
      <c r="AM18" s="120">
        <f t="shared" si="37"/>
        <v>4.630562007272182E-2</v>
      </c>
      <c r="AN18" s="120">
        <f t="shared" si="38"/>
        <v>7.4372707192870277E-3</v>
      </c>
      <c r="AO18" s="120">
        <f t="shared" si="39"/>
        <v>4.0481542141198097E-2</v>
      </c>
      <c r="AP18" s="120">
        <f t="shared" si="41"/>
        <v>4.7113602404068458E-3</v>
      </c>
    </row>
    <row r="19" spans="1:42" x14ac:dyDescent="0.2">
      <c r="A19" s="131" t="s">
        <v>375</v>
      </c>
      <c r="B19" s="84" t="s">
        <v>254</v>
      </c>
      <c r="C19" s="85">
        <f>BS!K16+BS!K25</f>
        <v>361636.12466617278</v>
      </c>
      <c r="D19" s="85">
        <f>BS!L16+BS!L25</f>
        <v>473496.89296395122</v>
      </c>
      <c r="E19" s="85">
        <f>BS!M16+BS!M25</f>
        <v>326755.81115537079</v>
      </c>
      <c r="F19" s="85">
        <f>BS!N16+BS!N25</f>
        <v>361375.51427707582</v>
      </c>
      <c r="G19" s="85">
        <f>BS!O16+BS!O25</f>
        <v>308452.82331494405</v>
      </c>
      <c r="H19" s="85">
        <f>BS!P16+BS!P25</f>
        <v>334707.58838096558</v>
      </c>
      <c r="I19" s="85">
        <f>BS!Q16+BS!Q25</f>
        <v>401010.30406977632</v>
      </c>
      <c r="J19" s="85">
        <f>BS!R16+BS!R25</f>
        <v>269827.65220435458</v>
      </c>
      <c r="K19" s="85">
        <f>BS!S16+BS!S25</f>
        <v>245540.21956453679</v>
      </c>
      <c r="L19" s="85">
        <f>BS!T16+BS!T25</f>
        <v>243004.41069455189</v>
      </c>
      <c r="M19" s="85">
        <f>BS!U16+BS!U25</f>
        <v>232798.58179755227</v>
      </c>
      <c r="N19" s="241">
        <f>BS!V16+BS!V25</f>
        <v>262756.55873050127</v>
      </c>
      <c r="O19" s="241">
        <f>BS!W16+BS!W25</f>
        <v>286220.90859028045</v>
      </c>
      <c r="P19" s="241">
        <f>BS!X16+BS!X25</f>
        <v>261423.87151897367</v>
      </c>
      <c r="Q19" s="241">
        <f>BS!Y16+BS!Y25</f>
        <v>302813.28371039097</v>
      </c>
      <c r="R19" s="241">
        <f>BS!Z16+BS!Z25</f>
        <v>268872.63493570447</v>
      </c>
      <c r="S19" s="241">
        <f>BS!AA16+BS!AA25</f>
        <v>262296.64963747904</v>
      </c>
      <c r="T19" s="241">
        <f>BS!AB16+BS!AB25</f>
        <v>287750.99537739757</v>
      </c>
      <c r="U19" s="241">
        <f>BS!AC16+BS!AC25</f>
        <v>260780.50657645898</v>
      </c>
      <c r="V19" s="118">
        <f>BS!AD16+BS!AD25</f>
        <v>394894.19045215176</v>
      </c>
      <c r="W19" s="119">
        <f t="shared" si="21"/>
        <v>0.65863746127134382</v>
      </c>
      <c r="X19" s="120">
        <f t="shared" si="22"/>
        <v>0.67238752329562845</v>
      </c>
      <c r="Y19" s="120">
        <f t="shared" si="23"/>
        <v>0.65939042224578026</v>
      </c>
      <c r="Z19" s="120">
        <f t="shared" si="24"/>
        <v>0.68727968203311507</v>
      </c>
      <c r="AA19" s="120">
        <f t="shared" si="25"/>
        <v>0.66348237708098756</v>
      </c>
      <c r="AB19" s="120">
        <f t="shared" si="26"/>
        <v>0.67273499002121517</v>
      </c>
      <c r="AC19" s="120">
        <f t="shared" si="27"/>
        <v>0.69309142412731883</v>
      </c>
      <c r="AD19" s="120">
        <f t="shared" si="28"/>
        <v>0.63708348216648791</v>
      </c>
      <c r="AE19" s="120">
        <f t="shared" si="29"/>
        <v>0.67408241535130864</v>
      </c>
      <c r="AF19" s="120">
        <f t="shared" si="30"/>
        <v>0.76636143468823814</v>
      </c>
      <c r="AG19" s="120">
        <f t="shared" si="31"/>
        <v>0.62682263448964715</v>
      </c>
      <c r="AH19" s="120">
        <f t="shared" si="32"/>
        <v>0.51321155032316679</v>
      </c>
      <c r="AI19" s="120">
        <f t="shared" si="33"/>
        <v>0.64691949987683617</v>
      </c>
      <c r="AJ19" s="120">
        <f t="shared" si="34"/>
        <v>0.6780125443553211</v>
      </c>
      <c r="AK19" s="120">
        <f t="shared" si="35"/>
        <v>0.62110676867212744</v>
      </c>
      <c r="AL19" s="120">
        <f t="shared" si="36"/>
        <v>0.597149984626828</v>
      </c>
      <c r="AM19" s="120">
        <f t="shared" si="37"/>
        <v>0.56613963000077827</v>
      </c>
      <c r="AN19" s="120">
        <f t="shared" si="38"/>
        <v>0.56910565157194537</v>
      </c>
      <c r="AO19" s="120">
        <f t="shared" si="39"/>
        <v>0.61894184288105891</v>
      </c>
      <c r="AP19" s="120">
        <f t="shared" si="41"/>
        <v>0.65191792865185261</v>
      </c>
    </row>
    <row r="20" spans="1:42" x14ac:dyDescent="0.2">
      <c r="A20" s="136" t="s">
        <v>376</v>
      </c>
      <c r="B20" s="89" t="s">
        <v>254</v>
      </c>
      <c r="C20" s="90">
        <f>BS!K27+BS!K28</f>
        <v>60092.534850878787</v>
      </c>
      <c r="D20" s="90">
        <f>BS!L27+BS!L28</f>
        <v>104463.27966906037</v>
      </c>
      <c r="E20" s="90">
        <f>BS!M27+BS!M28</f>
        <v>67569.456863776912</v>
      </c>
      <c r="F20" s="90">
        <f>BS!N27+BS!N28</f>
        <v>65775.912815134478</v>
      </c>
      <c r="G20" s="90">
        <f>BS!O27+BS!O28</f>
        <v>52396.761634517294</v>
      </c>
      <c r="H20" s="90">
        <f>BS!P27+BS!P28</f>
        <v>79014.073680663176</v>
      </c>
      <c r="I20" s="90">
        <f>BS!Q27+BS!Q28</f>
        <v>67254.8740754022</v>
      </c>
      <c r="J20" s="90">
        <f>BS!R27+BS!R28</f>
        <v>59302.664304869329</v>
      </c>
      <c r="K20" s="90">
        <f>BS!S27+BS!S28</f>
        <v>35207.66417984794</v>
      </c>
      <c r="L20" s="90">
        <f>BS!T27+BS!T28</f>
        <v>25357.24908211406</v>
      </c>
      <c r="M20" s="90">
        <f>BS!U27+BS!U28</f>
        <v>59715.647850640395</v>
      </c>
      <c r="N20" s="244">
        <f>BS!V27+BS!V28</f>
        <v>130568.19008701459</v>
      </c>
      <c r="O20" s="244">
        <f>BS!W27+BS!W28</f>
        <v>62326.036060225721</v>
      </c>
      <c r="P20" s="244">
        <f>BS!X27+BS!X28</f>
        <v>52981.334270432926</v>
      </c>
      <c r="Q20" s="244">
        <f>BS!Y27+BS!Y28</f>
        <v>92383.556560988043</v>
      </c>
      <c r="R20" s="244">
        <f>BS!Z27+BS!Z28</f>
        <v>71120.817156617282</v>
      </c>
      <c r="S20" s="244">
        <f>BS!AA27+BS!AA28</f>
        <v>80954.853859024399</v>
      </c>
      <c r="T20" s="244">
        <f>BS!AB27+BS!AB28</f>
        <v>121998.42283954489</v>
      </c>
      <c r="U20" s="244">
        <f>BS!AC27+BS!AC28</f>
        <v>60449.723587403452</v>
      </c>
      <c r="V20" s="137">
        <f>BS!AD27+BS!AD28</f>
        <v>66479.019295129474</v>
      </c>
      <c r="W20" s="138">
        <f t="shared" si="21"/>
        <v>0.10944480348051017</v>
      </c>
      <c r="X20" s="139">
        <f t="shared" si="22"/>
        <v>0.1483426965113489</v>
      </c>
      <c r="Y20" s="139">
        <f t="shared" si="23"/>
        <v>0.13635458397750844</v>
      </c>
      <c r="Z20" s="139">
        <f t="shared" si="24"/>
        <v>0.12509549390876157</v>
      </c>
      <c r="AA20" s="139">
        <f t="shared" si="25"/>
        <v>0.11270549443186487</v>
      </c>
      <c r="AB20" s="139">
        <f t="shared" si="26"/>
        <v>0.15881185223860134</v>
      </c>
      <c r="AC20" s="139">
        <f t="shared" si="27"/>
        <v>0.11624084463503746</v>
      </c>
      <c r="AD20" s="139">
        <f t="shared" si="28"/>
        <v>0.14001807290115359</v>
      </c>
      <c r="AE20" s="139">
        <f t="shared" si="29"/>
        <v>9.6655722436510244E-2</v>
      </c>
      <c r="AF20" s="139">
        <f t="shared" si="30"/>
        <v>7.9968992047400808E-2</v>
      </c>
      <c r="AG20" s="139">
        <f t="shared" si="31"/>
        <v>0.1607875761826828</v>
      </c>
      <c r="AH20" s="139">
        <f t="shared" si="32"/>
        <v>0.25502352284258373</v>
      </c>
      <c r="AI20" s="139">
        <f t="shared" si="33"/>
        <v>0.14086996046506181</v>
      </c>
      <c r="AJ20" s="139">
        <f t="shared" si="34"/>
        <v>0.13740906307949327</v>
      </c>
      <c r="AK20" s="139">
        <f t="shared" si="35"/>
        <v>0.18948987835326267</v>
      </c>
      <c r="AL20" s="139">
        <f t="shared" si="36"/>
        <v>0.15795506627841566</v>
      </c>
      <c r="AM20" s="139">
        <f t="shared" si="37"/>
        <v>0.17473250639632396</v>
      </c>
      <c r="AN20" s="139">
        <f t="shared" si="38"/>
        <v>0.24128497567762894</v>
      </c>
      <c r="AO20" s="139">
        <f t="shared" si="39"/>
        <v>0.14347262305002209</v>
      </c>
      <c r="AP20" s="139">
        <f t="shared" si="41"/>
        <v>0.10974804290755602</v>
      </c>
    </row>
    <row r="21" spans="1:42" x14ac:dyDescent="0.2">
      <c r="A21" s="131" t="s">
        <v>377</v>
      </c>
      <c r="B21" s="154" t="s">
        <v>254</v>
      </c>
      <c r="C21" s="85">
        <f>BS!K32+BS!K36+BS!K42</f>
        <v>129184.10492316722</v>
      </c>
      <c r="D21" s="85">
        <f>BS!L32+BS!L36+BS!L42</f>
        <v>189285.90104045416</v>
      </c>
      <c r="E21" s="85">
        <f>BS!M32+BS!M36+BS!M42</f>
        <v>132183.87306523937</v>
      </c>
      <c r="F21" s="85">
        <f>BS!N32+BS!N36+BS!N42</f>
        <v>148836.51582754636</v>
      </c>
      <c r="G21" s="85">
        <f>BS!O32+BS!O36+BS!O42</f>
        <v>113997.91515521394</v>
      </c>
      <c r="H21" s="85">
        <f>BS!P32+BS!P36+BS!P42</f>
        <v>103493.26485478674</v>
      </c>
      <c r="I21" s="85">
        <f>BS!Q32+BS!Q36+BS!Q42</f>
        <v>119365.76529000135</v>
      </c>
      <c r="J21" s="85">
        <f>BS!R32+BS!R36+BS!R42</f>
        <v>93118.518180571002</v>
      </c>
      <c r="K21" s="85">
        <f>BS!S32+BS!S36+BS!S42+BS!S35+BS!S41</f>
        <v>68381.467469494382</v>
      </c>
      <c r="L21" s="85">
        <f>BS!T32+BS!T36+BS!T42+BS!T35+BS!T41</f>
        <v>58874.431860902776</v>
      </c>
      <c r="M21" s="85">
        <f>BS!U32+BS!U36+BS!U42+BS!U35+BS!U41</f>
        <v>62505.783567063743</v>
      </c>
      <c r="N21" s="241">
        <f>BS!V32+BS!V36+BS!V42+BS!V35+BS!V41</f>
        <v>98180.912620645395</v>
      </c>
      <c r="O21" s="241">
        <f>BS!W32+BS!W36+BS!W42+BS!W35+BS!W41</f>
        <v>70943.737940992389</v>
      </c>
      <c r="P21" s="241">
        <f>BS!X32+BS!X36+BS!X42+BS!X35+BS!X41</f>
        <v>71891.071846249848</v>
      </c>
      <c r="Q21" s="241">
        <f>BS!Y32+BS!Y36+BS!Y42+BS!Y35+BS!Y41</f>
        <v>80777.673501644764</v>
      </c>
      <c r="R21" s="241">
        <f>BS!Z32+BS!Z36+BS!Z42+BS!Z35+BS!Z41</f>
        <v>69625.692218347278</v>
      </c>
      <c r="S21" s="241">
        <f>BS!AA32+BS!AA36+BS!AA42+BS!AA35+BS!AA41</f>
        <v>99679.064884808424</v>
      </c>
      <c r="T21" s="241">
        <f>BS!AB32+BS!AB36+BS!AB42+BS!AB35+BS!AB41</f>
        <v>64403.687795576843</v>
      </c>
      <c r="U21" s="241">
        <f>BS!AC32+BS!AC36+BS!AC42+BS!AC35+BS!AC41</f>
        <v>60913.070681682308</v>
      </c>
      <c r="V21" s="118">
        <f>BS!AD32+BS!AD36+BS!AD42+BS!AD35+BS!AD41</f>
        <v>120243.50348072672</v>
      </c>
      <c r="W21" s="119">
        <f t="shared" si="21"/>
        <v>0.23527929070069645</v>
      </c>
      <c r="X21" s="120">
        <f t="shared" si="22"/>
        <v>0.26879474836398159</v>
      </c>
      <c r="Y21" s="120">
        <f t="shared" si="23"/>
        <v>0.26674592126267122</v>
      </c>
      <c r="Z21" s="120">
        <f t="shared" si="24"/>
        <v>0.28306376395618943</v>
      </c>
      <c r="AA21" s="120">
        <f t="shared" si="25"/>
        <v>0.2452096463783402</v>
      </c>
      <c r="AB21" s="120">
        <f t="shared" si="26"/>
        <v>0.2080130326178985</v>
      </c>
      <c r="AC21" s="120">
        <f t="shared" si="27"/>
        <v>0.20630738765879428</v>
      </c>
      <c r="AD21" s="120">
        <f t="shared" si="28"/>
        <v>0.21985985992174076</v>
      </c>
      <c r="AE21" s="120">
        <f t="shared" si="29"/>
        <v>0.18772787952561212</v>
      </c>
      <c r="AF21" s="120">
        <f t="shared" si="30"/>
        <v>0.18567191409578776</v>
      </c>
      <c r="AG21" s="120">
        <f t="shared" si="31"/>
        <v>0.16830016585074636</v>
      </c>
      <c r="AH21" s="120">
        <f t="shared" si="32"/>
        <v>0.19176525458253274</v>
      </c>
      <c r="AI21" s="120">
        <f t="shared" si="33"/>
        <v>0.16034778065035682</v>
      </c>
      <c r="AJ21" s="120">
        <f t="shared" si="34"/>
        <v>0.18645217154688709</v>
      </c>
      <c r="AK21" s="120">
        <f t="shared" si="35"/>
        <v>0.16568480469120545</v>
      </c>
      <c r="AL21" s="120">
        <f t="shared" si="36"/>
        <v>0.15463448352697046</v>
      </c>
      <c r="AM21" s="120">
        <f t="shared" si="37"/>
        <v>0.21514673935295864</v>
      </c>
      <c r="AN21" s="120">
        <f t="shared" si="38"/>
        <v>0.12737576340428153</v>
      </c>
      <c r="AO21" s="120">
        <f t="shared" si="39"/>
        <v>0.14457234061783983</v>
      </c>
      <c r="AP21" s="120">
        <f t="shared" si="41"/>
        <v>0.19850607483802768</v>
      </c>
    </row>
    <row r="22" spans="1:42" x14ac:dyDescent="0.2">
      <c r="A22" s="132" t="s">
        <v>378</v>
      </c>
      <c r="B22" s="84" t="s">
        <v>254</v>
      </c>
      <c r="C22" s="87">
        <f>BS!K33+BS!K34+BS!K38+BS!K39+BS!K40</f>
        <v>342640.83670073707</v>
      </c>
      <c r="D22" s="87">
        <f>BS!L33+BS!L34+BS!L38+BS!L39+BS!L40</f>
        <v>417534.9116240755</v>
      </c>
      <c r="E22" s="87">
        <f>BS!M33+BS!M34+BS!M38+BS!M39+BS!M40</f>
        <v>255291.14080948822</v>
      </c>
      <c r="F22" s="87">
        <f>BS!N33+BS!N34+BS!N38+BS!N39+BS!N40</f>
        <v>267545.03426213528</v>
      </c>
      <c r="G22" s="87">
        <f>BS!O33+BS!O34+BS!O38+BS!O39+BS!O40</f>
        <v>213850.11186300512</v>
      </c>
      <c r="H22" s="87">
        <f>BS!P33+BS!P34+BS!P38+BS!P39+BS!P40</f>
        <v>236879.30815550726</v>
      </c>
      <c r="I22" s="87">
        <f>BS!Q33+BS!Q34+BS!Q38+BS!Q39+BS!Q40</f>
        <v>295046.19319305505</v>
      </c>
      <c r="J22" s="87">
        <f>BS!R33+BS!R34+BS!R38+BS!R39+BS!R40</f>
        <v>211021.90943881264</v>
      </c>
      <c r="K22" s="87">
        <f>BS!S33+BS!S34+BS!S38+BS!S39+BS!S40</f>
        <v>156347.82558102839</v>
      </c>
      <c r="L22" s="87">
        <f>BS!T33+BS!T34+BS!T38+BS!T39+BS!T40</f>
        <v>165506.60197298467</v>
      </c>
      <c r="M22" s="87">
        <f>BS!U33+BS!U34+BS!U38+BS!U39+BS!U40</f>
        <v>169630.87952047744</v>
      </c>
      <c r="N22" s="245">
        <f>BS!V33+BS!V34+BS!V38+BS!V39+BS!V40</f>
        <v>171142.27705613722</v>
      </c>
      <c r="O22" s="245">
        <f>BS!W33+BS!W34+BS!W38+BS!W39+BS!W40</f>
        <v>174262.86479925964</v>
      </c>
      <c r="P22" s="245">
        <f>BS!X33+BS!X34+BS!X38+BS!X39+BS!X40</f>
        <v>177282.15666170861</v>
      </c>
      <c r="Q22" s="245">
        <f>BS!Y33+BS!Y34+BS!Y38+BS!Y39+BS!Y40</f>
        <v>198589.70862316265</v>
      </c>
      <c r="R22" s="245">
        <f>BS!Z33+BS!Z34+BS!Z38+BS!Z39+BS!Z40</f>
        <v>175302.43624230879</v>
      </c>
      <c r="S22" s="245">
        <f>BS!AA33+BS!AA34+BS!AA38+BS!AA39+BS!AA40</f>
        <v>178345.71006049163</v>
      </c>
      <c r="T22" s="245">
        <f>BS!AB33+BS!AB34+BS!AB38+BS!AB39+BS!AB40</f>
        <v>271254.83408808662</v>
      </c>
      <c r="U22" s="245">
        <f>BS!AC33+BS!AC34+BS!AC38+BS!AC39+BS!AC40</f>
        <v>184139.20029526961</v>
      </c>
      <c r="V22" s="133">
        <f>BS!AD33+BS!AD34+BS!AD38+BS!AD39+BS!AD40</f>
        <v>250124.15416783522</v>
      </c>
      <c r="W22" s="134">
        <f t="shared" si="21"/>
        <v>0.62404189023091849</v>
      </c>
      <c r="X22" s="135">
        <f t="shared" si="22"/>
        <v>0.59291891729001323</v>
      </c>
      <c r="Y22" s="135">
        <f t="shared" si="23"/>
        <v>0.51517533089543799</v>
      </c>
      <c r="Z22" s="135">
        <f t="shared" si="24"/>
        <v>0.50882879114005231</v>
      </c>
      <c r="AA22" s="135">
        <f t="shared" si="25"/>
        <v>0.45999183613576472</v>
      </c>
      <c r="AB22" s="135">
        <f t="shared" si="26"/>
        <v>0.47610811508356576</v>
      </c>
      <c r="AC22" s="135">
        <f t="shared" si="27"/>
        <v>0.50994696183152521</v>
      </c>
      <c r="AD22" s="135">
        <f t="shared" si="28"/>
        <v>0.49823867858021703</v>
      </c>
      <c r="AE22" s="135">
        <f t="shared" si="29"/>
        <v>0.42922222717522701</v>
      </c>
      <c r="AF22" s="135">
        <f t="shared" si="30"/>
        <v>0.52195709771631482</v>
      </c>
      <c r="AG22" s="135">
        <f t="shared" si="31"/>
        <v>0.45674021710444795</v>
      </c>
      <c r="AH22" s="135">
        <f t="shared" si="32"/>
        <v>0.33427212533980177</v>
      </c>
      <c r="AI22" s="135">
        <f t="shared" si="33"/>
        <v>0.39387075492943219</v>
      </c>
      <c r="AJ22" s="135">
        <f t="shared" si="34"/>
        <v>0.45978787403230631</v>
      </c>
      <c r="AK22" s="135">
        <f t="shared" si="35"/>
        <v>0.40733157641934481</v>
      </c>
      <c r="AL22" s="135">
        <f t="shared" si="36"/>
        <v>0.38933618935289854</v>
      </c>
      <c r="AM22" s="135">
        <f t="shared" si="37"/>
        <v>0.38494038885140841</v>
      </c>
      <c r="AN22" s="135">
        <f t="shared" si="38"/>
        <v>0.53648001770862408</v>
      </c>
      <c r="AO22" s="135">
        <f t="shared" si="39"/>
        <v>0.43703978289490353</v>
      </c>
      <c r="AP22" s="135">
        <f t="shared" si="41"/>
        <v>0.41292180141771262</v>
      </c>
    </row>
    <row r="23" spans="1:42" x14ac:dyDescent="0.2">
      <c r="A23" s="132" t="s">
        <v>379</v>
      </c>
      <c r="B23" s="84" t="s">
        <v>254</v>
      </c>
      <c r="C23" s="87">
        <f>BS!K45</f>
        <v>21846.572239544697</v>
      </c>
      <c r="D23" s="87">
        <f>BS!L45</f>
        <v>32766.229114808113</v>
      </c>
      <c r="E23" s="87">
        <f>BS!M45</f>
        <v>16856.676465756478</v>
      </c>
      <c r="F23" s="87">
        <f>BS!N45</f>
        <v>16762.488857971133</v>
      </c>
      <c r="G23" s="87">
        <f>BS!O45</f>
        <v>17418.513959823362</v>
      </c>
      <c r="H23" s="87">
        <f>BS!P45</f>
        <v>21321.575241416882</v>
      </c>
      <c r="I23" s="87">
        <f>BS!Q45</f>
        <v>32729.126993803726</v>
      </c>
      <c r="J23" s="87">
        <f>BS!R45</f>
        <v>16720.501183787557</v>
      </c>
      <c r="K23" s="87">
        <f>BS!S45</f>
        <v>17382.35852608057</v>
      </c>
      <c r="L23" s="87">
        <f>BS!T45</f>
        <v>13129.362064491412</v>
      </c>
      <c r="M23" s="87">
        <f>BS!U45</f>
        <v>12829.901619432081</v>
      </c>
      <c r="N23" s="245">
        <f>BS!V45</f>
        <v>14454.793358712659</v>
      </c>
      <c r="O23" s="245">
        <f>BS!W45</f>
        <v>14497.249093210816</v>
      </c>
      <c r="P23" s="245">
        <f>BS!X45</f>
        <v>14962.899576897207</v>
      </c>
      <c r="Q23" s="245">
        <f>BS!Y45</f>
        <v>17241.63415695506</v>
      </c>
      <c r="R23" s="245">
        <f>BS!Z45</f>
        <v>22252.95015542534</v>
      </c>
      <c r="S23" s="245">
        <f>BS!AA45</f>
        <v>14641.63228795744</v>
      </c>
      <c r="T23" s="245">
        <f>BS!AB45</f>
        <v>11827.99656284105</v>
      </c>
      <c r="U23" s="245">
        <f>BS!AC45</f>
        <v>11347.947046694078</v>
      </c>
      <c r="V23" s="133">
        <f>BS!AD45</f>
        <v>12903.440653142627</v>
      </c>
      <c r="W23" s="134">
        <f t="shared" si="21"/>
        <v>3.9788532991877484E-2</v>
      </c>
      <c r="X23" s="135">
        <f t="shared" si="22"/>
        <v>4.6529563276184523E-2</v>
      </c>
      <c r="Y23" s="135">
        <f t="shared" si="23"/>
        <v>3.4016628420819366E-2</v>
      </c>
      <c r="Z23" s="135">
        <f t="shared" si="24"/>
        <v>3.1879630902598897E-2</v>
      </c>
      <c r="AA23" s="135">
        <f t="shared" si="25"/>
        <v>3.7467243525541941E-2</v>
      </c>
      <c r="AB23" s="135">
        <f t="shared" si="26"/>
        <v>4.2854629548897578E-2</v>
      </c>
      <c r="AC23" s="135">
        <f t="shared" si="27"/>
        <v>5.6567816358734271E-2</v>
      </c>
      <c r="AD23" s="135">
        <f t="shared" si="28"/>
        <v>3.9478367138104417E-2</v>
      </c>
      <c r="AE23" s="135">
        <f t="shared" si="29"/>
        <v>4.7719849076224834E-2</v>
      </c>
      <c r="AF23" s="135">
        <f t="shared" si="30"/>
        <v>4.1405984029369514E-2</v>
      </c>
      <c r="AG23" s="135">
        <f t="shared" si="31"/>
        <v>3.4545196415023717E-2</v>
      </c>
      <c r="AH23" s="135">
        <f t="shared" si="32"/>
        <v>2.8232851522593794E-2</v>
      </c>
      <c r="AI23" s="135">
        <f t="shared" si="33"/>
        <v>3.2766834467691075E-2</v>
      </c>
      <c r="AJ23" s="135">
        <f t="shared" si="34"/>
        <v>3.8806837164940863E-2</v>
      </c>
      <c r="AK23" s="135">
        <f t="shared" si="35"/>
        <v>3.5364682640855571E-2</v>
      </c>
      <c r="AL23" s="135">
        <f t="shared" si="36"/>
        <v>4.9422466687215887E-2</v>
      </c>
      <c r="AM23" s="135">
        <f t="shared" si="37"/>
        <v>3.1602417711275435E-2</v>
      </c>
      <c r="AN23" s="135">
        <f t="shared" si="38"/>
        <v>2.3393071783671494E-2</v>
      </c>
      <c r="AO23" s="135">
        <f t="shared" si="39"/>
        <v>2.693345200607699E-2</v>
      </c>
      <c r="AP23" s="135">
        <f t="shared" si="41"/>
        <v>2.1301868972666251E-2</v>
      </c>
    </row>
    <row r="24" spans="1:42" x14ac:dyDescent="0.2">
      <c r="A24" s="136" t="s">
        <v>380</v>
      </c>
      <c r="B24" s="89" t="s">
        <v>254</v>
      </c>
      <c r="C24" s="90">
        <f>BS!K43-BS!K45</f>
        <v>55395.545239726503</v>
      </c>
      <c r="D24" s="90">
        <f>BS!L43-BS!L45</f>
        <v>64615.33640156874</v>
      </c>
      <c r="E24" s="90">
        <f>BS!M43-BS!M45</f>
        <v>91210.5561521052</v>
      </c>
      <c r="F24" s="90">
        <f>BS!N43-BS!N45</f>
        <v>92661.573707812291</v>
      </c>
      <c r="G24" s="90">
        <f>BS!O43-BS!O45</f>
        <v>119633.25737378759</v>
      </c>
      <c r="H24" s="90">
        <f>BS!P43-BS!P45</f>
        <v>135838.45127965859</v>
      </c>
      <c r="I24" s="90">
        <f>BS!Q43-BS!Q45</f>
        <v>130990.30263027745</v>
      </c>
      <c r="J24" s="90">
        <f>BS!R43-BS!R45</f>
        <v>102378.75514546971</v>
      </c>
      <c r="K24" s="90">
        <f>BS!S43-BS!S45</f>
        <v>122146.80402569783</v>
      </c>
      <c r="L24" s="90">
        <f>BS!T43-BS!T45</f>
        <v>79578.120949298958</v>
      </c>
      <c r="M24" s="90">
        <f>BS!U43-BS!U45</f>
        <v>126428.09941056435</v>
      </c>
      <c r="N24" s="244">
        <f>BS!V43-BS!V45</f>
        <v>228206.90616866338</v>
      </c>
      <c r="O24" s="244">
        <f>BS!W43-BS!W45</f>
        <v>182732.81709485434</v>
      </c>
      <c r="P24" s="244">
        <f>BS!X43-BS!X45</f>
        <v>121437.66947304216</v>
      </c>
      <c r="Q24" s="244">
        <f>BS!Y43-BS!Y45</f>
        <v>190929.19612216824</v>
      </c>
      <c r="R24" s="244">
        <f>BS!Z43-BS!Z45</f>
        <v>183078.72521482475</v>
      </c>
      <c r="S24" s="244">
        <f>BS!AA43-BS!AA45</f>
        <v>170640.93911364709</v>
      </c>
      <c r="T24" s="244">
        <f>BS!AB43-BS!AB45</f>
        <v>158133.12279689399</v>
      </c>
      <c r="U24" s="244">
        <f>BS!AC43-BS!AC45</f>
        <v>164932.59308312691</v>
      </c>
      <c r="V24" s="137">
        <f>BS!AD43-BS!AD45</f>
        <v>222471.08656632699</v>
      </c>
      <c r="W24" s="138">
        <f t="shared" si="21"/>
        <v>0.10089031154206531</v>
      </c>
      <c r="X24" s="139">
        <f t="shared" si="22"/>
        <v>9.1756771069820706E-2</v>
      </c>
      <c r="Y24" s="139">
        <f t="shared" si="23"/>
        <v>0.18406211942107198</v>
      </c>
      <c r="Z24" s="139">
        <f t="shared" si="24"/>
        <v>0.17622781400115786</v>
      </c>
      <c r="AA24" s="139">
        <f t="shared" si="25"/>
        <v>0.25733127396035282</v>
      </c>
      <c r="AB24" s="139">
        <f t="shared" si="26"/>
        <v>0.27302422274963667</v>
      </c>
      <c r="AC24" s="139">
        <f t="shared" si="27"/>
        <v>0.22639880939590568</v>
      </c>
      <c r="AD24" s="139">
        <f t="shared" si="28"/>
        <v>0.24172397934422479</v>
      </c>
      <c r="AE24" s="139">
        <f t="shared" si="29"/>
        <v>0.33533004422293522</v>
      </c>
      <c r="AF24" s="139">
        <f t="shared" si="30"/>
        <v>0.25096500415852813</v>
      </c>
      <c r="AG24" s="139">
        <f t="shared" si="31"/>
        <v>0.34041442062978322</v>
      </c>
      <c r="AH24" s="139">
        <f t="shared" si="32"/>
        <v>0.44572976855507074</v>
      </c>
      <c r="AI24" s="139">
        <f t="shared" si="33"/>
        <v>0.41301462995251936</v>
      </c>
      <c r="AJ24" s="139">
        <f t="shared" si="34"/>
        <v>0.31495311725586622</v>
      </c>
      <c r="AK24" s="139">
        <f t="shared" si="35"/>
        <v>0.39161893624859329</v>
      </c>
      <c r="AL24" s="139">
        <f t="shared" si="36"/>
        <v>0.40660686043291416</v>
      </c>
      <c r="AM24" s="139">
        <f t="shared" si="37"/>
        <v>0.36831045408435742</v>
      </c>
      <c r="AN24" s="139">
        <f t="shared" si="38"/>
        <v>0.31275114710342278</v>
      </c>
      <c r="AO24" s="139">
        <f t="shared" si="39"/>
        <v>0.39145442446670053</v>
      </c>
      <c r="AP24" s="139">
        <f t="shared" si="41"/>
        <v>0.36727025478188219</v>
      </c>
    </row>
    <row r="25" spans="1:42" x14ac:dyDescent="0.2">
      <c r="A25" s="112" t="s">
        <v>313</v>
      </c>
      <c r="B25" s="79" t="s">
        <v>254</v>
      </c>
      <c r="C25" s="92">
        <f>BS!K29</f>
        <v>549067.04512087698</v>
      </c>
      <c r="D25" s="92">
        <f>BS!L29</f>
        <v>704202.37818090653</v>
      </c>
      <c r="E25" s="92">
        <f>BS!M29</f>
        <v>495542.24649258901</v>
      </c>
      <c r="F25" s="92">
        <f>BS!N29</f>
        <v>525805.61265546584</v>
      </c>
      <c r="G25" s="92">
        <f>BS!O29</f>
        <v>464899.79835183016</v>
      </c>
      <c r="H25" s="92">
        <f>BS!P29</f>
        <v>497532.59953137022</v>
      </c>
      <c r="I25" s="92">
        <f>BS!Q29</f>
        <v>578582.11789980531</v>
      </c>
      <c r="J25" s="92">
        <f>BS!R29</f>
        <v>423535.78417504946</v>
      </c>
      <c r="K25" s="92">
        <f>BS!S29</f>
        <v>364258.45560230146</v>
      </c>
      <c r="L25" s="92">
        <f>BS!T29</f>
        <v>317088.51684767776</v>
      </c>
      <c r="M25" s="92">
        <f>BS!U29</f>
        <v>371394.66411753715</v>
      </c>
      <c r="N25" s="243">
        <f>BS!V29</f>
        <v>511984.88920415915</v>
      </c>
      <c r="O25" s="243">
        <f>BS!W29</f>
        <v>442436.66892831743</v>
      </c>
      <c r="P25" s="243">
        <f>BS!X29</f>
        <v>385573.79755789763</v>
      </c>
      <c r="Q25" s="243">
        <f>BS!Y29</f>
        <v>487538.21240393113</v>
      </c>
      <c r="R25" s="243">
        <f>BS!Z29</f>
        <v>450259.80383090657</v>
      </c>
      <c r="S25" s="243">
        <f>BS!AA29</f>
        <v>463307.34634690464</v>
      </c>
      <c r="T25" s="243">
        <f>BS!AB29</f>
        <v>505619.64124339854</v>
      </c>
      <c r="U25" s="243">
        <f>BS!AC29</f>
        <v>421332.81111287343</v>
      </c>
      <c r="V25" s="127">
        <f>BS!AD29</f>
        <v>605742.18486179924</v>
      </c>
      <c r="W25" s="128">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8"/>
        <v>1</v>
      </c>
      <c r="AO25" s="129">
        <f t="shared" si="39"/>
        <v>1</v>
      </c>
      <c r="AP25" s="129">
        <f t="shared" si="41"/>
        <v>1</v>
      </c>
    </row>
    <row r="26" spans="1:42" x14ac:dyDescent="0.2">
      <c r="A26" s="195" t="s">
        <v>309</v>
      </c>
      <c r="B26" s="189"/>
      <c r="C26" s="194"/>
      <c r="D26" s="194"/>
      <c r="E26" s="194"/>
      <c r="F26" s="194"/>
      <c r="G26" s="194"/>
      <c r="H26" s="194"/>
      <c r="I26" s="194"/>
      <c r="J26" s="194"/>
      <c r="K26" s="194"/>
      <c r="L26" s="194"/>
      <c r="M26" s="194"/>
      <c r="N26" s="194"/>
      <c r="O26" s="194"/>
      <c r="P26" s="194"/>
      <c r="Q26" s="194"/>
      <c r="R26" s="194"/>
      <c r="S26" s="194"/>
      <c r="T26" s="194"/>
      <c r="U26" s="194"/>
      <c r="V26" s="199"/>
      <c r="W26" s="141"/>
      <c r="X26" s="141"/>
      <c r="Y26" s="141"/>
      <c r="Z26" s="141"/>
      <c r="AA26" s="141"/>
      <c r="AB26" s="141"/>
      <c r="AC26" s="100"/>
      <c r="AD26" s="100"/>
      <c r="AE26" s="100"/>
      <c r="AF26" s="100"/>
      <c r="AG26" s="100"/>
      <c r="AH26" s="100"/>
      <c r="AI26" s="100"/>
      <c r="AJ26" s="100"/>
      <c r="AK26" s="100"/>
      <c r="AL26" s="100"/>
      <c r="AM26" s="100"/>
      <c r="AN26" s="100"/>
      <c r="AO26" s="100"/>
      <c r="AP26" s="100"/>
    </row>
    <row r="27" spans="1:42" x14ac:dyDescent="0.2">
      <c r="A27" s="112" t="s">
        <v>343</v>
      </c>
      <c r="B27" s="79" t="s">
        <v>164</v>
      </c>
      <c r="C27" s="101">
        <f t="shared" ref="C27:V27" si="42">+C13/C25*100</f>
        <v>-0.18866647214376084</v>
      </c>
      <c r="D27" s="101">
        <f>+D13/D25*100</f>
        <v>1.3723850947140459</v>
      </c>
      <c r="E27" s="101">
        <f t="shared" si="42"/>
        <v>1.4153415308560782</v>
      </c>
      <c r="F27" s="101">
        <f t="shared" si="42"/>
        <v>1.7069430449835739</v>
      </c>
      <c r="G27" s="101">
        <f t="shared" si="42"/>
        <v>1.478509138491501</v>
      </c>
      <c r="H27" s="101">
        <f t="shared" si="42"/>
        <v>1.1165356310971561</v>
      </c>
      <c r="I27" s="101">
        <f t="shared" si="42"/>
        <v>1.2166658077546419</v>
      </c>
      <c r="J27" s="101">
        <f t="shared" si="42"/>
        <v>0.4768424360283956</v>
      </c>
      <c r="K27" s="101">
        <f t="shared" si="42"/>
        <v>-0.29207373988536817</v>
      </c>
      <c r="L27" s="101">
        <f>+L13/L25*100</f>
        <v>1.1159369994366384</v>
      </c>
      <c r="M27" s="101">
        <f>+M13/M25*100</f>
        <v>1.8608594952133</v>
      </c>
      <c r="N27" s="246">
        <f>+N13/N25*100</f>
        <v>5.2251373222796413</v>
      </c>
      <c r="O27" s="246">
        <f>+O13/O25*100</f>
        <v>1.7235011652300416</v>
      </c>
      <c r="P27" s="246">
        <f>+P13/P25*100</f>
        <v>1.8467900358935843</v>
      </c>
      <c r="Q27" s="246">
        <f t="shared" ref="Q27:R27" si="43">+Q13/Q25*100</f>
        <v>1.4628481065666361</v>
      </c>
      <c r="R27" s="246">
        <f t="shared" si="43"/>
        <v>6.1147171864281971</v>
      </c>
      <c r="S27" s="246">
        <f t="shared" ref="S27:T27" si="44">+S13/S25*100</f>
        <v>1.7943805327287061</v>
      </c>
      <c r="T27" s="246">
        <f t="shared" si="44"/>
        <v>1.1551116870795934</v>
      </c>
      <c r="U27" s="246">
        <f t="shared" ref="U27" si="45">+U13/U25*100</f>
        <v>-5.8383974536078425</v>
      </c>
      <c r="V27" s="142">
        <f t="shared" si="42"/>
        <v>2.2560249583855616</v>
      </c>
      <c r="W27" s="143"/>
      <c r="X27" s="143"/>
      <c r="Y27" s="143"/>
      <c r="Z27" s="143"/>
      <c r="AA27" s="143"/>
      <c r="AB27" s="143"/>
      <c r="AC27" s="101"/>
      <c r="AD27" s="101"/>
      <c r="AE27" s="101"/>
      <c r="AF27" s="101"/>
      <c r="AG27" s="101"/>
      <c r="AH27" s="101"/>
      <c r="AI27" s="101"/>
      <c r="AJ27" s="101"/>
      <c r="AK27" s="101"/>
      <c r="AL27" s="101"/>
      <c r="AM27" s="101"/>
      <c r="AN27" s="101"/>
      <c r="AO27" s="101"/>
      <c r="AP27" s="101"/>
    </row>
    <row r="28" spans="1:42" x14ac:dyDescent="0.2">
      <c r="A28" s="112" t="s">
        <v>315</v>
      </c>
      <c r="B28" s="79" t="s">
        <v>149</v>
      </c>
      <c r="C28" s="102">
        <f t="shared" ref="C28:V28" si="46">(C23+C24)/C25*100</f>
        <v>14.067884453394278</v>
      </c>
      <c r="D28" s="102">
        <f>(D23+D24)/D25*100</f>
        <v>13.828633434600523</v>
      </c>
      <c r="E28" s="102">
        <f t="shared" si="46"/>
        <v>21.807874784189131</v>
      </c>
      <c r="F28" s="102">
        <f t="shared" si="46"/>
        <v>20.810744490375672</v>
      </c>
      <c r="G28" s="102">
        <f t="shared" si="46"/>
        <v>29.479851748589475</v>
      </c>
      <c r="H28" s="102">
        <f t="shared" si="46"/>
        <v>31.58788522985342</v>
      </c>
      <c r="I28" s="102">
        <f t="shared" si="46"/>
        <v>28.296662575463994</v>
      </c>
      <c r="J28" s="102">
        <f t="shared" si="46"/>
        <v>28.120234648232923</v>
      </c>
      <c r="K28" s="102">
        <f t="shared" si="46"/>
        <v>38.304989329916005</v>
      </c>
      <c r="L28" s="102">
        <f>(L23+L24)/L25*100</f>
        <v>29.237098818789757</v>
      </c>
      <c r="M28" s="102">
        <f>(M23+M24)/M25*100</f>
        <v>37.495961704480699</v>
      </c>
      <c r="N28" s="247">
        <f>(N23+N24)/N25*100</f>
        <v>47.396262007766445</v>
      </c>
      <c r="O28" s="247">
        <f>(O23+O24)/O25*100</f>
        <v>44.578146442021044</v>
      </c>
      <c r="P28" s="247">
        <f>(P23+P24)/P25*100</f>
        <v>35.375995442080708</v>
      </c>
      <c r="Q28" s="247">
        <f t="shared" ref="Q28:R28" si="47">(Q23+Q24)/Q25*100</f>
        <v>42.698361888944888</v>
      </c>
      <c r="R28" s="247">
        <f t="shared" si="47"/>
        <v>45.602932712013015</v>
      </c>
      <c r="S28" s="247">
        <f t="shared" ref="S28:T28" si="48">(S23+S24)/S25*100</f>
        <v>39.991287179563287</v>
      </c>
      <c r="T28" s="247">
        <f t="shared" si="48"/>
        <v>33.61442188870943</v>
      </c>
      <c r="U28" s="247">
        <f t="shared" ref="U28" si="49">(U23+U24)/U25*100</f>
        <v>41.838787647277755</v>
      </c>
      <c r="V28" s="144">
        <f t="shared" si="46"/>
        <v>38.85721237545485</v>
      </c>
      <c r="W28" s="145"/>
      <c r="X28" s="145"/>
      <c r="Y28" s="145"/>
      <c r="Z28" s="145"/>
      <c r="AA28" s="145"/>
      <c r="AB28" s="145"/>
      <c r="AC28" s="102"/>
      <c r="AD28" s="102"/>
      <c r="AE28" s="102"/>
      <c r="AF28" s="102"/>
      <c r="AG28" s="102"/>
      <c r="AH28" s="102"/>
      <c r="AI28" s="102"/>
      <c r="AJ28" s="102"/>
      <c r="AK28" s="102"/>
      <c r="AL28" s="102"/>
      <c r="AM28" s="102"/>
      <c r="AN28" s="102"/>
      <c r="AO28" s="102"/>
      <c r="AP28" s="102"/>
    </row>
    <row r="29" spans="1:42" x14ac:dyDescent="0.2">
      <c r="A29" s="112" t="s">
        <v>316</v>
      </c>
      <c r="B29" s="79" t="s">
        <v>164</v>
      </c>
      <c r="C29" s="102">
        <f t="shared" ref="C29:V29" si="50">+C13/(C23+C24)*100</f>
        <v>-1.3411147409462814</v>
      </c>
      <c r="D29" s="102">
        <f>+D13/(D23+D24)*100</f>
        <v>9.9242278798150174</v>
      </c>
      <c r="E29" s="102">
        <f t="shared" si="50"/>
        <v>6.4900479522296735</v>
      </c>
      <c r="F29" s="102">
        <f t="shared" si="50"/>
        <v>8.2022199915672509</v>
      </c>
      <c r="G29" s="102">
        <f t="shared" si="50"/>
        <v>5.0153208065649224</v>
      </c>
      <c r="H29" s="102">
        <f t="shared" si="50"/>
        <v>3.5346957321534416</v>
      </c>
      <c r="I29" s="102">
        <f t="shared" si="50"/>
        <v>4.299679527611894</v>
      </c>
      <c r="J29" s="102">
        <f t="shared" si="50"/>
        <v>1.6957270876057942</v>
      </c>
      <c r="K29" s="102">
        <f t="shared" si="50"/>
        <v>-0.7624952910697198</v>
      </c>
      <c r="L29" s="102">
        <f>+L13/(L23+L24)*100</f>
        <v>3.8168527128945535</v>
      </c>
      <c r="M29" s="102">
        <f>+M13/(M23+M24)*100</f>
        <v>4.9628264234943753</v>
      </c>
      <c r="N29" s="247">
        <f>+N13/(N23+N24)*100</f>
        <v>11.024365848562992</v>
      </c>
      <c r="O29" s="247">
        <f>+O13/(O23+O24)*100</f>
        <v>3.866246811028025</v>
      </c>
      <c r="P29" s="247">
        <f>+P13/(P23+P24)*100</f>
        <v>5.2204609730833953</v>
      </c>
      <c r="Q29" s="247">
        <f t="shared" ref="Q29:R29" si="51">+Q13/(Q23+Q24)*100</f>
        <v>3.4260052185875183</v>
      </c>
      <c r="R29" s="247">
        <f t="shared" si="51"/>
        <v>13.408605154943073</v>
      </c>
      <c r="S29" s="247">
        <f t="shared" ref="S29:T29" si="52">+S13/(S23+S24)*100</f>
        <v>4.4869286769186241</v>
      </c>
      <c r="T29" s="247">
        <f t="shared" si="52"/>
        <v>3.4363574387920024</v>
      </c>
      <c r="U29" s="247">
        <f t="shared" ref="U29" si="53">+U13/(U23+U24)*100</f>
        <v>-13.954509157455758</v>
      </c>
      <c r="V29" s="144">
        <f t="shared" si="50"/>
        <v>5.8059361968298004</v>
      </c>
      <c r="W29" s="145"/>
      <c r="X29" s="145"/>
      <c r="Y29" s="145"/>
      <c r="Z29" s="145"/>
      <c r="AA29" s="145"/>
      <c r="AB29" s="145"/>
      <c r="AC29" s="102"/>
      <c r="AD29" s="102"/>
      <c r="AE29" s="102"/>
      <c r="AF29" s="102"/>
      <c r="AG29" s="102"/>
      <c r="AH29" s="102"/>
      <c r="AI29" s="102"/>
      <c r="AJ29" s="102"/>
      <c r="AK29" s="102"/>
      <c r="AL29" s="102"/>
      <c r="AM29" s="102"/>
      <c r="AN29" s="102"/>
      <c r="AO29" s="102"/>
      <c r="AP29" s="102"/>
    </row>
    <row r="30" spans="1:42" x14ac:dyDescent="0.2">
      <c r="A30" s="112" t="s">
        <v>349</v>
      </c>
      <c r="B30" s="79" t="s">
        <v>167</v>
      </c>
      <c r="C30" s="101">
        <f t="shared" ref="C30:V30" si="54">C22/C25*100</f>
        <v>62.404189023091853</v>
      </c>
      <c r="D30" s="101">
        <f>D22/D25*100</f>
        <v>59.291891729001321</v>
      </c>
      <c r="E30" s="101">
        <f t="shared" si="54"/>
        <v>51.517533089543797</v>
      </c>
      <c r="F30" s="101">
        <f t="shared" si="54"/>
        <v>50.882879114005227</v>
      </c>
      <c r="G30" s="101">
        <f t="shared" si="54"/>
        <v>45.99918361357647</v>
      </c>
      <c r="H30" s="101">
        <f t="shared" si="54"/>
        <v>47.610811508356576</v>
      </c>
      <c r="I30" s="101">
        <f t="shared" si="54"/>
        <v>50.99469618315252</v>
      </c>
      <c r="J30" s="101">
        <f t="shared" si="54"/>
        <v>49.8238678580217</v>
      </c>
      <c r="K30" s="101">
        <f t="shared" si="54"/>
        <v>42.9222227175227</v>
      </c>
      <c r="L30" s="101">
        <f>L22/L25*100</f>
        <v>52.195709771631485</v>
      </c>
      <c r="M30" s="101">
        <f>M22/M25*100</f>
        <v>45.674021710444798</v>
      </c>
      <c r="N30" s="246">
        <f>N22/N25*100</f>
        <v>33.427212533980175</v>
      </c>
      <c r="O30" s="246">
        <f>O22/O25*100</f>
        <v>39.387075492943218</v>
      </c>
      <c r="P30" s="246">
        <f>P22/P25*100</f>
        <v>45.978787403230633</v>
      </c>
      <c r="Q30" s="246">
        <f t="shared" ref="Q30:R30" si="55">Q22/Q25*100</f>
        <v>40.733157641934483</v>
      </c>
      <c r="R30" s="246">
        <f t="shared" si="55"/>
        <v>38.933618935289857</v>
      </c>
      <c r="S30" s="246">
        <f t="shared" ref="S30:T30" si="56">S22/S25*100</f>
        <v>38.494038885140839</v>
      </c>
      <c r="T30" s="246">
        <f t="shared" si="56"/>
        <v>53.648001770862408</v>
      </c>
      <c r="U30" s="246">
        <f t="shared" ref="U30" si="57">U22/U25*100</f>
        <v>43.703978289490351</v>
      </c>
      <c r="V30" s="142">
        <f t="shared" si="54"/>
        <v>41.292180141771262</v>
      </c>
      <c r="W30" s="143"/>
      <c r="X30" s="143"/>
      <c r="Y30" s="143"/>
      <c r="Z30" s="143"/>
      <c r="AA30" s="143"/>
      <c r="AB30" s="143"/>
      <c r="AC30" s="101"/>
      <c r="AD30" s="101"/>
      <c r="AE30" s="101"/>
      <c r="AF30" s="101"/>
      <c r="AG30" s="101"/>
      <c r="AH30" s="101"/>
      <c r="AI30" s="101"/>
      <c r="AJ30" s="101"/>
      <c r="AK30" s="101"/>
      <c r="AL30" s="101"/>
      <c r="AM30" s="101"/>
      <c r="AN30" s="101"/>
      <c r="AO30" s="101"/>
      <c r="AP30" s="101"/>
    </row>
    <row r="31" spans="1:42" x14ac:dyDescent="0.2">
      <c r="A31" s="112" t="s">
        <v>350</v>
      </c>
      <c r="B31" s="79" t="s">
        <v>254</v>
      </c>
      <c r="C31" s="100">
        <f t="shared" ref="C31:V31" si="58">+C5/C14</f>
        <v>19505.106007201462</v>
      </c>
      <c r="D31" s="100">
        <f>+D5/D14</f>
        <v>22261.235889375297</v>
      </c>
      <c r="E31" s="100">
        <f t="shared" si="58"/>
        <v>18829.520992610476</v>
      </c>
      <c r="F31" s="100">
        <f t="shared" si="58"/>
        <v>19087.913673549552</v>
      </c>
      <c r="G31" s="100">
        <f t="shared" si="58"/>
        <v>16239.16765035501</v>
      </c>
      <c r="H31" s="100">
        <f t="shared" si="58"/>
        <v>18142.143971314148</v>
      </c>
      <c r="I31" s="100">
        <f t="shared" si="58"/>
        <v>19833.807629888604</v>
      </c>
      <c r="J31" s="100">
        <f t="shared" si="58"/>
        <v>18328.4408867196</v>
      </c>
      <c r="K31" s="100">
        <f t="shared" si="58"/>
        <v>17344.333791248577</v>
      </c>
      <c r="L31" s="100">
        <f>+L5/L14</f>
        <v>15515.509642730451</v>
      </c>
      <c r="M31" s="100">
        <f>+M5/M14</f>
        <v>15911.316282572952</v>
      </c>
      <c r="N31" s="248">
        <f>+N5/N14</f>
        <v>18400.113414837251</v>
      </c>
      <c r="O31" s="248">
        <f>+O5/O14</f>
        <v>17434.809644183882</v>
      </c>
      <c r="P31" s="248">
        <f>+P5/P14</f>
        <v>17596.475299976344</v>
      </c>
      <c r="Q31" s="248">
        <f t="shared" ref="Q31:R31" si="59">+Q5/Q14</f>
        <v>17966.13357058269</v>
      </c>
      <c r="R31" s="248">
        <f t="shared" si="59"/>
        <v>18805.905658186173</v>
      </c>
      <c r="S31" s="248">
        <f t="shared" ref="S31:T31" si="60">+S5/S14</f>
        <v>18297.692473737228</v>
      </c>
      <c r="T31" s="248">
        <f t="shared" si="60"/>
        <v>16411.102207935968</v>
      </c>
      <c r="U31" s="248">
        <f t="shared" ref="U31" si="61">+U5/U14</f>
        <v>20026.452370587911</v>
      </c>
      <c r="V31" s="140">
        <f t="shared" si="58"/>
        <v>24915.577271609374</v>
      </c>
      <c r="W31" s="141"/>
      <c r="X31" s="141"/>
      <c r="Y31" s="141"/>
      <c r="Z31" s="141"/>
      <c r="AA31" s="141"/>
      <c r="AB31" s="141"/>
      <c r="AC31" s="100"/>
      <c r="AD31" s="100"/>
      <c r="AE31" s="100"/>
      <c r="AF31" s="100"/>
      <c r="AG31" s="100"/>
      <c r="AH31" s="100"/>
      <c r="AI31" s="100"/>
      <c r="AJ31" s="100"/>
      <c r="AK31" s="100"/>
      <c r="AL31" s="100"/>
      <c r="AM31" s="100"/>
      <c r="AN31" s="100"/>
      <c r="AO31" s="100"/>
      <c r="AP31" s="100"/>
    </row>
    <row r="32" spans="1:42" x14ac:dyDescent="0.2">
      <c r="A32" s="112" t="s">
        <v>185</v>
      </c>
      <c r="B32" s="79" t="s">
        <v>254</v>
      </c>
      <c r="C32" s="100">
        <f>PL!K47</f>
        <v>82543.640850683121</v>
      </c>
      <c r="D32" s="100">
        <f>PL!L47</f>
        <v>125422.59271861181</v>
      </c>
      <c r="E32" s="100">
        <f>PL!M47</f>
        <v>107015.27569274588</v>
      </c>
      <c r="F32" s="100">
        <f>PL!N47</f>
        <v>109503.11195975177</v>
      </c>
      <c r="G32" s="100">
        <f>PL!O47</f>
        <v>100082.58419085346</v>
      </c>
      <c r="H32" s="100">
        <f>PL!P47</f>
        <v>103701.31280092319</v>
      </c>
      <c r="I32" s="100">
        <f>PL!Q47</f>
        <v>115836.21682537267</v>
      </c>
      <c r="J32" s="100">
        <f>PL!R47</f>
        <v>73812.68005770749</v>
      </c>
      <c r="K32" s="100">
        <f>PL!S47</f>
        <v>67705.721421713301</v>
      </c>
      <c r="L32" s="100">
        <f>PL!T47</f>
        <v>64290.527518280389</v>
      </c>
      <c r="M32" s="100">
        <f>PL!U47</f>
        <v>63812.729567023736</v>
      </c>
      <c r="N32" s="248">
        <f>PL!V47</f>
        <v>71893.163624242996</v>
      </c>
      <c r="O32" s="248">
        <f>PL!W47</f>
        <v>71503.856638060795</v>
      </c>
      <c r="P32" s="248">
        <f>PL!X47</f>
        <v>68021.391371885038</v>
      </c>
      <c r="Q32" s="248">
        <f>PL!Y47</f>
        <v>74384.335756773944</v>
      </c>
      <c r="R32" s="248">
        <f>PL!Z47</f>
        <v>74663.565571423242</v>
      </c>
      <c r="S32" s="248">
        <f>PL!AA47</f>
        <v>77500.392569393793</v>
      </c>
      <c r="T32" s="248">
        <f>PL!AB47</f>
        <v>58607.422801911758</v>
      </c>
      <c r="U32" s="248">
        <f>PL!AC47</f>
        <v>68834.017960199621</v>
      </c>
      <c r="V32" s="140">
        <f>PL!AD47</f>
        <v>98303.846617431671</v>
      </c>
      <c r="W32" s="141"/>
      <c r="X32" s="141"/>
      <c r="Y32" s="141"/>
      <c r="Z32" s="141"/>
      <c r="AA32" s="141"/>
      <c r="AB32" s="141"/>
      <c r="AC32" s="100"/>
      <c r="AD32" s="100"/>
      <c r="AE32" s="100"/>
      <c r="AF32" s="100"/>
      <c r="AG32" s="100"/>
      <c r="AH32" s="100"/>
      <c r="AI32" s="100"/>
      <c r="AJ32" s="100"/>
      <c r="AK32" s="100"/>
      <c r="AL32" s="100"/>
      <c r="AM32" s="100"/>
      <c r="AN32" s="100"/>
      <c r="AO32" s="100"/>
      <c r="AP32" s="100"/>
    </row>
    <row r="33" spans="1:42" x14ac:dyDescent="0.2">
      <c r="A33" s="112" t="s">
        <v>381</v>
      </c>
      <c r="B33" s="79" t="s">
        <v>117</v>
      </c>
      <c r="C33" s="101">
        <f t="shared" ref="C33:V33" si="62">+C32/C5*100</f>
        <v>76.692401185049249</v>
      </c>
      <c r="D33" s="101">
        <f t="shared" si="62"/>
        <v>81.738400863352268</v>
      </c>
      <c r="E33" s="101">
        <f t="shared" si="62"/>
        <v>87.215485837500523</v>
      </c>
      <c r="F33" s="101">
        <f t="shared" si="62"/>
        <v>81.328019095278108</v>
      </c>
      <c r="G33" s="101">
        <f t="shared" si="62"/>
        <v>81.907241857791362</v>
      </c>
      <c r="H33" s="101">
        <f t="shared" si="62"/>
        <v>88.544399434202347</v>
      </c>
      <c r="I33" s="101">
        <f t="shared" si="62"/>
        <v>89.971927132063627</v>
      </c>
      <c r="J33" s="101">
        <f t="shared" si="62"/>
        <v>82.628727013706055</v>
      </c>
      <c r="K33" s="101">
        <f t="shared" si="62"/>
        <v>87.459413109187338</v>
      </c>
      <c r="L33" s="101">
        <f>+L32/L5*100</f>
        <v>87.827453483642444</v>
      </c>
      <c r="M33" s="101">
        <f>+M32/M5*100</f>
        <v>89.706061508739936</v>
      </c>
      <c r="N33" s="246">
        <f>+N32/N5*100</f>
        <v>89.300742329543525</v>
      </c>
      <c r="O33" s="246">
        <f>+O32/O5*100</f>
        <v>88.485001933547082</v>
      </c>
      <c r="P33" s="246">
        <f>+P32/P5*100</f>
        <v>89.727773880208133</v>
      </c>
      <c r="Q33" s="246">
        <f t="shared" ref="Q33:R33" si="63">+Q32/Q5*100</f>
        <v>87.025916941073476</v>
      </c>
      <c r="R33" s="246">
        <f t="shared" si="63"/>
        <v>85.864525855008608</v>
      </c>
      <c r="S33" s="246">
        <f t="shared" ref="S33:T33" si="64">+S32/S5*100</f>
        <v>87.698849060504529</v>
      </c>
      <c r="T33" s="246">
        <f t="shared" si="64"/>
        <v>87.90546677751918</v>
      </c>
      <c r="U33" s="246">
        <f t="shared" ref="U33" si="65">+U32/U5*100</f>
        <v>86.358244367867655</v>
      </c>
      <c r="V33" s="142">
        <f t="shared" si="62"/>
        <v>92.127761306959201</v>
      </c>
      <c r="W33" s="143"/>
      <c r="X33" s="143"/>
      <c r="Y33" s="143"/>
      <c r="Z33" s="143"/>
      <c r="AA33" s="143"/>
      <c r="AB33" s="143"/>
      <c r="AC33" s="101"/>
      <c r="AD33" s="101"/>
      <c r="AE33" s="101"/>
      <c r="AF33" s="101"/>
      <c r="AG33" s="101"/>
      <c r="AH33" s="101"/>
      <c r="AI33" s="101"/>
      <c r="AJ33" s="101"/>
      <c r="AK33" s="101"/>
      <c r="AL33" s="101"/>
      <c r="AM33" s="101"/>
      <c r="AN33" s="101"/>
      <c r="AO33" s="101"/>
      <c r="AP33" s="101"/>
    </row>
    <row r="34" spans="1:42" x14ac:dyDescent="0.2">
      <c r="A34" s="112" t="s">
        <v>351</v>
      </c>
      <c r="B34" s="79" t="s">
        <v>175</v>
      </c>
      <c r="C34" s="103">
        <f t="shared" ref="C34:V34" si="66">+C8/C32*100</f>
        <v>22.10972769235093</v>
      </c>
      <c r="D34" s="103">
        <f>+D8/D32*100</f>
        <v>18.848775144305389</v>
      </c>
      <c r="E34" s="103">
        <f t="shared" si="66"/>
        <v>20.774733148035704</v>
      </c>
      <c r="F34" s="103">
        <f t="shared" si="66"/>
        <v>21.920491181448483</v>
      </c>
      <c r="G34" s="103">
        <f t="shared" si="66"/>
        <v>22.587506156667484</v>
      </c>
      <c r="H34" s="103">
        <f t="shared" si="66"/>
        <v>20.57550474013868</v>
      </c>
      <c r="I34" s="103">
        <f t="shared" si="66"/>
        <v>18.520114260606579</v>
      </c>
      <c r="J34" s="103">
        <f t="shared" si="66"/>
        <v>22.943469670583642</v>
      </c>
      <c r="K34" s="103">
        <f t="shared" si="66"/>
        <v>23.124190461432541</v>
      </c>
      <c r="L34" s="103">
        <f>+L8/L32*100</f>
        <v>23.77550911028931</v>
      </c>
      <c r="M34" s="103">
        <f>+M8/M32*100</f>
        <v>20.704179444069833</v>
      </c>
      <c r="N34" s="249">
        <f>+N8/N32*100</f>
        <v>18.947027997560568</v>
      </c>
      <c r="O34" s="249">
        <f>+O8/O32*100</f>
        <v>21.274028666156646</v>
      </c>
      <c r="P34" s="249">
        <f>+P8/P32*100</f>
        <v>19.600311687076317</v>
      </c>
      <c r="Q34" s="249">
        <f t="shared" ref="Q34:R34" si="67">+Q8/Q32*100</f>
        <v>21.021850885852263</v>
      </c>
      <c r="R34" s="249">
        <f t="shared" si="67"/>
        <v>22.057103833266638</v>
      </c>
      <c r="S34" s="249">
        <f t="shared" ref="S34:T34" si="68">+S8/S32*100</f>
        <v>20.549785798502327</v>
      </c>
      <c r="T34" s="249">
        <f t="shared" si="68"/>
        <v>23.318732348892173</v>
      </c>
      <c r="U34" s="249">
        <f t="shared" ref="U34" si="69">+U8/U32*100</f>
        <v>18.0466978382102</v>
      </c>
      <c r="V34" s="146">
        <f t="shared" si="66"/>
        <v>15.110685197584573</v>
      </c>
      <c r="W34" s="147"/>
      <c r="X34" s="147"/>
      <c r="Y34" s="147"/>
      <c r="Z34" s="147"/>
      <c r="AA34" s="147"/>
      <c r="AB34" s="147"/>
      <c r="AC34" s="103"/>
      <c r="AD34" s="103"/>
      <c r="AE34" s="103"/>
      <c r="AF34" s="103"/>
      <c r="AG34" s="103"/>
      <c r="AH34" s="103"/>
      <c r="AI34" s="103"/>
      <c r="AJ34" s="103"/>
      <c r="AK34" s="103"/>
      <c r="AL34" s="103"/>
      <c r="AM34" s="103"/>
      <c r="AN34" s="103"/>
      <c r="AO34" s="103"/>
      <c r="AP34" s="103"/>
    </row>
    <row r="35" spans="1:42" ht="12.6" thickBot="1" x14ac:dyDescent="0.25">
      <c r="A35" s="148" t="s">
        <v>382</v>
      </c>
      <c r="B35" s="149" t="s">
        <v>254</v>
      </c>
      <c r="C35" s="150">
        <f t="shared" ref="C35:V35" si="70">+C32/C14</f>
        <v>14958.934150612085</v>
      </c>
      <c r="D35" s="150">
        <f>+D32/D14</f>
        <v>18195.978228394022</v>
      </c>
      <c r="E35" s="150">
        <f t="shared" si="70"/>
        <v>16422.258214579379</v>
      </c>
      <c r="F35" s="150">
        <f t="shared" si="70"/>
        <v>15523.822077314582</v>
      </c>
      <c r="G35" s="150">
        <f t="shared" si="70"/>
        <v>13301.054323068493</v>
      </c>
      <c r="H35" s="150">
        <f t="shared" si="70"/>
        <v>16063.852423888458</v>
      </c>
      <c r="I35" s="150">
        <f t="shared" si="70"/>
        <v>17844.858948277051</v>
      </c>
      <c r="J35" s="150">
        <f t="shared" si="70"/>
        <v>15144.557386156024</v>
      </c>
      <c r="K35" s="150">
        <f t="shared" si="70"/>
        <v>15169.252541524467</v>
      </c>
      <c r="L35" s="150">
        <f>+L32/L14</f>
        <v>13626.877014219142</v>
      </c>
      <c r="M35" s="150">
        <f>+M32/M14</f>
        <v>14273.415171295048</v>
      </c>
      <c r="N35" s="250">
        <f>+N32/N14</f>
        <v>16431.437868927587</v>
      </c>
      <c r="O35" s="250">
        <f>+O32/O14</f>
        <v>15427.191650766361</v>
      </c>
      <c r="P35" s="250">
        <f>+P32/P14</f>
        <v>15788.925568049452</v>
      </c>
      <c r="Q35" s="250">
        <f t="shared" ref="Q35:R35" si="71">+Q32/Q14</f>
        <v>15635.192478657609</v>
      </c>
      <c r="R35" s="250">
        <f t="shared" si="71"/>
        <v>16147.601726141795</v>
      </c>
      <c r="S35" s="250">
        <f t="shared" ref="S35:T35" si="72">+S32/S14</f>
        <v>16046.865704098111</v>
      </c>
      <c r="T35" s="250">
        <f t="shared" si="72"/>
        <v>14426.255999221872</v>
      </c>
      <c r="U35" s="250">
        <f t="shared" ref="U35" si="73">+U32/U14</f>
        <v>17294.492676406935</v>
      </c>
      <c r="V35" s="151">
        <f t="shared" si="70"/>
        <v>22954.163557039261</v>
      </c>
      <c r="W35" s="152"/>
      <c r="X35" s="152"/>
      <c r="Y35" s="152"/>
      <c r="Z35" s="152"/>
      <c r="AA35" s="152"/>
      <c r="AB35" s="152"/>
      <c r="AC35" s="92"/>
      <c r="AD35" s="92"/>
      <c r="AE35" s="92"/>
      <c r="AF35" s="92"/>
      <c r="AG35" s="92"/>
      <c r="AH35" s="92"/>
      <c r="AI35" s="92"/>
      <c r="AJ35" s="92"/>
      <c r="AK35" s="92"/>
      <c r="AL35" s="92"/>
      <c r="AM35" s="92"/>
      <c r="AN35" s="92"/>
      <c r="AO35" s="92"/>
      <c r="AP35" s="92"/>
    </row>
    <row r="36" spans="1:42"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2"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2"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2"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2"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2"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2"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2"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2"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2"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2"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2"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2"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583</v>
      </c>
    </row>
  </sheetData>
  <sheetProtection algorithmName="SHA-512" hashValue="O0zM7inK05wqUwWonacZVg4ITnrMa7nPlE60RbF1LA81e+PTGGCHO9olLCrDafi+QPDcdOhrp5cZciFb712+/g==" saltValue="GczpqPPtE+biOByNN0+ouQ=="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Y82"/>
  <sheetViews>
    <sheetView zoomScaleNormal="100" workbookViewId="0">
      <pane xSplit="3" ySplit="4" topLeftCell="D5" activePane="bottomRight" state="frozen"/>
      <selection pane="topRight" activeCell="D1" sqref="D1"/>
      <selection pane="bottomLeft" activeCell="A5" sqref="A5"/>
      <selection pane="bottomRight" activeCell="B3" sqref="B3:B4"/>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 min="99" max="99" width="1.44140625" customWidth="1"/>
    <col min="100" max="100" width="10.21875" style="26" customWidth="1"/>
    <col min="101" max="101" width="2.88671875" customWidth="1"/>
    <col min="102" max="102" width="4.33203125" customWidth="1"/>
    <col min="103" max="103" width="8.21875" customWidth="1"/>
  </cols>
  <sheetData>
    <row r="1" spans="1:103"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row>
    <row r="2" spans="1:103" ht="19.5" customHeight="1" x14ac:dyDescent="0.2">
      <c r="B2" s="104" t="str">
        <f>BS!A2</f>
        <v>６９　不動産賃貸業・管理業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row>
    <row r="3" spans="1:103"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c r="CU3" s="316" t="s">
        <v>107</v>
      </c>
      <c r="CV3" s="317"/>
      <c r="CW3" s="317"/>
      <c r="CX3" s="317"/>
      <c r="CY3" s="318"/>
    </row>
    <row r="4" spans="1:103"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578</v>
      </c>
      <c r="CL4" s="319"/>
      <c r="CM4" s="319"/>
      <c r="CN4" s="319"/>
      <c r="CO4" s="319"/>
      <c r="CP4" s="319" t="s">
        <v>580</v>
      </c>
      <c r="CQ4" s="319"/>
      <c r="CR4" s="319"/>
      <c r="CS4" s="319"/>
      <c r="CT4" s="319"/>
      <c r="CU4" s="319" t="s">
        <v>584</v>
      </c>
      <c r="CV4" s="319"/>
      <c r="CW4" s="319"/>
      <c r="CX4" s="319"/>
      <c r="CY4" s="319"/>
    </row>
    <row r="5" spans="1:103"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c r="CU5" s="7"/>
      <c r="CV5" s="7"/>
      <c r="CW5" s="7"/>
      <c r="CX5" s="7"/>
      <c r="CY5" s="8"/>
    </row>
    <row r="6" spans="1:103" ht="18" customHeight="1" x14ac:dyDescent="0.2">
      <c r="A6" s="9"/>
      <c r="B6" s="320" t="s">
        <v>109</v>
      </c>
      <c r="C6" s="322" t="s">
        <v>110</v>
      </c>
      <c r="D6" s="304"/>
      <c r="E6" s="10">
        <f>+PL!K38</f>
        <v>-1035.9054237335502</v>
      </c>
      <c r="F6" s="306" t="s">
        <v>111</v>
      </c>
      <c r="G6" s="308">
        <v>100</v>
      </c>
      <c r="H6" s="310">
        <f>IF(E7=0,"-",(E6/E7)*G6)</f>
        <v>-0.18866647214376084</v>
      </c>
      <c r="I6" s="304"/>
      <c r="J6" s="10">
        <f>+PL!L38</f>
        <v>9664.3684747765983</v>
      </c>
      <c r="K6" s="306" t="s">
        <v>111</v>
      </c>
      <c r="L6" s="308">
        <v>100</v>
      </c>
      <c r="M6" s="310">
        <f>IF(J7=0,"-",(J6/J7)*L6)</f>
        <v>1.3723850947140459</v>
      </c>
      <c r="N6" s="304"/>
      <c r="O6" s="10">
        <f>+PL!M38</f>
        <v>7013.6152175468096</v>
      </c>
      <c r="P6" s="306" t="s">
        <v>111</v>
      </c>
      <c r="Q6" s="308">
        <v>100</v>
      </c>
      <c r="R6" s="310">
        <f>IF(O7=0,"-",(O6/O7)*Q6)</f>
        <v>1.4153415308560782</v>
      </c>
      <c r="S6" s="304"/>
      <c r="T6" s="10">
        <f>+PL!N38</f>
        <v>8975.2023353557433</v>
      </c>
      <c r="U6" s="306" t="s">
        <v>111</v>
      </c>
      <c r="V6" s="308">
        <v>100</v>
      </c>
      <c r="W6" s="310">
        <f>IF(T7=0,"-",(T6/T7)*V6)</f>
        <v>1.7069430449835739</v>
      </c>
      <c r="X6" s="304"/>
      <c r="Y6" s="10">
        <f>+PL!O38</f>
        <v>6873.5860034603693</v>
      </c>
      <c r="Z6" s="306" t="s">
        <v>111</v>
      </c>
      <c r="AA6" s="308">
        <v>100</v>
      </c>
      <c r="AB6" s="310">
        <f>IF(Y7=0,"-",(Y6/Y7)*AA6)</f>
        <v>1.478509138491501</v>
      </c>
      <c r="AC6" s="304"/>
      <c r="AD6" s="10">
        <f>+PL!P38</f>
        <v>5555.1287500916715</v>
      </c>
      <c r="AE6" s="306" t="s">
        <v>111</v>
      </c>
      <c r="AF6" s="308">
        <v>100</v>
      </c>
      <c r="AG6" s="310">
        <f>IF(AD7=0,"-",(AD6/AD7)*AF6)</f>
        <v>1.1165356310971561</v>
      </c>
      <c r="AH6" s="304"/>
      <c r="AI6" s="10">
        <f>+PL!Q38</f>
        <v>7039.4107982695805</v>
      </c>
      <c r="AJ6" s="306" t="s">
        <v>111</v>
      </c>
      <c r="AK6" s="308">
        <v>100</v>
      </c>
      <c r="AL6" s="310">
        <f>IF(AI7=0,"-",(AI6/AI7)*AK6)</f>
        <v>1.2166658077546419</v>
      </c>
      <c r="AM6" s="304"/>
      <c r="AN6" s="10">
        <f>+PL!R38</f>
        <v>2019.5983507122737</v>
      </c>
      <c r="AO6" s="306" t="s">
        <v>112</v>
      </c>
      <c r="AP6" s="308">
        <v>100</v>
      </c>
      <c r="AQ6" s="310">
        <f>IF(AN7=0,"-",(AN6/AN7)*AP6)</f>
        <v>0.47684243602839538</v>
      </c>
      <c r="AR6" s="304"/>
      <c r="AS6" s="10">
        <f>+PL!S38</f>
        <v>-1063.9032941263251</v>
      </c>
      <c r="AT6" s="306" t="s">
        <v>111</v>
      </c>
      <c r="AU6" s="308">
        <v>100</v>
      </c>
      <c r="AV6" s="310">
        <f>IF(AS7=0,"-",(AS6/AS7)*AU6)</f>
        <v>-0.29207373988536822</v>
      </c>
      <c r="AW6" s="304"/>
      <c r="AX6" s="10">
        <f>+PL!T38</f>
        <v>3538.5080804681147</v>
      </c>
      <c r="AY6" s="306" t="s">
        <v>111</v>
      </c>
      <c r="AZ6" s="308">
        <v>100</v>
      </c>
      <c r="BA6" s="310">
        <f>IF(AX7=0,"-",(AX6/AX7)*AZ6)</f>
        <v>1.1159369994366386</v>
      </c>
      <c r="BB6" s="304"/>
      <c r="BC6" s="10">
        <f>+PL!U38</f>
        <v>6911.1328719467328</v>
      </c>
      <c r="BD6" s="306" t="s">
        <v>111</v>
      </c>
      <c r="BE6" s="308">
        <v>100</v>
      </c>
      <c r="BF6" s="310">
        <f>IF(BC7=0,"-",(BC6/BC7)*BE6)</f>
        <v>1.8608594952133</v>
      </c>
      <c r="BG6" s="304"/>
      <c r="BH6" s="10">
        <f>+PL!V38</f>
        <v>26751.913530238588</v>
      </c>
      <c r="BI6" s="306" t="s">
        <v>111</v>
      </c>
      <c r="BJ6" s="308">
        <v>100</v>
      </c>
      <c r="BK6" s="310">
        <f>IF(BH7=0,"-",(BH6/BH7)*BJ6)</f>
        <v>5.2251373222796413</v>
      </c>
      <c r="BL6" s="304"/>
      <c r="BM6" s="10">
        <f>+PL!W38</f>
        <v>7625.401144384532</v>
      </c>
      <c r="BN6" s="306" t="s">
        <v>111</v>
      </c>
      <c r="BO6" s="308">
        <v>100</v>
      </c>
      <c r="BP6" s="310">
        <f>IF(BM7=0,"-",(BM6/BM7)*BO6)</f>
        <v>1.7235011652300414</v>
      </c>
      <c r="BQ6" s="304"/>
      <c r="BR6" s="10">
        <f>+PL!X38</f>
        <v>7120.7384743157536</v>
      </c>
      <c r="BS6" s="306" t="s">
        <v>111</v>
      </c>
      <c r="BT6" s="308">
        <v>100</v>
      </c>
      <c r="BU6" s="310">
        <f>IF(BR7=0,"-",(BR6/BR7)*BT6)</f>
        <v>1.8467900358935845</v>
      </c>
      <c r="BV6" s="304"/>
      <c r="BW6" s="10">
        <f>+PL!Y38</f>
        <v>7131.9435089397302</v>
      </c>
      <c r="BX6" s="306" t="s">
        <v>111</v>
      </c>
      <c r="BY6" s="308">
        <v>100</v>
      </c>
      <c r="BZ6" s="310">
        <f>IF(BW7=0,"-",(BW6/BW7)*BY6)</f>
        <v>1.4628481065666366</v>
      </c>
      <c r="CA6" s="304"/>
      <c r="CB6" s="10">
        <f>+PL!Z38</f>
        <v>27532.113608426331</v>
      </c>
      <c r="CC6" s="306" t="s">
        <v>111</v>
      </c>
      <c r="CD6" s="308">
        <v>100</v>
      </c>
      <c r="CE6" s="310">
        <f>IF(CB7=0,"-",(CB6/CB7)*CD6)</f>
        <v>6.1147171864281971</v>
      </c>
      <c r="CF6" s="304"/>
      <c r="CG6" s="10">
        <f>+PL!AA38</f>
        <v>8313.4968295508188</v>
      </c>
      <c r="CH6" s="306" t="s">
        <v>111</v>
      </c>
      <c r="CI6" s="308">
        <v>100</v>
      </c>
      <c r="CJ6" s="310">
        <f>IF(CG7=0,"-",(CG6/CG7)*CI6)</f>
        <v>1.7943805327287061</v>
      </c>
      <c r="CK6" s="304"/>
      <c r="CL6" s="10">
        <f>+PL!AB38</f>
        <v>5840.4715681724092</v>
      </c>
      <c r="CM6" s="306" t="s">
        <v>111</v>
      </c>
      <c r="CN6" s="308">
        <v>100</v>
      </c>
      <c r="CO6" s="310">
        <f>IF(CL7=0,"-",(CL6/CL7)*CN6)</f>
        <v>1.1551116870795934</v>
      </c>
      <c r="CP6" s="304"/>
      <c r="CQ6" s="10">
        <f>+PL!AC38</f>
        <v>-24599.084115228343</v>
      </c>
      <c r="CR6" s="306" t="s">
        <v>111</v>
      </c>
      <c r="CS6" s="308">
        <v>100</v>
      </c>
      <c r="CT6" s="310">
        <f>IF(CQ7=0,"-",(CQ6/CQ7)*CS6)</f>
        <v>-5.8383974536078425</v>
      </c>
      <c r="CU6" s="304"/>
      <c r="CV6" s="10">
        <f>+PL!AD38</f>
        <v>13665.694873952198</v>
      </c>
      <c r="CW6" s="306" t="s">
        <v>111</v>
      </c>
      <c r="CX6" s="308">
        <v>100</v>
      </c>
      <c r="CY6" s="310">
        <f>IF(CV7=0,"-",(CV6/CV7)*CX6)</f>
        <v>2.2560249583855616</v>
      </c>
    </row>
    <row r="7" spans="1:103" ht="18" customHeight="1" x14ac:dyDescent="0.2">
      <c r="A7" s="11"/>
      <c r="B7" s="321"/>
      <c r="C7" s="323"/>
      <c r="D7" s="305"/>
      <c r="E7" s="12">
        <f>+BS!K8</f>
        <v>549067.04512087698</v>
      </c>
      <c r="F7" s="307"/>
      <c r="G7" s="309"/>
      <c r="H7" s="311"/>
      <c r="I7" s="305"/>
      <c r="J7" s="12">
        <f>+BS!L8</f>
        <v>704202.37818090653</v>
      </c>
      <c r="K7" s="307"/>
      <c r="L7" s="309"/>
      <c r="M7" s="311"/>
      <c r="N7" s="305"/>
      <c r="O7" s="12">
        <f>+BS!M8</f>
        <v>495542.24649258901</v>
      </c>
      <c r="P7" s="307"/>
      <c r="Q7" s="309"/>
      <c r="R7" s="311"/>
      <c r="S7" s="305"/>
      <c r="T7" s="12">
        <f>+BS!N8</f>
        <v>525805.61265546584</v>
      </c>
      <c r="U7" s="307"/>
      <c r="V7" s="309"/>
      <c r="W7" s="311"/>
      <c r="X7" s="305"/>
      <c r="Y7" s="12">
        <f>+BS!O8</f>
        <v>464899.79835183016</v>
      </c>
      <c r="Z7" s="307"/>
      <c r="AA7" s="309"/>
      <c r="AB7" s="311"/>
      <c r="AC7" s="305"/>
      <c r="AD7" s="12">
        <f>+BS!P8</f>
        <v>497532.59953137022</v>
      </c>
      <c r="AE7" s="307"/>
      <c r="AF7" s="309"/>
      <c r="AG7" s="311"/>
      <c r="AH7" s="305"/>
      <c r="AI7" s="12">
        <f>+BS!Q8</f>
        <v>578582.11789980531</v>
      </c>
      <c r="AJ7" s="307"/>
      <c r="AK7" s="309"/>
      <c r="AL7" s="311"/>
      <c r="AM7" s="305"/>
      <c r="AN7" s="12">
        <f>+BS!R8</f>
        <v>423535.78417504957</v>
      </c>
      <c r="AO7" s="307"/>
      <c r="AP7" s="309"/>
      <c r="AQ7" s="311"/>
      <c r="AR7" s="305"/>
      <c r="AS7" s="12">
        <f>+BS!S8</f>
        <v>364258.45560230134</v>
      </c>
      <c r="AT7" s="307"/>
      <c r="AU7" s="309"/>
      <c r="AV7" s="311"/>
      <c r="AW7" s="305"/>
      <c r="AX7" s="12">
        <f>+BS!T8</f>
        <v>317088.5168476777</v>
      </c>
      <c r="AY7" s="307"/>
      <c r="AZ7" s="309"/>
      <c r="BA7" s="311"/>
      <c r="BB7" s="305"/>
      <c r="BC7" s="12">
        <f>+BS!U8</f>
        <v>371394.66411753715</v>
      </c>
      <c r="BD7" s="307"/>
      <c r="BE7" s="309"/>
      <c r="BF7" s="311"/>
      <c r="BG7" s="305"/>
      <c r="BH7" s="12">
        <f>+BS!V8</f>
        <v>511984.88920415915</v>
      </c>
      <c r="BI7" s="307"/>
      <c r="BJ7" s="309"/>
      <c r="BK7" s="311"/>
      <c r="BL7" s="305"/>
      <c r="BM7" s="12">
        <f>+BS!W8</f>
        <v>442436.66892831749</v>
      </c>
      <c r="BN7" s="307"/>
      <c r="BO7" s="309"/>
      <c r="BP7" s="311"/>
      <c r="BQ7" s="305"/>
      <c r="BR7" s="12">
        <f>+BS!X8</f>
        <v>385573.79755789757</v>
      </c>
      <c r="BS7" s="307"/>
      <c r="BT7" s="309"/>
      <c r="BU7" s="311"/>
      <c r="BV7" s="305"/>
      <c r="BW7" s="12">
        <f>+BS!Y8</f>
        <v>487538.21240393096</v>
      </c>
      <c r="BX7" s="307"/>
      <c r="BY7" s="309"/>
      <c r="BZ7" s="311"/>
      <c r="CA7" s="305"/>
      <c r="CB7" s="12">
        <f>+BS!Z8</f>
        <v>450259.80383090657</v>
      </c>
      <c r="CC7" s="307"/>
      <c r="CD7" s="309"/>
      <c r="CE7" s="311"/>
      <c r="CF7" s="305"/>
      <c r="CG7" s="12">
        <f>+BS!AA8</f>
        <v>463307.34634690464</v>
      </c>
      <c r="CH7" s="307"/>
      <c r="CI7" s="309"/>
      <c r="CJ7" s="311"/>
      <c r="CK7" s="305"/>
      <c r="CL7" s="12">
        <f>+BS!AB8</f>
        <v>505619.64124339854</v>
      </c>
      <c r="CM7" s="307"/>
      <c r="CN7" s="309"/>
      <c r="CO7" s="311"/>
      <c r="CP7" s="305"/>
      <c r="CQ7" s="12">
        <f>+BS!AC8</f>
        <v>421332.81111287343</v>
      </c>
      <c r="CR7" s="307"/>
      <c r="CS7" s="309"/>
      <c r="CT7" s="311"/>
      <c r="CU7" s="305"/>
      <c r="CV7" s="12">
        <f>+BS!AD8</f>
        <v>605742.18486179924</v>
      </c>
      <c r="CW7" s="307"/>
      <c r="CX7" s="309"/>
      <c r="CY7" s="311"/>
    </row>
    <row r="8" spans="1:103" ht="18" customHeight="1" x14ac:dyDescent="0.2">
      <c r="A8" s="11"/>
      <c r="B8" s="320" t="s">
        <v>113</v>
      </c>
      <c r="C8" s="322" t="s">
        <v>110</v>
      </c>
      <c r="D8" s="304"/>
      <c r="E8" s="10">
        <f>+E6</f>
        <v>-1035.9054237335502</v>
      </c>
      <c r="F8" s="306" t="s">
        <v>114</v>
      </c>
      <c r="G8" s="308">
        <v>100</v>
      </c>
      <c r="H8" s="310">
        <f>IF(E9=0,"-",(E8/E9)*G8)</f>
        <v>-1.3411147409462814</v>
      </c>
      <c r="I8" s="304"/>
      <c r="J8" s="10">
        <f>+J6</f>
        <v>9664.3684747765983</v>
      </c>
      <c r="K8" s="306" t="s">
        <v>111</v>
      </c>
      <c r="L8" s="308">
        <v>100</v>
      </c>
      <c r="M8" s="310">
        <f>IF(J9=0,"-",(J8/J9)*L8)</f>
        <v>9.9242278798150174</v>
      </c>
      <c r="N8" s="304"/>
      <c r="O8" s="10">
        <f>+O6</f>
        <v>7013.6152175468096</v>
      </c>
      <c r="P8" s="306" t="s">
        <v>111</v>
      </c>
      <c r="Q8" s="308">
        <v>100</v>
      </c>
      <c r="R8" s="310">
        <f>IF(O9=0,"-",(O8/O9)*Q8)</f>
        <v>6.4900479522296735</v>
      </c>
      <c r="S8" s="304"/>
      <c r="T8" s="10">
        <f>+T6</f>
        <v>8975.2023353557433</v>
      </c>
      <c r="U8" s="306" t="s">
        <v>111</v>
      </c>
      <c r="V8" s="308">
        <v>100</v>
      </c>
      <c r="W8" s="310">
        <f>IF(T9=0,"-",(T8/T9)*V8)</f>
        <v>8.2022199915672509</v>
      </c>
      <c r="X8" s="304"/>
      <c r="Y8" s="10">
        <f>+Y6</f>
        <v>6873.5860034603693</v>
      </c>
      <c r="Z8" s="306" t="s">
        <v>111</v>
      </c>
      <c r="AA8" s="308">
        <v>100</v>
      </c>
      <c r="AB8" s="310">
        <f>IF(Y9=0,"-",(Y8/Y9)*AA8)</f>
        <v>5.0153208065649224</v>
      </c>
      <c r="AC8" s="304"/>
      <c r="AD8" s="10">
        <f>+AD6</f>
        <v>5555.1287500916715</v>
      </c>
      <c r="AE8" s="306" t="s">
        <v>111</v>
      </c>
      <c r="AF8" s="308">
        <v>100</v>
      </c>
      <c r="AG8" s="310">
        <f>IF(AD9=0,"-",(AD8/AD9)*AF8)</f>
        <v>3.5346957321534416</v>
      </c>
      <c r="AH8" s="304"/>
      <c r="AI8" s="10">
        <f>+AI6</f>
        <v>7039.4107982695805</v>
      </c>
      <c r="AJ8" s="306" t="s">
        <v>114</v>
      </c>
      <c r="AK8" s="308">
        <v>100</v>
      </c>
      <c r="AL8" s="310">
        <f>IF(AI9=0,"-",(AI8/AI9)*AK8)</f>
        <v>4.299679527611894</v>
      </c>
      <c r="AM8" s="304"/>
      <c r="AN8" s="10">
        <f>+AN6</f>
        <v>2019.5983507122737</v>
      </c>
      <c r="AO8" s="306" t="s">
        <v>114</v>
      </c>
      <c r="AP8" s="308">
        <v>100</v>
      </c>
      <c r="AQ8" s="310">
        <f>IF(AN9=0,"-",(AN8/AN9)*AP8)</f>
        <v>1.6957270876057942</v>
      </c>
      <c r="AR8" s="304"/>
      <c r="AS8" s="10">
        <f>+AS6</f>
        <v>-1063.9032941263251</v>
      </c>
      <c r="AT8" s="306" t="s">
        <v>111</v>
      </c>
      <c r="AU8" s="308">
        <v>100</v>
      </c>
      <c r="AV8" s="310">
        <f>IF(AS9=0,"-",(AS8/AS9)*AU8)</f>
        <v>-0.7624952910697198</v>
      </c>
      <c r="AW8" s="304"/>
      <c r="AX8" s="10">
        <f>+AX6</f>
        <v>3538.5080804681147</v>
      </c>
      <c r="AY8" s="306" t="s">
        <v>111</v>
      </c>
      <c r="AZ8" s="308">
        <v>100</v>
      </c>
      <c r="BA8" s="310">
        <f>IF(AX9=0,"-",(AX8/AX9)*AZ8)</f>
        <v>3.8168527128945535</v>
      </c>
      <c r="BB8" s="304"/>
      <c r="BC8" s="10">
        <f>+BC6</f>
        <v>6911.1328719467328</v>
      </c>
      <c r="BD8" s="306" t="s">
        <v>111</v>
      </c>
      <c r="BE8" s="308">
        <v>100</v>
      </c>
      <c r="BF8" s="310">
        <f>IF(BC9=0,"-",(BC8/BC9)*BE8)</f>
        <v>4.9628264234943753</v>
      </c>
      <c r="BG8" s="304"/>
      <c r="BH8" s="10">
        <f>+BH6</f>
        <v>26751.913530238588</v>
      </c>
      <c r="BI8" s="306" t="s">
        <v>111</v>
      </c>
      <c r="BJ8" s="308">
        <v>100</v>
      </c>
      <c r="BK8" s="310">
        <f>IF(BH9=0,"-",(BH8/BH9)*BJ8)</f>
        <v>11.024365848562992</v>
      </c>
      <c r="BL8" s="304"/>
      <c r="BM8" s="10">
        <f>+BM6</f>
        <v>7625.401144384532</v>
      </c>
      <c r="BN8" s="306" t="s">
        <v>111</v>
      </c>
      <c r="BO8" s="308">
        <v>100</v>
      </c>
      <c r="BP8" s="310">
        <f>IF(BM9=0,"-",(BM8/BM9)*BO8)</f>
        <v>3.866246811028025</v>
      </c>
      <c r="BQ8" s="304"/>
      <c r="BR8" s="10">
        <f>+BR6</f>
        <v>7120.7384743157536</v>
      </c>
      <c r="BS8" s="306" t="s">
        <v>111</v>
      </c>
      <c r="BT8" s="308">
        <v>100</v>
      </c>
      <c r="BU8" s="310">
        <f>IF(BR9=0,"-",(BR8/BR9)*BT8)</f>
        <v>5.2204609730833953</v>
      </c>
      <c r="BV8" s="304"/>
      <c r="BW8" s="10">
        <f>+BW6</f>
        <v>7131.9435089397302</v>
      </c>
      <c r="BX8" s="306" t="s">
        <v>111</v>
      </c>
      <c r="BY8" s="308">
        <v>100</v>
      </c>
      <c r="BZ8" s="310">
        <f>IF(BW9=0,"-",(BW8/BW9)*BY8)</f>
        <v>3.4260052185875183</v>
      </c>
      <c r="CA8" s="304"/>
      <c r="CB8" s="10">
        <f>+CB6</f>
        <v>27532.113608426331</v>
      </c>
      <c r="CC8" s="306" t="s">
        <v>111</v>
      </c>
      <c r="CD8" s="308">
        <v>100</v>
      </c>
      <c r="CE8" s="310">
        <f>IF(CB9=0,"-",(CB8/CB9)*CD8)</f>
        <v>13.408605154943073</v>
      </c>
      <c r="CF8" s="304"/>
      <c r="CG8" s="10">
        <f>+CG6</f>
        <v>8313.4968295508188</v>
      </c>
      <c r="CH8" s="306" t="s">
        <v>114</v>
      </c>
      <c r="CI8" s="308">
        <v>100</v>
      </c>
      <c r="CJ8" s="310">
        <f>IF(CG9=0,"-",(CG8/CG9)*CI8)</f>
        <v>4.4869286769186241</v>
      </c>
      <c r="CK8" s="304"/>
      <c r="CL8" s="10">
        <f>+CL6</f>
        <v>5840.4715681724092</v>
      </c>
      <c r="CM8" s="306" t="s">
        <v>111</v>
      </c>
      <c r="CN8" s="308">
        <v>100</v>
      </c>
      <c r="CO8" s="310">
        <f>IF(CL9=0,"-",(CL8/CL9)*CN8)</f>
        <v>3.4363574387920024</v>
      </c>
      <c r="CP8" s="304"/>
      <c r="CQ8" s="10">
        <f>+CQ6</f>
        <v>-24599.084115228343</v>
      </c>
      <c r="CR8" s="306" t="s">
        <v>111</v>
      </c>
      <c r="CS8" s="308">
        <v>100</v>
      </c>
      <c r="CT8" s="310">
        <f>IF(CQ9=0,"-",(CQ8/CQ9)*CS8)</f>
        <v>-13.954509157455758</v>
      </c>
      <c r="CU8" s="304"/>
      <c r="CV8" s="10">
        <f>+CV6</f>
        <v>13665.694873952198</v>
      </c>
      <c r="CW8" s="306" t="s">
        <v>111</v>
      </c>
      <c r="CX8" s="308">
        <v>100</v>
      </c>
      <c r="CY8" s="310">
        <f>IF(CV9=0,"-",(CV8/CV9)*CX8)</f>
        <v>5.8059361968298004</v>
      </c>
    </row>
    <row r="9" spans="1:103" ht="18" customHeight="1" x14ac:dyDescent="0.2">
      <c r="A9" s="11"/>
      <c r="B9" s="321"/>
      <c r="C9" s="323"/>
      <c r="D9" s="305"/>
      <c r="E9" s="12">
        <f>+BS!K43</f>
        <v>77242.117479271197</v>
      </c>
      <c r="F9" s="307"/>
      <c r="G9" s="309"/>
      <c r="H9" s="311"/>
      <c r="I9" s="305"/>
      <c r="J9" s="12">
        <f>+BS!L43</f>
        <v>97381.565516376853</v>
      </c>
      <c r="K9" s="307"/>
      <c r="L9" s="309"/>
      <c r="M9" s="311"/>
      <c r="N9" s="305"/>
      <c r="O9" s="12">
        <f>+BS!M43</f>
        <v>108067.23261786168</v>
      </c>
      <c r="P9" s="307"/>
      <c r="Q9" s="309"/>
      <c r="R9" s="311"/>
      <c r="S9" s="305"/>
      <c r="T9" s="12">
        <f>+BS!N43</f>
        <v>109424.06256578342</v>
      </c>
      <c r="U9" s="307"/>
      <c r="V9" s="309"/>
      <c r="W9" s="311"/>
      <c r="X9" s="305"/>
      <c r="Y9" s="12">
        <f>+BS!O43</f>
        <v>137051.77133361096</v>
      </c>
      <c r="Z9" s="307"/>
      <c r="AA9" s="309"/>
      <c r="AB9" s="311"/>
      <c r="AC9" s="305"/>
      <c r="AD9" s="12">
        <f>+BS!P43</f>
        <v>157160.02652107546</v>
      </c>
      <c r="AE9" s="307"/>
      <c r="AF9" s="309"/>
      <c r="AG9" s="311"/>
      <c r="AH9" s="305"/>
      <c r="AI9" s="12">
        <f>+BS!Q43</f>
        <v>163719.42962408118</v>
      </c>
      <c r="AJ9" s="307"/>
      <c r="AK9" s="309"/>
      <c r="AL9" s="311"/>
      <c r="AM9" s="305"/>
      <c r="AN9" s="12">
        <f>+BS!R43</f>
        <v>119099.25632925727</v>
      </c>
      <c r="AO9" s="307"/>
      <c r="AP9" s="309"/>
      <c r="AQ9" s="311"/>
      <c r="AR9" s="305"/>
      <c r="AS9" s="12">
        <f>+BS!S43</f>
        <v>139529.1625517784</v>
      </c>
      <c r="AT9" s="307"/>
      <c r="AU9" s="309"/>
      <c r="AV9" s="311"/>
      <c r="AW9" s="305"/>
      <c r="AX9" s="12">
        <f>+BS!T43</f>
        <v>92707.483013790363</v>
      </c>
      <c r="AY9" s="307"/>
      <c r="AZ9" s="309"/>
      <c r="BA9" s="311"/>
      <c r="BB9" s="305"/>
      <c r="BC9" s="12">
        <f>+BS!U43</f>
        <v>139258.00102999643</v>
      </c>
      <c r="BD9" s="307"/>
      <c r="BE9" s="309"/>
      <c r="BF9" s="311"/>
      <c r="BG9" s="305"/>
      <c r="BH9" s="12">
        <f>+BS!V43</f>
        <v>242661.69952737604</v>
      </c>
      <c r="BI9" s="307"/>
      <c r="BJ9" s="309"/>
      <c r="BK9" s="311"/>
      <c r="BL9" s="305"/>
      <c r="BM9" s="12">
        <f>+BS!W43</f>
        <v>197230.06618806516</v>
      </c>
      <c r="BN9" s="307"/>
      <c r="BO9" s="309"/>
      <c r="BP9" s="311"/>
      <c r="BQ9" s="305"/>
      <c r="BR9" s="12">
        <f>+BS!X43</f>
        <v>136400.56904993937</v>
      </c>
      <c r="BS9" s="307"/>
      <c r="BT9" s="309"/>
      <c r="BU9" s="311"/>
      <c r="BV9" s="305"/>
      <c r="BW9" s="12">
        <f>+BS!Y43</f>
        <v>208170.8302791233</v>
      </c>
      <c r="BX9" s="307"/>
      <c r="BY9" s="309"/>
      <c r="BZ9" s="311"/>
      <c r="CA9" s="305"/>
      <c r="CB9" s="12">
        <f>+BS!Z43</f>
        <v>205331.6753702501</v>
      </c>
      <c r="CC9" s="307"/>
      <c r="CD9" s="309"/>
      <c r="CE9" s="311"/>
      <c r="CF9" s="305"/>
      <c r="CG9" s="12">
        <f>+BS!AA43</f>
        <v>185282.57140160454</v>
      </c>
      <c r="CH9" s="307"/>
      <c r="CI9" s="309"/>
      <c r="CJ9" s="311"/>
      <c r="CK9" s="305"/>
      <c r="CL9" s="12">
        <f>+BS!AB43</f>
        <v>169961.11935973505</v>
      </c>
      <c r="CM9" s="307"/>
      <c r="CN9" s="309"/>
      <c r="CO9" s="311"/>
      <c r="CP9" s="305"/>
      <c r="CQ9" s="12">
        <f>+BS!AC43</f>
        <v>176280.54012982099</v>
      </c>
      <c r="CR9" s="307"/>
      <c r="CS9" s="309"/>
      <c r="CT9" s="311"/>
      <c r="CU9" s="305"/>
      <c r="CV9" s="12">
        <f>+BS!AD43</f>
        <v>235374.52721946963</v>
      </c>
      <c r="CW9" s="307"/>
      <c r="CX9" s="309"/>
      <c r="CY9" s="311"/>
    </row>
    <row r="10" spans="1:103"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c r="CU10" s="13"/>
      <c r="CV10" s="14"/>
      <c r="CW10" s="13"/>
      <c r="CX10" s="13"/>
      <c r="CY10" s="15"/>
    </row>
    <row r="11" spans="1:103" ht="18" customHeight="1" x14ac:dyDescent="0.2">
      <c r="A11" s="16"/>
      <c r="B11" s="320" t="s">
        <v>116</v>
      </c>
      <c r="C11" s="322" t="s">
        <v>117</v>
      </c>
      <c r="D11" s="304"/>
      <c r="E11" s="10">
        <f>+PL!K41</f>
        <v>70304.905969043306</v>
      </c>
      <c r="F11" s="306" t="s">
        <v>118</v>
      </c>
      <c r="G11" s="308">
        <v>100</v>
      </c>
      <c r="H11" s="310">
        <f>IF(E12=0,"-",(E11/E12)*G11)</f>
        <v>65.321228846793844</v>
      </c>
      <c r="I11" s="304"/>
      <c r="J11" s="10">
        <f>+PL!L41</f>
        <v>89478.98497519744</v>
      </c>
      <c r="K11" s="306" t="s">
        <v>111</v>
      </c>
      <c r="L11" s="308">
        <v>100</v>
      </c>
      <c r="M11" s="310">
        <f>IF(J12=0,"-",(J11/J12)*L11)</f>
        <v>58.313809212646241</v>
      </c>
      <c r="N11" s="304"/>
      <c r="O11" s="10">
        <f>+PL!M41</f>
        <v>77671.456292426679</v>
      </c>
      <c r="P11" s="306" t="s">
        <v>111</v>
      </c>
      <c r="Q11" s="308">
        <v>100</v>
      </c>
      <c r="R11" s="310">
        <f>IF(O12=0,"-",(O11/O12)*Q11)</f>
        <v>63.300811518718284</v>
      </c>
      <c r="S11" s="304"/>
      <c r="T11" s="10">
        <f>+PL!N41</f>
        <v>74643.50668673437</v>
      </c>
      <c r="U11" s="306" t="s">
        <v>111</v>
      </c>
      <c r="V11" s="308">
        <v>100</v>
      </c>
      <c r="W11" s="310">
        <f>IF(T12=0,"-",(T11/T12)*V11)</f>
        <v>55.437771845137377</v>
      </c>
      <c r="X11" s="304"/>
      <c r="Y11" s="10">
        <f>+PL!O41</f>
        <v>75694.690934461323</v>
      </c>
      <c r="Z11" s="306" t="s">
        <v>111</v>
      </c>
      <c r="AA11" s="308">
        <v>100</v>
      </c>
      <c r="AB11" s="310">
        <f>IF(Y12=0,"-",(Y11/Y12)*AA11)</f>
        <v>61.948274096286802</v>
      </c>
      <c r="AC11" s="304"/>
      <c r="AD11" s="10">
        <f>+PL!P41</f>
        <v>72273.20324572087</v>
      </c>
      <c r="AE11" s="306" t="s">
        <v>111</v>
      </c>
      <c r="AF11" s="308">
        <v>100</v>
      </c>
      <c r="AG11" s="310">
        <f>IF(AD12=0,"-",(AD11/AD12)*AF11)</f>
        <v>61.709801001877274</v>
      </c>
      <c r="AH11" s="304"/>
      <c r="AI11" s="10">
        <f>+PL!Q41</f>
        <v>73710.198353025771</v>
      </c>
      <c r="AJ11" s="306" t="s">
        <v>118</v>
      </c>
      <c r="AK11" s="308">
        <v>100</v>
      </c>
      <c r="AL11" s="310">
        <f>IF(AI12=0,"-",(AI11/AI12)*AK11)</f>
        <v>57.251943967629273</v>
      </c>
      <c r="AM11" s="304"/>
      <c r="AN11" s="10">
        <f>+PL!R41</f>
        <v>58188.386442185751</v>
      </c>
      <c r="AO11" s="306" t="s">
        <v>119</v>
      </c>
      <c r="AP11" s="308">
        <v>100</v>
      </c>
      <c r="AQ11" s="310">
        <f>IF(AN12=0,"-",(AN11/AN12)*AP11)</f>
        <v>65.138297308002265</v>
      </c>
      <c r="AR11" s="304"/>
      <c r="AS11" s="10">
        <f>+PL!S41</f>
        <v>51723.019268415694</v>
      </c>
      <c r="AT11" s="306" t="s">
        <v>111</v>
      </c>
      <c r="AU11" s="308">
        <v>100</v>
      </c>
      <c r="AV11" s="310">
        <f>IF(AS12=0,"-",(AS11/AS12)*AU11)</f>
        <v>66.813628367898616</v>
      </c>
      <c r="AW11" s="304"/>
      <c r="AX11" s="10">
        <f>+PL!T41</f>
        <v>50056.988013088725</v>
      </c>
      <c r="AY11" s="306" t="s">
        <v>111</v>
      </c>
      <c r="AZ11" s="308">
        <v>100</v>
      </c>
      <c r="BA11" s="310">
        <f>IF(AX12=0,"-",(AX11/AX12)*AZ11)</f>
        <v>68.382978892197286</v>
      </c>
      <c r="BB11" s="304"/>
      <c r="BC11" s="10">
        <f>+PL!U41</f>
        <v>47809.895176616839</v>
      </c>
      <c r="BD11" s="306" t="s">
        <v>111</v>
      </c>
      <c r="BE11" s="308">
        <v>100</v>
      </c>
      <c r="BF11" s="310">
        <f>IF(BC12=0,"-",(BC11/BC12)*BE11)</f>
        <v>67.209746809770152</v>
      </c>
      <c r="BG11" s="304"/>
      <c r="BH11" s="10">
        <f>+PL!V41</f>
        <v>57397.481323203989</v>
      </c>
      <c r="BI11" s="306" t="s">
        <v>111</v>
      </c>
      <c r="BJ11" s="308">
        <v>100</v>
      </c>
      <c r="BK11" s="310">
        <f>IF(BH12=0,"-",(BH11/BH12)*BJ11)</f>
        <v>71.295202931921295</v>
      </c>
      <c r="BL11" s="304"/>
      <c r="BM11" s="10">
        <f>+PL!W41</f>
        <v>55105.470602103524</v>
      </c>
      <c r="BN11" s="306" t="s">
        <v>111</v>
      </c>
      <c r="BO11" s="308">
        <v>100</v>
      </c>
      <c r="BP11" s="310">
        <f>IF(BM12=0,"-",(BM11/BM12)*BO11)</f>
        <v>68.192233286906387</v>
      </c>
      <c r="BQ11" s="304"/>
      <c r="BR11" s="10">
        <f>+PL!X41</f>
        <v>50408.63443318542</v>
      </c>
      <c r="BS11" s="306" t="s">
        <v>111</v>
      </c>
      <c r="BT11" s="308">
        <v>100</v>
      </c>
      <c r="BU11" s="310">
        <f>IF(BR12=0,"-",(BR11/BR12)*BT11)</f>
        <v>66.494590316487233</v>
      </c>
      <c r="BV11" s="304"/>
      <c r="BW11" s="10">
        <f>+PL!Y41</f>
        <v>53880.341749312189</v>
      </c>
      <c r="BX11" s="306" t="s">
        <v>111</v>
      </c>
      <c r="BY11" s="308">
        <v>100</v>
      </c>
      <c r="BZ11" s="310">
        <f>IF(BW12=0,"-",(BW11/BW12)*BY11)</f>
        <v>63.037279262190424</v>
      </c>
      <c r="CA11" s="304"/>
      <c r="CB11" s="10">
        <f>+PL!Z41</f>
        <v>54851.873163197488</v>
      </c>
      <c r="CC11" s="306" t="s">
        <v>111</v>
      </c>
      <c r="CD11" s="308">
        <v>100</v>
      </c>
      <c r="CE11" s="310">
        <f>IF(CB12=0,"-",(CB11/CB12)*CD11)</f>
        <v>63.080701348391877</v>
      </c>
      <c r="CF11" s="304"/>
      <c r="CG11" s="10">
        <f>+PL!AA41</f>
        <v>52711.879951949886</v>
      </c>
      <c r="CH11" s="306" t="s">
        <v>119</v>
      </c>
      <c r="CI11" s="308">
        <v>100</v>
      </c>
      <c r="CJ11" s="310">
        <f>IF(CG12=0,"-",(CG11/CG12)*CI11)</f>
        <v>59.648358548148806</v>
      </c>
      <c r="CK11" s="304"/>
      <c r="CL11" s="10">
        <f>+PL!AB41</f>
        <v>46971.164306233302</v>
      </c>
      <c r="CM11" s="306" t="s">
        <v>111</v>
      </c>
      <c r="CN11" s="308">
        <v>100</v>
      </c>
      <c r="CO11" s="310">
        <f>IF(CL12=0,"-",(CL11/CL12)*CN11)</f>
        <v>70.452204277583405</v>
      </c>
      <c r="CP11" s="304"/>
      <c r="CQ11" s="10">
        <f>+PL!AC41</f>
        <v>49582.486596957009</v>
      </c>
      <c r="CR11" s="306" t="s">
        <v>111</v>
      </c>
      <c r="CS11" s="308">
        <v>100</v>
      </c>
      <c r="CT11" s="310">
        <f>IF(CQ12=0,"-",(CQ11/CQ12)*CS11)</f>
        <v>62.205528905523707</v>
      </c>
      <c r="CU11" s="304"/>
      <c r="CV11" s="10">
        <f>+PL!AD41</f>
        <v>67355.959396715596</v>
      </c>
      <c r="CW11" s="306" t="s">
        <v>111</v>
      </c>
      <c r="CX11" s="308">
        <v>100</v>
      </c>
      <c r="CY11" s="310">
        <f>IF(CV12=0,"-",(CV11/CV12)*CX11)</f>
        <v>63.124221110605951</v>
      </c>
    </row>
    <row r="12" spans="1:103" ht="18" customHeight="1" x14ac:dyDescent="0.2">
      <c r="A12" s="16"/>
      <c r="B12" s="321"/>
      <c r="C12" s="323"/>
      <c r="D12" s="305"/>
      <c r="E12" s="12">
        <f>+PL!K6</f>
        <v>107629.490764692</v>
      </c>
      <c r="F12" s="307"/>
      <c r="G12" s="309"/>
      <c r="H12" s="311"/>
      <c r="I12" s="305"/>
      <c r="J12" s="12">
        <f>+PL!L6</f>
        <v>153443.90322522877</v>
      </c>
      <c r="K12" s="307"/>
      <c r="L12" s="309"/>
      <c r="M12" s="311"/>
      <c r="N12" s="305"/>
      <c r="O12" s="12">
        <f>+PL!M6</f>
        <v>122702.14935468711</v>
      </c>
      <c r="P12" s="307"/>
      <c r="Q12" s="309"/>
      <c r="R12" s="311"/>
      <c r="S12" s="305"/>
      <c r="T12" s="12">
        <f>+PL!N6</f>
        <v>134643.77120936109</v>
      </c>
      <c r="U12" s="307"/>
      <c r="V12" s="309"/>
      <c r="W12" s="311"/>
      <c r="X12" s="305"/>
      <c r="Y12" s="12">
        <f>+PL!O6</f>
        <v>122190.1530570623</v>
      </c>
      <c r="Z12" s="307"/>
      <c r="AA12" s="309"/>
      <c r="AB12" s="311"/>
      <c r="AC12" s="305"/>
      <c r="AD12" s="12">
        <f>+PL!P6</f>
        <v>117117.86794373595</v>
      </c>
      <c r="AE12" s="307"/>
      <c r="AF12" s="309"/>
      <c r="AG12" s="311"/>
      <c r="AH12" s="305"/>
      <c r="AI12" s="12">
        <f>+PL!Q6</f>
        <v>128747.066465904</v>
      </c>
      <c r="AJ12" s="307"/>
      <c r="AK12" s="309"/>
      <c r="AL12" s="311"/>
      <c r="AM12" s="305"/>
      <c r="AN12" s="12">
        <f>+PL!R6</f>
        <v>89330.530343840102</v>
      </c>
      <c r="AO12" s="307"/>
      <c r="AP12" s="309"/>
      <c r="AQ12" s="311"/>
      <c r="AR12" s="305"/>
      <c r="AS12" s="12">
        <f>+PL!S6</f>
        <v>77413.875779371112</v>
      </c>
      <c r="AT12" s="307"/>
      <c r="AU12" s="309"/>
      <c r="AV12" s="311"/>
      <c r="AW12" s="305"/>
      <c r="AX12" s="12">
        <f>+PL!T6</f>
        <v>73200.946820408819</v>
      </c>
      <c r="AY12" s="307"/>
      <c r="AZ12" s="309"/>
      <c r="BA12" s="311"/>
      <c r="BB12" s="305"/>
      <c r="BC12" s="12">
        <f>+PL!U6</f>
        <v>71135.359744677393</v>
      </c>
      <c r="BD12" s="307"/>
      <c r="BE12" s="309"/>
      <c r="BF12" s="311"/>
      <c r="BG12" s="305"/>
      <c r="BH12" s="12">
        <f>+PL!V6</f>
        <v>80506.792831506449</v>
      </c>
      <c r="BI12" s="307"/>
      <c r="BJ12" s="309"/>
      <c r="BK12" s="311"/>
      <c r="BL12" s="305"/>
      <c r="BM12" s="12">
        <f>+PL!W6</f>
        <v>80809.01291244899</v>
      </c>
      <c r="BN12" s="307"/>
      <c r="BO12" s="309"/>
      <c r="BP12" s="311"/>
      <c r="BQ12" s="305"/>
      <c r="BR12" s="12">
        <f>+PL!X6</f>
        <v>75808.624721591332</v>
      </c>
      <c r="BS12" s="307"/>
      <c r="BT12" s="309"/>
      <c r="BU12" s="311"/>
      <c r="BV12" s="305"/>
      <c r="BW12" s="12">
        <f>+PL!Y6</f>
        <v>85473.774217329614</v>
      </c>
      <c r="BX12" s="307"/>
      <c r="BY12" s="309"/>
      <c r="BZ12" s="311"/>
      <c r="CA12" s="305"/>
      <c r="CB12" s="12">
        <f>+PL!Z6</f>
        <v>86955.078162896534</v>
      </c>
      <c r="CC12" s="307"/>
      <c r="CD12" s="309"/>
      <c r="CE12" s="311"/>
      <c r="CF12" s="305"/>
      <c r="CG12" s="12">
        <f>+PL!AA6</f>
        <v>88371.048650735771</v>
      </c>
      <c r="CH12" s="307"/>
      <c r="CI12" s="309"/>
      <c r="CJ12" s="311"/>
      <c r="CK12" s="305"/>
      <c r="CL12" s="12">
        <f>+PL!AB6</f>
        <v>66670.964787937322</v>
      </c>
      <c r="CM12" s="307"/>
      <c r="CN12" s="309"/>
      <c r="CO12" s="311"/>
      <c r="CP12" s="305"/>
      <c r="CQ12" s="12">
        <f>+PL!AC6</f>
        <v>79707.523542258947</v>
      </c>
      <c r="CR12" s="307"/>
      <c r="CS12" s="309"/>
      <c r="CT12" s="311"/>
      <c r="CU12" s="305"/>
      <c r="CV12" s="12">
        <f>+PL!AD6</f>
        <v>106703.8265370353</v>
      </c>
      <c r="CW12" s="307"/>
      <c r="CX12" s="309"/>
      <c r="CY12" s="311"/>
    </row>
    <row r="13" spans="1:103" ht="18" customHeight="1" x14ac:dyDescent="0.2">
      <c r="A13" s="17"/>
      <c r="B13" s="320" t="s">
        <v>120</v>
      </c>
      <c r="C13" s="322" t="s">
        <v>117</v>
      </c>
      <c r="D13" s="304"/>
      <c r="E13" s="10">
        <f>+PL!K42</f>
        <v>13346.288818356014</v>
      </c>
      <c r="F13" s="306" t="s">
        <v>121</v>
      </c>
      <c r="G13" s="308">
        <v>100</v>
      </c>
      <c r="H13" s="310">
        <f>IF(E14=0,"-",(E13/E14)*G13)</f>
        <v>12.400215520423405</v>
      </c>
      <c r="I13" s="304"/>
      <c r="J13" s="10">
        <f>+PL!L42</f>
        <v>20564.979137193121</v>
      </c>
      <c r="K13" s="306" t="s">
        <v>111</v>
      </c>
      <c r="L13" s="308">
        <v>100</v>
      </c>
      <c r="M13" s="310">
        <f>IF(J14=0,"-",(J13/J14)*L13)</f>
        <v>13.40227842549556</v>
      </c>
      <c r="N13" s="304"/>
      <c r="O13" s="10">
        <f>+PL!M42</f>
        <v>15683.030068947846</v>
      </c>
      <c r="P13" s="306" t="s">
        <v>111</v>
      </c>
      <c r="Q13" s="308">
        <v>100</v>
      </c>
      <c r="R13" s="310">
        <f>IF(O14=0,"-",(O13/O14)*Q13)</f>
        <v>12.781381704744172</v>
      </c>
      <c r="S13" s="304"/>
      <c r="T13" s="10">
        <f>+PL!N42</f>
        <v>16565.853197868142</v>
      </c>
      <c r="U13" s="306" t="s">
        <v>111</v>
      </c>
      <c r="V13" s="308">
        <v>100</v>
      </c>
      <c r="W13" s="310">
        <f>IF(T14=0,"-",(T13/T14)*V13)</f>
        <v>12.303467920628476</v>
      </c>
      <c r="X13" s="304"/>
      <c r="Y13" s="10">
        <f>+PL!O42</f>
        <v>16650.012585857883</v>
      </c>
      <c r="Z13" s="306" t="s">
        <v>111</v>
      </c>
      <c r="AA13" s="308">
        <v>100</v>
      </c>
      <c r="AB13" s="310">
        <f>IF(Y14=0,"-",(Y13/Y14)*AA13)</f>
        <v>13.626312897801506</v>
      </c>
      <c r="AC13" s="304"/>
      <c r="AD13" s="10">
        <f>+PL!P42</f>
        <v>15578.694900054616</v>
      </c>
      <c r="AE13" s="306" t="s">
        <v>111</v>
      </c>
      <c r="AF13" s="308">
        <v>100</v>
      </c>
      <c r="AG13" s="310">
        <f>IF(AD14=0,"-",(AD13/AD14)*AF13)</f>
        <v>13.301723446279523</v>
      </c>
      <c r="AH13" s="304"/>
      <c r="AI13" s="10">
        <f>+PL!Q42</f>
        <v>15956.705282171697</v>
      </c>
      <c r="AJ13" s="306" t="s">
        <v>121</v>
      </c>
      <c r="AK13" s="308">
        <v>100</v>
      </c>
      <c r="AL13" s="310">
        <f>IF(AI14=0,"-",(AI13/AI14)*AK13)</f>
        <v>12.393839891021905</v>
      </c>
      <c r="AM13" s="304"/>
      <c r="AN13" s="10">
        <f>+PL!R42</f>
        <v>9608.8482881495511</v>
      </c>
      <c r="AO13" s="306" t="s">
        <v>118</v>
      </c>
      <c r="AP13" s="308">
        <v>100</v>
      </c>
      <c r="AQ13" s="310">
        <f>IF(AN14=0,"-",(AN13/AN14)*AP13)</f>
        <v>10.756510961218245</v>
      </c>
      <c r="AR13" s="304"/>
      <c r="AS13" s="10">
        <f>+PL!S42</f>
        <v>7961.8069818990098</v>
      </c>
      <c r="AT13" s="306" t="s">
        <v>111</v>
      </c>
      <c r="AU13" s="308">
        <v>100</v>
      </c>
      <c r="AV13" s="310">
        <f>IF(AS14=0,"-",(AS13/AS14)*AU13)</f>
        <v>10.284728547360285</v>
      </c>
      <c r="AW13" s="304"/>
      <c r="AX13" s="10">
        <f>+PL!T42</f>
        <v>7932.5825174648262</v>
      </c>
      <c r="AY13" s="306" t="s">
        <v>111</v>
      </c>
      <c r="AZ13" s="308">
        <v>100</v>
      </c>
      <c r="BA13" s="310">
        <f>IF(AX14=0,"-",(AX13/AX14)*AZ13)</f>
        <v>10.836721192864653</v>
      </c>
      <c r="BB13" s="304"/>
      <c r="BC13" s="10">
        <f>+PL!U42</f>
        <v>9166.024701561093</v>
      </c>
      <c r="BD13" s="306" t="s">
        <v>111</v>
      </c>
      <c r="BE13" s="308">
        <v>100</v>
      </c>
      <c r="BF13" s="310">
        <f>IF(BC14=0,"-",(BC13/BC14)*BE13)</f>
        <v>12.88532838585515</v>
      </c>
      <c r="BG13" s="304"/>
      <c r="BH13" s="10">
        <f>+PL!V42</f>
        <v>11919.459922975877</v>
      </c>
      <c r="BI13" s="306" t="s">
        <v>111</v>
      </c>
      <c r="BJ13" s="308">
        <v>100</v>
      </c>
      <c r="BK13" s="310">
        <f>IF(BH14=0,"-",(BH13/BH14)*BJ13)</f>
        <v>14.80553317770619</v>
      </c>
      <c r="BL13" s="304"/>
      <c r="BM13" s="10">
        <f>+PL!W42</f>
        <v>11562.041267877517</v>
      </c>
      <c r="BN13" s="306" t="s">
        <v>111</v>
      </c>
      <c r="BO13" s="308">
        <v>100</v>
      </c>
      <c r="BP13" s="310">
        <f>IF(BM14=0,"-",(BM13/BM14)*BO13)</f>
        <v>14.307861030803823</v>
      </c>
      <c r="BQ13" s="304"/>
      <c r="BR13" s="10">
        <f>+PL!X42</f>
        <v>9783.1164941565912</v>
      </c>
      <c r="BS13" s="306" t="s">
        <v>111</v>
      </c>
      <c r="BT13" s="308">
        <v>100</v>
      </c>
      <c r="BU13" s="310">
        <f>IF(BR14=0,"-",(BR13/BR14)*BT13)</f>
        <v>12.905017773485906</v>
      </c>
      <c r="BV13" s="304"/>
      <c r="BW13" s="10">
        <f>+PL!Y42</f>
        <v>11277.73322352064</v>
      </c>
      <c r="BX13" s="306" t="s">
        <v>111</v>
      </c>
      <c r="BY13" s="308">
        <v>100</v>
      </c>
      <c r="BZ13" s="310">
        <f>IF(BW14=0,"-",(BW13/BW14)*BY13)</f>
        <v>13.194378424012665</v>
      </c>
      <c r="CA13" s="304"/>
      <c r="CB13" s="10">
        <f>+PL!Z42</f>
        <v>11464.515317206055</v>
      </c>
      <c r="CC13" s="306" t="s">
        <v>111</v>
      </c>
      <c r="CD13" s="308">
        <v>100</v>
      </c>
      <c r="CE13" s="310">
        <f>IF(CB14=0,"-",(CB13/CB14)*CD13)</f>
        <v>13.184411490872455</v>
      </c>
      <c r="CF13" s="304"/>
      <c r="CG13" s="10">
        <f>+PL!AA42</f>
        <v>8432.6895448110172</v>
      </c>
      <c r="CH13" s="306" t="s">
        <v>118</v>
      </c>
      <c r="CI13" s="308">
        <v>100</v>
      </c>
      <c r="CJ13" s="310">
        <f>IF(CG14=0,"-",(CG13/CG14)*CI13)</f>
        <v>9.5423667293335974</v>
      </c>
      <c r="CK13" s="304"/>
      <c r="CL13" s="10">
        <f>+PL!AB42</f>
        <v>7265.1887489494075</v>
      </c>
      <c r="CM13" s="306" t="s">
        <v>111</v>
      </c>
      <c r="CN13" s="308">
        <v>100</v>
      </c>
      <c r="CO13" s="310">
        <f>IF(CL14=0,"-",(CL13/CL14)*CN13)</f>
        <v>10.897080568817398</v>
      </c>
      <c r="CP13" s="304"/>
      <c r="CQ13" s="10">
        <f>+PL!AC42</f>
        <v>9918.339822350199</v>
      </c>
      <c r="CR13" s="306" t="s">
        <v>111</v>
      </c>
      <c r="CS13" s="308">
        <v>100</v>
      </c>
      <c r="CT13" s="310">
        <f>IF(CQ14=0,"-",(CQ13/CQ14)*CS13)</f>
        <v>12.443417360836385</v>
      </c>
      <c r="CU13" s="304"/>
      <c r="CV13" s="10">
        <f>+PL!AD42</f>
        <v>16173.998709918667</v>
      </c>
      <c r="CW13" s="306" t="s">
        <v>111</v>
      </c>
      <c r="CX13" s="308">
        <v>100</v>
      </c>
      <c r="CY13" s="310">
        <f>IF(CV14=0,"-",(CV13/CV14)*CX13)</f>
        <v>15.157843195346807</v>
      </c>
    </row>
    <row r="14" spans="1:103" ht="18" customHeight="1" x14ac:dyDescent="0.2">
      <c r="A14" s="17"/>
      <c r="B14" s="321"/>
      <c r="C14" s="323"/>
      <c r="D14" s="305"/>
      <c r="E14" s="12">
        <f>+E12</f>
        <v>107629.490764692</v>
      </c>
      <c r="F14" s="307"/>
      <c r="G14" s="309"/>
      <c r="H14" s="311"/>
      <c r="I14" s="305"/>
      <c r="J14" s="12">
        <f>+J12</f>
        <v>153443.90322522877</v>
      </c>
      <c r="K14" s="307"/>
      <c r="L14" s="309"/>
      <c r="M14" s="311"/>
      <c r="N14" s="305"/>
      <c r="O14" s="12">
        <f>+O12</f>
        <v>122702.14935468711</v>
      </c>
      <c r="P14" s="307"/>
      <c r="Q14" s="309"/>
      <c r="R14" s="311"/>
      <c r="S14" s="305"/>
      <c r="T14" s="12">
        <f>+T12</f>
        <v>134643.77120936109</v>
      </c>
      <c r="U14" s="307"/>
      <c r="V14" s="309"/>
      <c r="W14" s="311"/>
      <c r="X14" s="305"/>
      <c r="Y14" s="12">
        <f>+Y12</f>
        <v>122190.1530570623</v>
      </c>
      <c r="Z14" s="307"/>
      <c r="AA14" s="309"/>
      <c r="AB14" s="311"/>
      <c r="AC14" s="305"/>
      <c r="AD14" s="12">
        <f>+AD12</f>
        <v>117117.86794373595</v>
      </c>
      <c r="AE14" s="307"/>
      <c r="AF14" s="309"/>
      <c r="AG14" s="311"/>
      <c r="AH14" s="305"/>
      <c r="AI14" s="12">
        <f>+AI12</f>
        <v>128747.066465904</v>
      </c>
      <c r="AJ14" s="307"/>
      <c r="AK14" s="309"/>
      <c r="AL14" s="311"/>
      <c r="AM14" s="305"/>
      <c r="AN14" s="12">
        <f>+AN12</f>
        <v>89330.530343840102</v>
      </c>
      <c r="AO14" s="307"/>
      <c r="AP14" s="309"/>
      <c r="AQ14" s="311"/>
      <c r="AR14" s="305"/>
      <c r="AS14" s="12">
        <f>+AS12</f>
        <v>77413.875779371112</v>
      </c>
      <c r="AT14" s="307"/>
      <c r="AU14" s="309"/>
      <c r="AV14" s="311"/>
      <c r="AW14" s="305"/>
      <c r="AX14" s="12">
        <f>+AX12</f>
        <v>73200.946820408819</v>
      </c>
      <c r="AY14" s="307"/>
      <c r="AZ14" s="309"/>
      <c r="BA14" s="311"/>
      <c r="BB14" s="305"/>
      <c r="BC14" s="12">
        <f>+BC12</f>
        <v>71135.359744677393</v>
      </c>
      <c r="BD14" s="307"/>
      <c r="BE14" s="309"/>
      <c r="BF14" s="311"/>
      <c r="BG14" s="305"/>
      <c r="BH14" s="12">
        <f>+BH12</f>
        <v>80506.792831506449</v>
      </c>
      <c r="BI14" s="307"/>
      <c r="BJ14" s="309"/>
      <c r="BK14" s="311"/>
      <c r="BL14" s="305"/>
      <c r="BM14" s="12">
        <f>+BM12</f>
        <v>80809.01291244899</v>
      </c>
      <c r="BN14" s="307"/>
      <c r="BO14" s="309"/>
      <c r="BP14" s="311"/>
      <c r="BQ14" s="305"/>
      <c r="BR14" s="12">
        <f>+BR12</f>
        <v>75808.624721591332</v>
      </c>
      <c r="BS14" s="307"/>
      <c r="BT14" s="309"/>
      <c r="BU14" s="311"/>
      <c r="BV14" s="305"/>
      <c r="BW14" s="12">
        <f>+BW12</f>
        <v>85473.774217329614</v>
      </c>
      <c r="BX14" s="307"/>
      <c r="BY14" s="309"/>
      <c r="BZ14" s="311"/>
      <c r="CA14" s="305"/>
      <c r="CB14" s="12">
        <f>+CB12</f>
        <v>86955.078162896534</v>
      </c>
      <c r="CC14" s="307"/>
      <c r="CD14" s="309"/>
      <c r="CE14" s="311"/>
      <c r="CF14" s="305"/>
      <c r="CG14" s="12">
        <f>+CG12</f>
        <v>88371.048650735771</v>
      </c>
      <c r="CH14" s="307"/>
      <c r="CI14" s="309"/>
      <c r="CJ14" s="311"/>
      <c r="CK14" s="305"/>
      <c r="CL14" s="12">
        <f>+CL12</f>
        <v>66670.964787937322</v>
      </c>
      <c r="CM14" s="307"/>
      <c r="CN14" s="309"/>
      <c r="CO14" s="311"/>
      <c r="CP14" s="305"/>
      <c r="CQ14" s="12">
        <f>+CQ12</f>
        <v>79707.523542258947</v>
      </c>
      <c r="CR14" s="307"/>
      <c r="CS14" s="309"/>
      <c r="CT14" s="311"/>
      <c r="CU14" s="305"/>
      <c r="CV14" s="12">
        <f>+CV12</f>
        <v>106703.8265370353</v>
      </c>
      <c r="CW14" s="307"/>
      <c r="CX14" s="309"/>
      <c r="CY14" s="311"/>
    </row>
    <row r="15" spans="1:103" ht="18" customHeight="1" x14ac:dyDescent="0.2">
      <c r="A15" s="17"/>
      <c r="B15" s="320" t="s">
        <v>122</v>
      </c>
      <c r="C15" s="322" t="s">
        <v>117</v>
      </c>
      <c r="D15" s="304"/>
      <c r="E15" s="10">
        <f>+PL!K34</f>
        <v>11147.006110264399</v>
      </c>
      <c r="F15" s="306" t="s">
        <v>123</v>
      </c>
      <c r="G15" s="308">
        <v>100</v>
      </c>
      <c r="H15" s="310">
        <f>IF(E16=0,"-",(E15/E16)*G15)</f>
        <v>10.356832528953291</v>
      </c>
      <c r="I15" s="304"/>
      <c r="J15" s="10">
        <f>+PL!L34</f>
        <v>15653.910209344389</v>
      </c>
      <c r="K15" s="306" t="s">
        <v>111</v>
      </c>
      <c r="L15" s="308">
        <v>100</v>
      </c>
      <c r="M15" s="310">
        <f>IF(J16=0,"-",(J15/J16)*L15)</f>
        <v>10.201715337211665</v>
      </c>
      <c r="N15" s="304"/>
      <c r="O15" s="10">
        <f>+PL!M34</f>
        <v>12834.758099289995</v>
      </c>
      <c r="P15" s="306" t="s">
        <v>111</v>
      </c>
      <c r="Q15" s="308">
        <v>100</v>
      </c>
      <c r="R15" s="310">
        <f>IF(O16=0,"-",(O15/O16)*Q15)</f>
        <v>10.460092318504866</v>
      </c>
      <c r="S15" s="304"/>
      <c r="T15" s="10">
        <f>+PL!N34</f>
        <v>13799.538513916081</v>
      </c>
      <c r="U15" s="306" t="s">
        <v>111</v>
      </c>
      <c r="V15" s="308">
        <v>100</v>
      </c>
      <c r="W15" s="310">
        <f>IF(T16=0,"-",(T15/T16)*V15)</f>
        <v>10.24892454360835</v>
      </c>
      <c r="X15" s="304"/>
      <c r="Y15" s="10">
        <f>+PL!O34</f>
        <v>15135.57588319772</v>
      </c>
      <c r="Z15" s="306" t="s">
        <v>111</v>
      </c>
      <c r="AA15" s="308">
        <v>100</v>
      </c>
      <c r="AB15" s="310">
        <f>IF(Y16=0,"-",(Y15/Y16)*AA15)</f>
        <v>12.386903121505599</v>
      </c>
      <c r="AC15" s="304"/>
      <c r="AD15" s="10">
        <f>+PL!P34</f>
        <v>14109.223651654676</v>
      </c>
      <c r="AE15" s="306" t="s">
        <v>111</v>
      </c>
      <c r="AF15" s="308">
        <v>100</v>
      </c>
      <c r="AG15" s="310">
        <f>IF(AD16=0,"-",(AD15/AD16)*AF15)</f>
        <v>12.047029116370886</v>
      </c>
      <c r="AH15" s="304"/>
      <c r="AI15" s="10">
        <f>+PL!Q34</f>
        <v>13205.609216910569</v>
      </c>
      <c r="AJ15" s="306" t="s">
        <v>123</v>
      </c>
      <c r="AK15" s="308">
        <v>100</v>
      </c>
      <c r="AL15" s="310">
        <f>IF(AI16=0,"-",(AI15/AI16)*AK15)</f>
        <v>10.257017561178996</v>
      </c>
      <c r="AM15" s="304"/>
      <c r="AN15" s="10">
        <f>+PL!R34</f>
        <v>8903.2891178717491</v>
      </c>
      <c r="AO15" s="306" t="s">
        <v>123</v>
      </c>
      <c r="AP15" s="308">
        <v>100</v>
      </c>
      <c r="AQ15" s="310">
        <f>IF(AN16=0,"-",(AN15/AN16)*AP15)</f>
        <v>9.9666811375711113</v>
      </c>
      <c r="AR15" s="304"/>
      <c r="AS15" s="10">
        <f>+PL!S34</f>
        <v>7504.3614091854324</v>
      </c>
      <c r="AT15" s="306" t="s">
        <v>111</v>
      </c>
      <c r="AU15" s="308">
        <v>100</v>
      </c>
      <c r="AV15" s="310">
        <f>IF(AS16=0,"-",(AS15/AS16)*AU15)</f>
        <v>9.6938195299416332</v>
      </c>
      <c r="AW15" s="304"/>
      <c r="AX15" s="10">
        <f>+PL!T34</f>
        <v>7979.739968630749</v>
      </c>
      <c r="AY15" s="306" t="s">
        <v>111</v>
      </c>
      <c r="AZ15" s="308">
        <v>100</v>
      </c>
      <c r="BA15" s="310">
        <f>IF(AX16=0,"-",(AX15/AX16)*AZ15)</f>
        <v>10.901143107080625</v>
      </c>
      <c r="BB15" s="304"/>
      <c r="BC15" s="10">
        <f>+PL!U34</f>
        <v>10011.418791640424</v>
      </c>
      <c r="BD15" s="306" t="s">
        <v>111</v>
      </c>
      <c r="BE15" s="308">
        <v>100</v>
      </c>
      <c r="BF15" s="310">
        <f>IF(BC16=0,"-",(BC15/BC16)*BE15)</f>
        <v>14.073758574601875</v>
      </c>
      <c r="BG15" s="304"/>
      <c r="BH15" s="10">
        <f>+PL!V34</f>
        <v>12362.16355973294</v>
      </c>
      <c r="BI15" s="306" t="s">
        <v>111</v>
      </c>
      <c r="BJ15" s="308">
        <v>100</v>
      </c>
      <c r="BK15" s="310">
        <f>IF(BH16=0,"-",(BH15/BH16)*BJ15)</f>
        <v>15.355429181741034</v>
      </c>
      <c r="BL15" s="304"/>
      <c r="BM15" s="10">
        <f>+PL!W34</f>
        <v>11032.628548314819</v>
      </c>
      <c r="BN15" s="306" t="s">
        <v>111</v>
      </c>
      <c r="BO15" s="308">
        <v>100</v>
      </c>
      <c r="BP15" s="310">
        <f>IF(BM16=0,"-",(BM15/BM16)*BO15)</f>
        <v>13.652720347256206</v>
      </c>
      <c r="BQ15" s="304"/>
      <c r="BR15" s="10">
        <f>+PL!X34</f>
        <v>9803.6832285068012</v>
      </c>
      <c r="BS15" s="306" t="s">
        <v>111</v>
      </c>
      <c r="BT15" s="308">
        <v>100</v>
      </c>
      <c r="BU15" s="310">
        <f>IF(BR16=0,"-",(BR15/BR16)*BT15)</f>
        <v>12.932147581506751</v>
      </c>
      <c r="BV15" s="304"/>
      <c r="BW15" s="10">
        <f>+PL!Y34</f>
        <v>11923.888319386093</v>
      </c>
      <c r="BX15" s="306" t="s">
        <v>111</v>
      </c>
      <c r="BY15" s="308">
        <v>100</v>
      </c>
      <c r="BZ15" s="310">
        <f>IF(BW16=0,"-",(BW15/BW16)*BY15)</f>
        <v>13.950347259813118</v>
      </c>
      <c r="CA15" s="304"/>
      <c r="CB15" s="10">
        <f>+PL!Z34</f>
        <v>12028.524548764428</v>
      </c>
      <c r="CC15" s="306" t="s">
        <v>111</v>
      </c>
      <c r="CD15" s="308">
        <v>100</v>
      </c>
      <c r="CE15" s="310">
        <f>IF(CB16=0,"-",(CB15/CB16)*CD15)</f>
        <v>13.833032875010353</v>
      </c>
      <c r="CF15" s="304"/>
      <c r="CG15" s="10">
        <f>+PL!AA34</f>
        <v>10360.624788708226</v>
      </c>
      <c r="CH15" s="306" t="s">
        <v>121</v>
      </c>
      <c r="CI15" s="308">
        <v>100</v>
      </c>
      <c r="CJ15" s="310">
        <f>IF(CG16=0,"-",(CG15/CG16)*CI15)</f>
        <v>11.724003445580889</v>
      </c>
      <c r="CK15" s="304"/>
      <c r="CL15" s="10">
        <f>+PL!AB34</f>
        <v>7256.3373809852355</v>
      </c>
      <c r="CM15" s="306" t="s">
        <v>111</v>
      </c>
      <c r="CN15" s="308">
        <v>100</v>
      </c>
      <c r="CO15" s="310">
        <f>IF(CL16=0,"-",(CL15/CL16)*CN15)</f>
        <v>10.883804372811646</v>
      </c>
      <c r="CP15" s="304"/>
      <c r="CQ15" s="10">
        <f>+PL!AC34</f>
        <v>10985.737185666003</v>
      </c>
      <c r="CR15" s="306" t="s">
        <v>111</v>
      </c>
      <c r="CS15" s="308">
        <v>100</v>
      </c>
      <c r="CT15" s="310">
        <f>IF(CQ16=0,"-",(CQ15/CQ16)*CS15)</f>
        <v>13.782559910849116</v>
      </c>
      <c r="CU15" s="304"/>
      <c r="CV15" s="10">
        <f>+PL!AD34</f>
        <v>15736.719846685986</v>
      </c>
      <c r="CW15" s="306" t="s">
        <v>111</v>
      </c>
      <c r="CX15" s="308">
        <v>100</v>
      </c>
      <c r="CY15" s="310">
        <f>IF(CV16=0,"-",(CV15/CV16)*CX15)</f>
        <v>14.748037026792105</v>
      </c>
    </row>
    <row r="16" spans="1:103" ht="18" customHeight="1" x14ac:dyDescent="0.2">
      <c r="A16" s="17"/>
      <c r="B16" s="321"/>
      <c r="C16" s="323"/>
      <c r="D16" s="305"/>
      <c r="E16" s="12">
        <f>+E12</f>
        <v>107629.490764692</v>
      </c>
      <c r="F16" s="307"/>
      <c r="G16" s="309"/>
      <c r="H16" s="311"/>
      <c r="I16" s="305"/>
      <c r="J16" s="12">
        <f>+J12</f>
        <v>153443.90322522877</v>
      </c>
      <c r="K16" s="307"/>
      <c r="L16" s="309"/>
      <c r="M16" s="311"/>
      <c r="N16" s="305"/>
      <c r="O16" s="12">
        <f>+O12</f>
        <v>122702.14935468711</v>
      </c>
      <c r="P16" s="307"/>
      <c r="Q16" s="309"/>
      <c r="R16" s="311"/>
      <c r="S16" s="305"/>
      <c r="T16" s="12">
        <f>+T12</f>
        <v>134643.77120936109</v>
      </c>
      <c r="U16" s="307"/>
      <c r="V16" s="309"/>
      <c r="W16" s="311"/>
      <c r="X16" s="305"/>
      <c r="Y16" s="12">
        <f>+Y12</f>
        <v>122190.1530570623</v>
      </c>
      <c r="Z16" s="307"/>
      <c r="AA16" s="309"/>
      <c r="AB16" s="311"/>
      <c r="AC16" s="305"/>
      <c r="AD16" s="12">
        <f>+AD12</f>
        <v>117117.86794373595</v>
      </c>
      <c r="AE16" s="307"/>
      <c r="AF16" s="309"/>
      <c r="AG16" s="311"/>
      <c r="AH16" s="305"/>
      <c r="AI16" s="12">
        <f>+AI12</f>
        <v>128747.066465904</v>
      </c>
      <c r="AJ16" s="307"/>
      <c r="AK16" s="309"/>
      <c r="AL16" s="311"/>
      <c r="AM16" s="305"/>
      <c r="AN16" s="12">
        <f>+AN12</f>
        <v>89330.530343840102</v>
      </c>
      <c r="AO16" s="307"/>
      <c r="AP16" s="309"/>
      <c r="AQ16" s="311"/>
      <c r="AR16" s="305"/>
      <c r="AS16" s="12">
        <f>+AS12</f>
        <v>77413.875779371112</v>
      </c>
      <c r="AT16" s="307"/>
      <c r="AU16" s="309"/>
      <c r="AV16" s="311"/>
      <c r="AW16" s="305"/>
      <c r="AX16" s="12">
        <f>+AX12</f>
        <v>73200.946820408819</v>
      </c>
      <c r="AY16" s="307"/>
      <c r="AZ16" s="309"/>
      <c r="BA16" s="311"/>
      <c r="BB16" s="305"/>
      <c r="BC16" s="12">
        <f>+BC12</f>
        <v>71135.359744677393</v>
      </c>
      <c r="BD16" s="307"/>
      <c r="BE16" s="309"/>
      <c r="BF16" s="311"/>
      <c r="BG16" s="305"/>
      <c r="BH16" s="12">
        <f>+BH12</f>
        <v>80506.792831506449</v>
      </c>
      <c r="BI16" s="307"/>
      <c r="BJ16" s="309"/>
      <c r="BK16" s="311"/>
      <c r="BL16" s="305"/>
      <c r="BM16" s="12">
        <f>+BM12</f>
        <v>80809.01291244899</v>
      </c>
      <c r="BN16" s="307"/>
      <c r="BO16" s="309"/>
      <c r="BP16" s="311"/>
      <c r="BQ16" s="305"/>
      <c r="BR16" s="12">
        <f>+BR12</f>
        <v>75808.624721591332</v>
      </c>
      <c r="BS16" s="307"/>
      <c r="BT16" s="309"/>
      <c r="BU16" s="311"/>
      <c r="BV16" s="305"/>
      <c r="BW16" s="12">
        <f>+BW12</f>
        <v>85473.774217329614</v>
      </c>
      <c r="BX16" s="307"/>
      <c r="BY16" s="309"/>
      <c r="BZ16" s="311"/>
      <c r="CA16" s="305"/>
      <c r="CB16" s="12">
        <f>+CB12</f>
        <v>86955.078162896534</v>
      </c>
      <c r="CC16" s="307"/>
      <c r="CD16" s="309"/>
      <c r="CE16" s="311"/>
      <c r="CF16" s="305"/>
      <c r="CG16" s="12">
        <f>+CG12</f>
        <v>88371.048650735771</v>
      </c>
      <c r="CH16" s="307"/>
      <c r="CI16" s="309"/>
      <c r="CJ16" s="311"/>
      <c r="CK16" s="305"/>
      <c r="CL16" s="12">
        <f>+CL12</f>
        <v>66670.964787937322</v>
      </c>
      <c r="CM16" s="307"/>
      <c r="CN16" s="309"/>
      <c r="CO16" s="311"/>
      <c r="CP16" s="305"/>
      <c r="CQ16" s="12">
        <f>+CQ12</f>
        <v>79707.523542258947</v>
      </c>
      <c r="CR16" s="307"/>
      <c r="CS16" s="309"/>
      <c r="CT16" s="311"/>
      <c r="CU16" s="305"/>
      <c r="CV16" s="12">
        <f>+CV12</f>
        <v>106703.8265370353</v>
      </c>
      <c r="CW16" s="307"/>
      <c r="CX16" s="309"/>
      <c r="CY16" s="311"/>
    </row>
    <row r="17" spans="1:103" ht="18" customHeight="1" x14ac:dyDescent="0.2">
      <c r="A17" s="17"/>
      <c r="B17" s="320" t="s">
        <v>124</v>
      </c>
      <c r="C17" s="322" t="s">
        <v>117</v>
      </c>
      <c r="D17" s="304"/>
      <c r="E17" s="10">
        <f>+E6</f>
        <v>-1035.9054237335502</v>
      </c>
      <c r="F17" s="306" t="s">
        <v>123</v>
      </c>
      <c r="G17" s="308">
        <v>100</v>
      </c>
      <c r="H17" s="310">
        <f>IF(E18=0,"-",(E17/E18)*G17)</f>
        <v>-0.96247359006680377</v>
      </c>
      <c r="I17" s="304"/>
      <c r="J17" s="10">
        <f>+J6</f>
        <v>9664.3684747765983</v>
      </c>
      <c r="K17" s="306" t="s">
        <v>111</v>
      </c>
      <c r="L17" s="308">
        <v>100</v>
      </c>
      <c r="M17" s="310">
        <f>IF(J18=0,"-",(J17/J18)*L17)</f>
        <v>6.2983072456068836</v>
      </c>
      <c r="N17" s="304"/>
      <c r="O17" s="10">
        <f>+O6</f>
        <v>7013.6152175468096</v>
      </c>
      <c r="P17" s="306" t="s">
        <v>111</v>
      </c>
      <c r="Q17" s="308">
        <v>100</v>
      </c>
      <c r="R17" s="310">
        <f>IF(O18=0,"-",(O17/O18)*Q17)</f>
        <v>5.7159676944802404</v>
      </c>
      <c r="S17" s="304"/>
      <c r="T17" s="10">
        <f>+T6</f>
        <v>8975.2023353557433</v>
      </c>
      <c r="U17" s="306" t="s">
        <v>111</v>
      </c>
      <c r="V17" s="308">
        <v>100</v>
      </c>
      <c r="W17" s="310">
        <f>IF(T18=0,"-",(T17/T18)*V17)</f>
        <v>6.6658875154350579</v>
      </c>
      <c r="X17" s="304"/>
      <c r="Y17" s="10">
        <f>+Y6</f>
        <v>6873.5860034603693</v>
      </c>
      <c r="Z17" s="306" t="s">
        <v>111</v>
      </c>
      <c r="AA17" s="308">
        <v>100</v>
      </c>
      <c r="AB17" s="310">
        <f>IF(Y18=0,"-",(Y17/Y18)*AA17)</f>
        <v>5.6253190879059076</v>
      </c>
      <c r="AC17" s="304"/>
      <c r="AD17" s="10">
        <f>+AD6</f>
        <v>5555.1287500916715</v>
      </c>
      <c r="AE17" s="306" t="s">
        <v>111</v>
      </c>
      <c r="AF17" s="308">
        <v>100</v>
      </c>
      <c r="AG17" s="310">
        <f>IF(AD18=0,"-",(AD17/AD18)*AF17)</f>
        <v>4.7431949092177677</v>
      </c>
      <c r="AH17" s="304"/>
      <c r="AI17" s="10">
        <f>+AI6</f>
        <v>7039.4107982695805</v>
      </c>
      <c r="AJ17" s="306" t="s">
        <v>123</v>
      </c>
      <c r="AK17" s="308">
        <v>100</v>
      </c>
      <c r="AL17" s="310">
        <f>IF(AI18=0,"-",(AI17/AI18)*AK17)</f>
        <v>5.4676281110714253</v>
      </c>
      <c r="AM17" s="304"/>
      <c r="AN17" s="10">
        <f>+AN6</f>
        <v>2019.5983507122737</v>
      </c>
      <c r="AO17" s="306" t="s">
        <v>125</v>
      </c>
      <c r="AP17" s="308">
        <v>100</v>
      </c>
      <c r="AQ17" s="310">
        <f>IF(AN18=0,"-",(AN17/AN18)*AP17)</f>
        <v>2.2608153594730536</v>
      </c>
      <c r="AR17" s="304"/>
      <c r="AS17" s="10">
        <f>+AS6</f>
        <v>-1063.9032941263251</v>
      </c>
      <c r="AT17" s="306" t="s">
        <v>111</v>
      </c>
      <c r="AU17" s="308">
        <v>100</v>
      </c>
      <c r="AV17" s="310">
        <f>IF(AS18=0,"-",(AS17/AS18)*AU17)</f>
        <v>-1.3743056828189826</v>
      </c>
      <c r="AW17" s="304"/>
      <c r="AX17" s="10">
        <f>+AX6</f>
        <v>3538.5080804681147</v>
      </c>
      <c r="AY17" s="306" t="s">
        <v>111</v>
      </c>
      <c r="AZ17" s="308">
        <v>100</v>
      </c>
      <c r="BA17" s="310">
        <f>IF(AX18=0,"-",(AX17/AX18)*AZ17)</f>
        <v>4.833964906423259</v>
      </c>
      <c r="BB17" s="304"/>
      <c r="BC17" s="10">
        <f>+BC6</f>
        <v>6911.1328719467328</v>
      </c>
      <c r="BD17" s="306" t="s">
        <v>111</v>
      </c>
      <c r="BE17" s="308">
        <v>100</v>
      </c>
      <c r="BF17" s="310">
        <f>IF(BC18=0,"-",(BC17/BC18)*BE17)</f>
        <v>9.7154676615856275</v>
      </c>
      <c r="BG17" s="304"/>
      <c r="BH17" s="10">
        <f>+BH6</f>
        <v>26751.913530238588</v>
      </c>
      <c r="BI17" s="306" t="s">
        <v>111</v>
      </c>
      <c r="BJ17" s="308">
        <v>100</v>
      </c>
      <c r="BK17" s="310">
        <f>IF(BH18=0,"-",(BH17/BH18)*BJ17)</f>
        <v>33.22938672545056</v>
      </c>
      <c r="BL17" s="304"/>
      <c r="BM17" s="10">
        <f>+BM6</f>
        <v>7625.401144384532</v>
      </c>
      <c r="BN17" s="306" t="s">
        <v>111</v>
      </c>
      <c r="BO17" s="308">
        <v>100</v>
      </c>
      <c r="BP17" s="310">
        <f>IF(BM18=0,"-",(BM17/BM18)*BO17)</f>
        <v>9.4363250701331172</v>
      </c>
      <c r="BQ17" s="304"/>
      <c r="BR17" s="10">
        <f>+BR6</f>
        <v>7120.7384743157536</v>
      </c>
      <c r="BS17" s="306" t="s">
        <v>111</v>
      </c>
      <c r="BT17" s="308">
        <v>100</v>
      </c>
      <c r="BU17" s="310">
        <f>IF(BR18=0,"-",(BR17/BR18)*BT17)</f>
        <v>9.3930453170293049</v>
      </c>
      <c r="BV17" s="304"/>
      <c r="BW17" s="10">
        <f>+BW6</f>
        <v>7131.9435089397302</v>
      </c>
      <c r="BX17" s="306" t="s">
        <v>111</v>
      </c>
      <c r="BY17" s="308">
        <v>100</v>
      </c>
      <c r="BZ17" s="310">
        <f>IF(BW18=0,"-",(BW17/BW18)*BY17)</f>
        <v>8.3440137916522996</v>
      </c>
      <c r="CA17" s="304"/>
      <c r="CB17" s="10">
        <f>+CB6</f>
        <v>27532.113608426331</v>
      </c>
      <c r="CC17" s="306" t="s">
        <v>111</v>
      </c>
      <c r="CD17" s="308">
        <v>100</v>
      </c>
      <c r="CE17" s="310">
        <f>IF(CB18=0,"-",(CB17/CB18)*CD17)</f>
        <v>31.662456282138336</v>
      </c>
      <c r="CF17" s="304"/>
      <c r="CG17" s="10">
        <f>+CG6</f>
        <v>8313.4968295508188</v>
      </c>
      <c r="CH17" s="306" t="s">
        <v>126</v>
      </c>
      <c r="CI17" s="308">
        <v>100</v>
      </c>
      <c r="CJ17" s="310">
        <f>IF(CG18=0,"-",(CG17/CG18)*CI17)</f>
        <v>9.4074891680960064</v>
      </c>
      <c r="CK17" s="304"/>
      <c r="CL17" s="10">
        <f>+CL6</f>
        <v>5840.4715681724092</v>
      </c>
      <c r="CM17" s="306" t="s">
        <v>111</v>
      </c>
      <c r="CN17" s="308">
        <v>100</v>
      </c>
      <c r="CO17" s="310">
        <f>IF(CL18=0,"-",(CL17/CL18)*CN17)</f>
        <v>8.760142569931908</v>
      </c>
      <c r="CP17" s="304"/>
      <c r="CQ17" s="10">
        <f>+CQ6</f>
        <v>-24599.084115228343</v>
      </c>
      <c r="CR17" s="306" t="s">
        <v>111</v>
      </c>
      <c r="CS17" s="308">
        <v>100</v>
      </c>
      <c r="CT17" s="310">
        <f>IF(CQ18=0,"-",(CQ17/CQ18)*CS17)</f>
        <v>-30.86168409458427</v>
      </c>
      <c r="CU17" s="304"/>
      <c r="CV17" s="10">
        <f>+CV6</f>
        <v>13665.694873952198</v>
      </c>
      <c r="CW17" s="306" t="s">
        <v>111</v>
      </c>
      <c r="CX17" s="308">
        <v>100</v>
      </c>
      <c r="CY17" s="310">
        <f>IF(CV18=0,"-",(CV17/CV18)*CX17)</f>
        <v>12.807127276929512</v>
      </c>
    </row>
    <row r="18" spans="1:103" ht="18" customHeight="1" x14ac:dyDescent="0.2">
      <c r="A18" s="17"/>
      <c r="B18" s="321"/>
      <c r="C18" s="323"/>
      <c r="D18" s="305"/>
      <c r="E18" s="12">
        <f>+E12</f>
        <v>107629.490764692</v>
      </c>
      <c r="F18" s="307"/>
      <c r="G18" s="309"/>
      <c r="H18" s="311"/>
      <c r="I18" s="305"/>
      <c r="J18" s="12">
        <f>+J12</f>
        <v>153443.90322522877</v>
      </c>
      <c r="K18" s="307"/>
      <c r="L18" s="309"/>
      <c r="M18" s="311"/>
      <c r="N18" s="305"/>
      <c r="O18" s="12">
        <f>+O12</f>
        <v>122702.14935468711</v>
      </c>
      <c r="P18" s="307"/>
      <c r="Q18" s="309"/>
      <c r="R18" s="311"/>
      <c r="S18" s="305"/>
      <c r="T18" s="12">
        <f>+T12</f>
        <v>134643.77120936109</v>
      </c>
      <c r="U18" s="307"/>
      <c r="V18" s="309"/>
      <c r="W18" s="311"/>
      <c r="X18" s="305"/>
      <c r="Y18" s="12">
        <f>+Y12</f>
        <v>122190.1530570623</v>
      </c>
      <c r="Z18" s="307"/>
      <c r="AA18" s="309"/>
      <c r="AB18" s="311"/>
      <c r="AC18" s="305"/>
      <c r="AD18" s="12">
        <f>+AD12</f>
        <v>117117.86794373595</v>
      </c>
      <c r="AE18" s="307"/>
      <c r="AF18" s="309"/>
      <c r="AG18" s="311"/>
      <c r="AH18" s="305"/>
      <c r="AI18" s="12">
        <f>+AI12</f>
        <v>128747.066465904</v>
      </c>
      <c r="AJ18" s="307"/>
      <c r="AK18" s="309"/>
      <c r="AL18" s="311"/>
      <c r="AM18" s="305"/>
      <c r="AN18" s="12">
        <f>+AN12</f>
        <v>89330.530343840102</v>
      </c>
      <c r="AO18" s="307"/>
      <c r="AP18" s="309"/>
      <c r="AQ18" s="311"/>
      <c r="AR18" s="305"/>
      <c r="AS18" s="12">
        <f>+AS12</f>
        <v>77413.875779371112</v>
      </c>
      <c r="AT18" s="307"/>
      <c r="AU18" s="309"/>
      <c r="AV18" s="311"/>
      <c r="AW18" s="305"/>
      <c r="AX18" s="12">
        <f>+AX12</f>
        <v>73200.946820408819</v>
      </c>
      <c r="AY18" s="307"/>
      <c r="AZ18" s="309"/>
      <c r="BA18" s="311"/>
      <c r="BB18" s="305"/>
      <c r="BC18" s="12">
        <f>+BC12</f>
        <v>71135.359744677393</v>
      </c>
      <c r="BD18" s="307"/>
      <c r="BE18" s="309"/>
      <c r="BF18" s="311"/>
      <c r="BG18" s="305"/>
      <c r="BH18" s="12">
        <f>+BH12</f>
        <v>80506.792831506449</v>
      </c>
      <c r="BI18" s="307"/>
      <c r="BJ18" s="309"/>
      <c r="BK18" s="311"/>
      <c r="BL18" s="305"/>
      <c r="BM18" s="12">
        <f>+BM12</f>
        <v>80809.01291244899</v>
      </c>
      <c r="BN18" s="307"/>
      <c r="BO18" s="309"/>
      <c r="BP18" s="311"/>
      <c r="BQ18" s="305"/>
      <c r="BR18" s="12">
        <f>+BR12</f>
        <v>75808.624721591332</v>
      </c>
      <c r="BS18" s="307"/>
      <c r="BT18" s="309"/>
      <c r="BU18" s="311"/>
      <c r="BV18" s="305"/>
      <c r="BW18" s="12">
        <f>+BW12</f>
        <v>85473.774217329614</v>
      </c>
      <c r="BX18" s="307"/>
      <c r="BY18" s="309"/>
      <c r="BZ18" s="311"/>
      <c r="CA18" s="305"/>
      <c r="CB18" s="12">
        <f>+CB12</f>
        <v>86955.078162896534</v>
      </c>
      <c r="CC18" s="307"/>
      <c r="CD18" s="309"/>
      <c r="CE18" s="311"/>
      <c r="CF18" s="305"/>
      <c r="CG18" s="12">
        <f>+CG12</f>
        <v>88371.048650735771</v>
      </c>
      <c r="CH18" s="307"/>
      <c r="CI18" s="309"/>
      <c r="CJ18" s="311"/>
      <c r="CK18" s="305"/>
      <c r="CL18" s="12">
        <f>+CL12</f>
        <v>66670.964787937322</v>
      </c>
      <c r="CM18" s="307"/>
      <c r="CN18" s="309"/>
      <c r="CO18" s="311"/>
      <c r="CP18" s="305"/>
      <c r="CQ18" s="12">
        <f>+CQ12</f>
        <v>79707.523542258947</v>
      </c>
      <c r="CR18" s="307"/>
      <c r="CS18" s="309"/>
      <c r="CT18" s="311"/>
      <c r="CU18" s="305"/>
      <c r="CV18" s="12">
        <f>+CV12</f>
        <v>106703.8265370353</v>
      </c>
      <c r="CW18" s="307"/>
      <c r="CX18" s="309"/>
      <c r="CY18" s="311"/>
    </row>
    <row r="19" spans="1:103" ht="18" customHeight="1" x14ac:dyDescent="0.2">
      <c r="A19" s="17"/>
      <c r="B19" s="320" t="s">
        <v>127</v>
      </c>
      <c r="C19" s="322" t="s">
        <v>117</v>
      </c>
      <c r="D19" s="304"/>
      <c r="E19" s="10">
        <f>+PL!K16</f>
        <v>56958.617150687198</v>
      </c>
      <c r="F19" s="306" t="s">
        <v>123</v>
      </c>
      <c r="G19" s="308">
        <v>100</v>
      </c>
      <c r="H19" s="310">
        <f>IF(E20=0,"-",(E19/E20)*G19)</f>
        <v>52.92101332637035</v>
      </c>
      <c r="I19" s="304"/>
      <c r="J19" s="10">
        <f>+PL!L16</f>
        <v>68914.023745993094</v>
      </c>
      <c r="K19" s="306" t="s">
        <v>111</v>
      </c>
      <c r="L19" s="308">
        <v>100</v>
      </c>
      <c r="M19" s="310">
        <f>IF(J20=0,"-",(J19/J20)*L19)</f>
        <v>44.911542457857955</v>
      </c>
      <c r="N19" s="304"/>
      <c r="O19" s="10">
        <f>+PL!M16</f>
        <v>61988.426223479182</v>
      </c>
      <c r="P19" s="306" t="s">
        <v>111</v>
      </c>
      <c r="Q19" s="308">
        <v>100</v>
      </c>
      <c r="R19" s="310">
        <f>IF(O20=0,"-",(O19/O20)*Q19)</f>
        <v>50.519429813974391</v>
      </c>
      <c r="S19" s="304"/>
      <c r="T19" s="10">
        <f>+PL!N16</f>
        <v>58077.653488866221</v>
      </c>
      <c r="U19" s="306" t="s">
        <v>111</v>
      </c>
      <c r="V19" s="308">
        <v>100</v>
      </c>
      <c r="W19" s="310">
        <f>IF(T20=0,"-",(T19/T20)*V19)</f>
        <v>43.134303924508899</v>
      </c>
      <c r="X19" s="304"/>
      <c r="Y19" s="10">
        <f>+PL!O16</f>
        <v>59044.678348603105</v>
      </c>
      <c r="Z19" s="306" t="s">
        <v>111</v>
      </c>
      <c r="AA19" s="308">
        <v>100</v>
      </c>
      <c r="AB19" s="310">
        <f>IF(Y20=0,"-",(Y19/Y20)*AA19)</f>
        <v>48.321961198485027</v>
      </c>
      <c r="AC19" s="304"/>
      <c r="AD19" s="10">
        <f>+PL!P16</f>
        <v>56694.50834566624</v>
      </c>
      <c r="AE19" s="306" t="s">
        <v>111</v>
      </c>
      <c r="AF19" s="308">
        <v>100</v>
      </c>
      <c r="AG19" s="310">
        <f>IF(AD20=0,"-",(AD19/AD20)*AF19)</f>
        <v>48.408077555597735</v>
      </c>
      <c r="AH19" s="304"/>
      <c r="AI19" s="10">
        <f>+PL!Q16</f>
        <v>57753.49307085391</v>
      </c>
      <c r="AJ19" s="306" t="s">
        <v>123</v>
      </c>
      <c r="AK19" s="308">
        <v>100</v>
      </c>
      <c r="AL19" s="310">
        <f>IF(AI20=0,"-",(AI19/AI20)*AK19)</f>
        <v>44.858104076607233</v>
      </c>
      <c r="AM19" s="304"/>
      <c r="AN19" s="10">
        <f>+PL!R16</f>
        <v>48579.5381540362</v>
      </c>
      <c r="AO19" s="306" t="s">
        <v>123</v>
      </c>
      <c r="AP19" s="308">
        <v>100</v>
      </c>
      <c r="AQ19" s="310">
        <f>IF(AN20=0,"-",(AN19/AN20)*AP19)</f>
        <v>54.381786346784025</v>
      </c>
      <c r="AR19" s="304"/>
      <c r="AS19" s="10">
        <f>+PL!S16</f>
        <v>43761.212286516682</v>
      </c>
      <c r="AT19" s="306" t="s">
        <v>111</v>
      </c>
      <c r="AU19" s="308">
        <v>100</v>
      </c>
      <c r="AV19" s="310">
        <f>IF(AS20=0,"-",(AS19/AS20)*AU19)</f>
        <v>56.528899820538328</v>
      </c>
      <c r="AW19" s="304"/>
      <c r="AX19" s="10">
        <f>+PL!T16</f>
        <v>42124.405495623905</v>
      </c>
      <c r="AY19" s="306" t="s">
        <v>111</v>
      </c>
      <c r="AZ19" s="308">
        <v>100</v>
      </c>
      <c r="BA19" s="310">
        <f>IF(AX20=0,"-",(AX19/AX20)*AZ19)</f>
        <v>57.546257699332649</v>
      </c>
      <c r="BB19" s="304"/>
      <c r="BC19" s="10">
        <f>+PL!U16</f>
        <v>38643.870475055752</v>
      </c>
      <c r="BD19" s="306" t="s">
        <v>111</v>
      </c>
      <c r="BE19" s="308">
        <v>100</v>
      </c>
      <c r="BF19" s="310">
        <f>IF(BC20=0,"-",(BC19/BC20)*BE19)</f>
        <v>54.32441842391502</v>
      </c>
      <c r="BG19" s="304"/>
      <c r="BH19" s="10">
        <f>+PL!V16</f>
        <v>45478.021400228106</v>
      </c>
      <c r="BI19" s="306" t="s">
        <v>111</v>
      </c>
      <c r="BJ19" s="308">
        <v>100</v>
      </c>
      <c r="BK19" s="310">
        <f>IF(BH20=0,"-",(BH19/BH20)*BJ19)</f>
        <v>56.4896697542151</v>
      </c>
      <c r="BL19" s="304"/>
      <c r="BM19" s="10">
        <f>+PL!W16</f>
        <v>43543.429334226006</v>
      </c>
      <c r="BN19" s="306" t="s">
        <v>111</v>
      </c>
      <c r="BO19" s="308">
        <v>100</v>
      </c>
      <c r="BP19" s="310">
        <f>IF(BM20=0,"-",(BM19/BM20)*BO19)</f>
        <v>53.884372256102566</v>
      </c>
      <c r="BQ19" s="304"/>
      <c r="BR19" s="10">
        <f>+PL!X16</f>
        <v>40625.517939028832</v>
      </c>
      <c r="BS19" s="306" t="s">
        <v>111</v>
      </c>
      <c r="BT19" s="308">
        <v>100</v>
      </c>
      <c r="BU19" s="310">
        <f>IF(BR20=0,"-",(BR19/BR20)*BT19)</f>
        <v>53.589572543001339</v>
      </c>
      <c r="BV19" s="304"/>
      <c r="BW19" s="10">
        <f>+PL!Y16</f>
        <v>42602.608525791547</v>
      </c>
      <c r="BX19" s="306" t="s">
        <v>111</v>
      </c>
      <c r="BY19" s="308">
        <v>100</v>
      </c>
      <c r="BZ19" s="310">
        <f>IF(BW20=0,"-",(BW19/BW20)*BY19)</f>
        <v>49.842900838177762</v>
      </c>
      <c r="CA19" s="304"/>
      <c r="CB19" s="10">
        <f>+PL!Z16</f>
        <v>43387.357845991457</v>
      </c>
      <c r="CC19" s="306" t="s">
        <v>111</v>
      </c>
      <c r="CD19" s="308">
        <v>100</v>
      </c>
      <c r="CE19" s="310">
        <f>IF(CB20=0,"-",(CB19/CB20)*CD19)</f>
        <v>49.896289857519456</v>
      </c>
      <c r="CF19" s="304"/>
      <c r="CG19" s="10">
        <f>+PL!AA16</f>
        <v>44279.190407138878</v>
      </c>
      <c r="CH19" s="306" t="s">
        <v>123</v>
      </c>
      <c r="CI19" s="308">
        <v>100</v>
      </c>
      <c r="CJ19" s="310">
        <f>IF(CG20=0,"-",(CG19/CG20)*CI19)</f>
        <v>50.105991818815212</v>
      </c>
      <c r="CK19" s="304"/>
      <c r="CL19" s="10">
        <f>+PL!AB16</f>
        <v>39705.975557283891</v>
      </c>
      <c r="CM19" s="306" t="s">
        <v>111</v>
      </c>
      <c r="CN19" s="308">
        <v>100</v>
      </c>
      <c r="CO19" s="310">
        <f>IF(CL20=0,"-",(CL19/CL20)*CN19)</f>
        <v>59.555123708765997</v>
      </c>
      <c r="CP19" s="304"/>
      <c r="CQ19" s="10">
        <f>+PL!AC16</f>
        <v>39664.146774606816</v>
      </c>
      <c r="CR19" s="306" t="s">
        <v>111</v>
      </c>
      <c r="CS19" s="308">
        <v>100</v>
      </c>
      <c r="CT19" s="310">
        <f>IF(CQ20=0,"-",(CQ19/CQ20)*CS19)</f>
        <v>49.762111544687336</v>
      </c>
      <c r="CU19" s="304"/>
      <c r="CV19" s="10">
        <f>+PL!AD16</f>
        <v>51181.96068679692</v>
      </c>
      <c r="CW19" s="306" t="s">
        <v>111</v>
      </c>
      <c r="CX19" s="308">
        <v>100</v>
      </c>
      <c r="CY19" s="310">
        <f>IF(CV20=0,"-",(CV19/CV20)*CX19)</f>
        <v>47.966377915259137</v>
      </c>
    </row>
    <row r="20" spans="1:103" ht="18" customHeight="1" x14ac:dyDescent="0.2">
      <c r="A20" s="17"/>
      <c r="B20" s="321"/>
      <c r="C20" s="323"/>
      <c r="D20" s="305"/>
      <c r="E20" s="12">
        <f>+E12</f>
        <v>107629.490764692</v>
      </c>
      <c r="F20" s="307"/>
      <c r="G20" s="309"/>
      <c r="H20" s="311"/>
      <c r="I20" s="305"/>
      <c r="J20" s="12">
        <f>+J12</f>
        <v>153443.90322522877</v>
      </c>
      <c r="K20" s="307"/>
      <c r="L20" s="309"/>
      <c r="M20" s="311"/>
      <c r="N20" s="305"/>
      <c r="O20" s="12">
        <f>+O12</f>
        <v>122702.14935468711</v>
      </c>
      <c r="P20" s="307"/>
      <c r="Q20" s="309"/>
      <c r="R20" s="311"/>
      <c r="S20" s="305"/>
      <c r="T20" s="12">
        <f>+T12</f>
        <v>134643.77120936109</v>
      </c>
      <c r="U20" s="307"/>
      <c r="V20" s="309"/>
      <c r="W20" s="311"/>
      <c r="X20" s="305"/>
      <c r="Y20" s="12">
        <f>+Y12</f>
        <v>122190.1530570623</v>
      </c>
      <c r="Z20" s="307"/>
      <c r="AA20" s="309"/>
      <c r="AB20" s="311"/>
      <c r="AC20" s="305"/>
      <c r="AD20" s="12">
        <f>+AD12</f>
        <v>117117.86794373595</v>
      </c>
      <c r="AE20" s="307"/>
      <c r="AF20" s="309"/>
      <c r="AG20" s="311"/>
      <c r="AH20" s="305"/>
      <c r="AI20" s="12">
        <f>+AI12</f>
        <v>128747.066465904</v>
      </c>
      <c r="AJ20" s="307"/>
      <c r="AK20" s="309"/>
      <c r="AL20" s="311"/>
      <c r="AM20" s="305"/>
      <c r="AN20" s="12">
        <f>+AN12</f>
        <v>89330.530343840102</v>
      </c>
      <c r="AO20" s="307"/>
      <c r="AP20" s="309"/>
      <c r="AQ20" s="311"/>
      <c r="AR20" s="305"/>
      <c r="AS20" s="12">
        <f>+AS12</f>
        <v>77413.875779371112</v>
      </c>
      <c r="AT20" s="307"/>
      <c r="AU20" s="309"/>
      <c r="AV20" s="311"/>
      <c r="AW20" s="305"/>
      <c r="AX20" s="12">
        <f>+AX12</f>
        <v>73200.946820408819</v>
      </c>
      <c r="AY20" s="307"/>
      <c r="AZ20" s="309"/>
      <c r="BA20" s="311"/>
      <c r="BB20" s="305"/>
      <c r="BC20" s="12">
        <f>+BC12</f>
        <v>71135.359744677393</v>
      </c>
      <c r="BD20" s="307"/>
      <c r="BE20" s="309"/>
      <c r="BF20" s="311"/>
      <c r="BG20" s="305"/>
      <c r="BH20" s="12">
        <f>+BH12</f>
        <v>80506.792831506449</v>
      </c>
      <c r="BI20" s="307"/>
      <c r="BJ20" s="309"/>
      <c r="BK20" s="311"/>
      <c r="BL20" s="305"/>
      <c r="BM20" s="12">
        <f>+BM12</f>
        <v>80809.01291244899</v>
      </c>
      <c r="BN20" s="307"/>
      <c r="BO20" s="309"/>
      <c r="BP20" s="311"/>
      <c r="BQ20" s="305"/>
      <c r="BR20" s="12">
        <f>+BR12</f>
        <v>75808.624721591332</v>
      </c>
      <c r="BS20" s="307"/>
      <c r="BT20" s="309"/>
      <c r="BU20" s="311"/>
      <c r="BV20" s="305"/>
      <c r="BW20" s="12">
        <f>+BW12</f>
        <v>85473.774217329614</v>
      </c>
      <c r="BX20" s="307"/>
      <c r="BY20" s="309"/>
      <c r="BZ20" s="311"/>
      <c r="CA20" s="305"/>
      <c r="CB20" s="12">
        <f>+CB12</f>
        <v>86955.078162896534</v>
      </c>
      <c r="CC20" s="307"/>
      <c r="CD20" s="309"/>
      <c r="CE20" s="311"/>
      <c r="CF20" s="305"/>
      <c r="CG20" s="12">
        <f>+CG12</f>
        <v>88371.048650735771</v>
      </c>
      <c r="CH20" s="307"/>
      <c r="CI20" s="309"/>
      <c r="CJ20" s="311"/>
      <c r="CK20" s="305"/>
      <c r="CL20" s="12">
        <f>+CL12</f>
        <v>66670.964787937322</v>
      </c>
      <c r="CM20" s="307"/>
      <c r="CN20" s="309"/>
      <c r="CO20" s="311"/>
      <c r="CP20" s="305"/>
      <c r="CQ20" s="12">
        <f>+CQ12</f>
        <v>79707.523542258947</v>
      </c>
      <c r="CR20" s="307"/>
      <c r="CS20" s="309"/>
      <c r="CT20" s="311"/>
      <c r="CU20" s="305"/>
      <c r="CV20" s="12">
        <f>+CV12</f>
        <v>106703.8265370353</v>
      </c>
      <c r="CW20" s="307"/>
      <c r="CX20" s="309"/>
      <c r="CY20" s="311"/>
    </row>
    <row r="21" spans="1:103"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c r="CU21" s="7"/>
      <c r="CV21" s="18"/>
      <c r="CW21" s="7"/>
      <c r="CX21" s="7"/>
      <c r="CY21" s="8"/>
    </row>
    <row r="22" spans="1:103" ht="18" customHeight="1" x14ac:dyDescent="0.2">
      <c r="A22" s="11"/>
      <c r="B22" s="320" t="s">
        <v>129</v>
      </c>
      <c r="C22" s="322" t="s">
        <v>130</v>
      </c>
      <c r="D22" s="304"/>
      <c r="E22" s="10">
        <f>+PL!K45</f>
        <v>69197.352032327035</v>
      </c>
      <c r="F22" s="306"/>
      <c r="G22" s="308"/>
      <c r="H22" s="314">
        <f>IF(E23=0,"-",(E22/E23))</f>
        <v>90227.129367565896</v>
      </c>
      <c r="I22" s="304"/>
      <c r="J22" s="10">
        <f>+PL!L45</f>
        <v>104857.61358141867</v>
      </c>
      <c r="K22" s="306"/>
      <c r="L22" s="308"/>
      <c r="M22" s="314">
        <f>IF(J23=0,"-",(J22/J23))</f>
        <v>128284.39567433723</v>
      </c>
      <c r="N22" s="304"/>
      <c r="O22" s="10">
        <f>+PL!M45</f>
        <v>91332.245623798415</v>
      </c>
      <c r="P22" s="306"/>
      <c r="Q22" s="308"/>
      <c r="R22" s="314">
        <f>IF(O23=0,"-",(O22/O23))</f>
        <v>104720.21653811367</v>
      </c>
      <c r="S22" s="304"/>
      <c r="T22" s="10">
        <f>+PL!N45</f>
        <v>92937.258761883655</v>
      </c>
      <c r="U22" s="306"/>
      <c r="V22" s="308"/>
      <c r="W22" s="314">
        <f>IF(T23=0,"-",(T22/T23))</f>
        <v>114274.5880149927</v>
      </c>
      <c r="X22" s="304"/>
      <c r="Y22" s="10">
        <f>+PL!O45</f>
        <v>83432.571604995261</v>
      </c>
      <c r="Z22" s="306"/>
      <c r="AA22" s="308"/>
      <c r="AB22" s="314">
        <f>IF(Y23=0,"-",(Y22/Y23))</f>
        <v>101862.26481640317</v>
      </c>
      <c r="AC22" s="304"/>
      <c r="AD22" s="10">
        <f>+PL!P45</f>
        <v>88122.617900868616</v>
      </c>
      <c r="AE22" s="306"/>
      <c r="AF22" s="308"/>
      <c r="AG22" s="314">
        <f>IF(AD23=0,"-",(AD22/AD23))</f>
        <v>99523.649676287925</v>
      </c>
      <c r="AH22" s="304"/>
      <c r="AI22" s="10">
        <f>+PL!Q45</f>
        <v>99879.511543200817</v>
      </c>
      <c r="AJ22" s="306"/>
      <c r="AK22" s="308"/>
      <c r="AL22" s="314">
        <f>IF(AI23=0,"-",(AI22/AI23))</f>
        <v>111011.86195177806</v>
      </c>
      <c r="AM22" s="304"/>
      <c r="AN22" s="10">
        <f>+PL!R45</f>
        <v>64203.831769557932</v>
      </c>
      <c r="AO22" s="306"/>
      <c r="AP22" s="308"/>
      <c r="AQ22" s="314">
        <f>IF(AN23=0,"-",(AN22/AN23))</f>
        <v>77701.586469930873</v>
      </c>
      <c r="AR22" s="304"/>
      <c r="AS22" s="10">
        <f>+PL!S45</f>
        <v>59743.914439814296</v>
      </c>
      <c r="AT22" s="306"/>
      <c r="AU22" s="308"/>
      <c r="AV22" s="314">
        <f>IF(AS23=0,"-",(AS22/AS23))</f>
        <v>68310.445172125663</v>
      </c>
      <c r="AW22" s="304"/>
      <c r="AX22" s="10">
        <f>+PL!T45</f>
        <v>56357.945000815569</v>
      </c>
      <c r="AY22" s="306"/>
      <c r="AZ22" s="308"/>
      <c r="BA22" s="314">
        <f>IF(AX23=0,"-",(AX22/AX23))</f>
        <v>64168.938942664485</v>
      </c>
      <c r="BB22" s="304"/>
      <c r="BC22" s="10">
        <f>+PL!U45</f>
        <v>54646.704865462656</v>
      </c>
      <c r="BD22" s="306"/>
      <c r="BE22" s="308"/>
      <c r="BF22" s="314">
        <f>IF(BC23=0,"-",(BC22/BC23))</f>
        <v>60917.516549468048</v>
      </c>
      <c r="BG22" s="304"/>
      <c r="BH22" s="10">
        <f>+PL!V45</f>
        <v>59973.703701267121</v>
      </c>
      <c r="BI22" s="306"/>
      <c r="BJ22" s="308"/>
      <c r="BK22" s="314">
        <f>IF(BH23=0,"-",(BH22/BH23))</f>
        <v>67159.244298270423</v>
      </c>
      <c r="BL22" s="304"/>
      <c r="BM22" s="10">
        <f>+PL!W45</f>
        <v>59941.815370183263</v>
      </c>
      <c r="BN22" s="306"/>
      <c r="BO22" s="308"/>
      <c r="BP22" s="314">
        <f>IF(BM23=0,"-",(BM22/BM23))</f>
        <v>67742.345098438294</v>
      </c>
      <c r="BQ22" s="304"/>
      <c r="BR22" s="10">
        <f>+PL!X45</f>
        <v>58238.274877728414</v>
      </c>
      <c r="BS22" s="306"/>
      <c r="BT22" s="308"/>
      <c r="BU22" s="314">
        <f>IF(BR23=0,"-",(BR22/BR23))</f>
        <v>64905.516273567577</v>
      </c>
      <c r="BV22" s="304"/>
      <c r="BW22" s="10">
        <f>+PL!Y45</f>
        <v>63106.602533253303</v>
      </c>
      <c r="BX22" s="306"/>
      <c r="BY22" s="308"/>
      <c r="BZ22" s="314">
        <f>IF(BW23=0,"-",(BW22/BW23))</f>
        <v>72514.722914075945</v>
      </c>
      <c r="CA22" s="304"/>
      <c r="CB22" s="10">
        <f>+PL!Z45</f>
        <v>63199.050254217167</v>
      </c>
      <c r="CC22" s="306"/>
      <c r="CD22" s="308"/>
      <c r="CE22" s="314">
        <f>IF(CB23=0,"-",(CB22/CB23))</f>
        <v>73603.21346318908</v>
      </c>
      <c r="CF22" s="304"/>
      <c r="CG22" s="10">
        <f>+PL!AA45</f>
        <v>69067.703024582792</v>
      </c>
      <c r="CH22" s="306"/>
      <c r="CI22" s="308"/>
      <c r="CJ22" s="314">
        <f>IF(CG23=0,"-",(CG22/CG23))</f>
        <v>78755.540995677278</v>
      </c>
      <c r="CK22" s="304"/>
      <c r="CL22" s="10">
        <f>+PL!AB45</f>
        <v>51342.234059234543</v>
      </c>
      <c r="CM22" s="306"/>
      <c r="CN22" s="308"/>
      <c r="CO22" s="314">
        <f>IF(CL23=0,"-",(CL22/CL23))</f>
        <v>58406.190128285321</v>
      </c>
      <c r="CP22" s="304"/>
      <c r="CQ22" s="10">
        <f>+PL!AC45</f>
        <v>58915.678131748798</v>
      </c>
      <c r="CR22" s="306"/>
      <c r="CS22" s="308"/>
      <c r="CT22" s="314">
        <f>IF(CQ23=0,"-",(CQ22/CQ23))</f>
        <v>68222.412999482258</v>
      </c>
      <c r="CU22" s="304"/>
      <c r="CV22" s="10">
        <f>+PL!AD45</f>
        <v>82129.847907513002</v>
      </c>
      <c r="CW22" s="306"/>
      <c r="CX22" s="308"/>
      <c r="CY22" s="314">
        <f>IF(CV23=0,"-",(CV22/CV23))</f>
        <v>89147.773420723548</v>
      </c>
    </row>
    <row r="23" spans="1:103" ht="18" customHeight="1" x14ac:dyDescent="0.2">
      <c r="A23" s="11"/>
      <c r="B23" s="321"/>
      <c r="C23" s="323"/>
      <c r="D23" s="305"/>
      <c r="E23" s="19">
        <f>PL!K44/PL!K6</f>
        <v>0.76692401185049253</v>
      </c>
      <c r="F23" s="307"/>
      <c r="G23" s="309"/>
      <c r="H23" s="315"/>
      <c r="I23" s="305"/>
      <c r="J23" s="19">
        <f>PL!L44/PL!L6</f>
        <v>0.81738400863352245</v>
      </c>
      <c r="K23" s="307"/>
      <c r="L23" s="309"/>
      <c r="M23" s="315"/>
      <c r="N23" s="305"/>
      <c r="O23" s="19">
        <f>PL!M44/PL!M6</f>
        <v>0.87215485837500528</v>
      </c>
      <c r="P23" s="307"/>
      <c r="Q23" s="309"/>
      <c r="R23" s="315"/>
      <c r="S23" s="305"/>
      <c r="T23" s="19">
        <f>PL!N44/PL!N6</f>
        <v>0.81328019095278115</v>
      </c>
      <c r="U23" s="307"/>
      <c r="V23" s="309"/>
      <c r="W23" s="315"/>
      <c r="X23" s="305"/>
      <c r="Y23" s="19">
        <f>PL!O44/PL!O6</f>
        <v>0.81907241857791357</v>
      </c>
      <c r="Z23" s="307"/>
      <c r="AA23" s="309"/>
      <c r="AB23" s="315"/>
      <c r="AC23" s="305"/>
      <c r="AD23" s="19">
        <f>PL!P44/PL!P6</f>
        <v>0.88544399434202348</v>
      </c>
      <c r="AE23" s="307"/>
      <c r="AF23" s="309"/>
      <c r="AG23" s="315"/>
      <c r="AH23" s="305"/>
      <c r="AI23" s="19">
        <f>PL!Q44/PL!Q6</f>
        <v>0.89971927132063623</v>
      </c>
      <c r="AJ23" s="307"/>
      <c r="AK23" s="309"/>
      <c r="AL23" s="315"/>
      <c r="AM23" s="305"/>
      <c r="AN23" s="19">
        <f>PL!R44/PL!R6</f>
        <v>0.82628727013706049</v>
      </c>
      <c r="AO23" s="307"/>
      <c r="AP23" s="309"/>
      <c r="AQ23" s="315"/>
      <c r="AR23" s="305"/>
      <c r="AS23" s="19">
        <f>PL!S44/PL!S6</f>
        <v>0.87459413109187323</v>
      </c>
      <c r="AT23" s="307"/>
      <c r="AU23" s="309"/>
      <c r="AV23" s="315"/>
      <c r="AW23" s="305"/>
      <c r="AX23" s="19">
        <f>PL!T44/PL!T6</f>
        <v>0.87827453483642437</v>
      </c>
      <c r="AY23" s="307"/>
      <c r="AZ23" s="309"/>
      <c r="BA23" s="315"/>
      <c r="BB23" s="305"/>
      <c r="BC23" s="19">
        <f>PL!U44/PL!U6</f>
        <v>0.89706061508739965</v>
      </c>
      <c r="BD23" s="307"/>
      <c r="BE23" s="309"/>
      <c r="BF23" s="315"/>
      <c r="BG23" s="305"/>
      <c r="BH23" s="19">
        <f>PL!V44/PL!V6</f>
        <v>0.89300742329543525</v>
      </c>
      <c r="BI23" s="307"/>
      <c r="BJ23" s="309"/>
      <c r="BK23" s="315"/>
      <c r="BL23" s="305"/>
      <c r="BM23" s="19">
        <f>PL!W44/PL!W6</f>
        <v>0.88485001933547081</v>
      </c>
      <c r="BN23" s="307"/>
      <c r="BO23" s="309"/>
      <c r="BP23" s="315"/>
      <c r="BQ23" s="305"/>
      <c r="BR23" s="19">
        <f>PL!X44/PL!X6</f>
        <v>0.89727773880208139</v>
      </c>
      <c r="BS23" s="307"/>
      <c r="BT23" s="309"/>
      <c r="BU23" s="315"/>
      <c r="BV23" s="305"/>
      <c r="BW23" s="19">
        <f>PL!Y44/PL!Y6</f>
        <v>0.87025916941073478</v>
      </c>
      <c r="BX23" s="307"/>
      <c r="BY23" s="309"/>
      <c r="BZ23" s="315"/>
      <c r="CA23" s="305"/>
      <c r="CB23" s="19">
        <f>PL!Z44/PL!Z6</f>
        <v>0.85864525855008611</v>
      </c>
      <c r="CC23" s="307"/>
      <c r="CD23" s="309"/>
      <c r="CE23" s="315"/>
      <c r="CF23" s="305"/>
      <c r="CG23" s="19">
        <f>PL!AA44/PL!AA6</f>
        <v>0.87698849060504536</v>
      </c>
      <c r="CH23" s="307"/>
      <c r="CI23" s="309"/>
      <c r="CJ23" s="315"/>
      <c r="CK23" s="305"/>
      <c r="CL23" s="19">
        <f>PL!AB44/PL!AB6</f>
        <v>0.87905466777519181</v>
      </c>
      <c r="CM23" s="307"/>
      <c r="CN23" s="309"/>
      <c r="CO23" s="315"/>
      <c r="CP23" s="305"/>
      <c r="CQ23" s="19">
        <f>PL!AC44/PL!AC6</f>
        <v>0.86358244367867654</v>
      </c>
      <c r="CR23" s="307"/>
      <c r="CS23" s="309"/>
      <c r="CT23" s="315"/>
      <c r="CU23" s="305"/>
      <c r="CV23" s="19">
        <f>PL!AD44/PL!AD6</f>
        <v>0.92127761306959199</v>
      </c>
      <c r="CW23" s="307"/>
      <c r="CX23" s="309"/>
      <c r="CY23" s="315"/>
    </row>
    <row r="24" spans="1:103" ht="18" customHeight="1" x14ac:dyDescent="0.2">
      <c r="A24" s="20"/>
      <c r="B24" s="320" t="s">
        <v>131</v>
      </c>
      <c r="C24" s="322" t="s">
        <v>132</v>
      </c>
      <c r="D24" s="304"/>
      <c r="E24" s="10">
        <f>+H22</f>
        <v>90227.129367565896</v>
      </c>
      <c r="F24" s="306" t="s">
        <v>133</v>
      </c>
      <c r="G24" s="308">
        <v>100</v>
      </c>
      <c r="H24" s="310">
        <f>IF(E25=0,"-",(E24/E25)*G24)</f>
        <v>83.831233174583616</v>
      </c>
      <c r="I24" s="304"/>
      <c r="J24" s="10">
        <f>+M22</f>
        <v>128284.39567433723</v>
      </c>
      <c r="K24" s="306" t="s">
        <v>111</v>
      </c>
      <c r="L24" s="308">
        <v>100</v>
      </c>
      <c r="M24" s="310">
        <f>IF(J25=0,"-",(J24/J25)*L24)</f>
        <v>83.603449194092903</v>
      </c>
      <c r="N24" s="304"/>
      <c r="O24" s="10">
        <f>+R22</f>
        <v>104720.21653811367</v>
      </c>
      <c r="P24" s="306" t="s">
        <v>111</v>
      </c>
      <c r="Q24" s="308">
        <v>100</v>
      </c>
      <c r="R24" s="310">
        <f>IF(O25=0,"-",(O24/O25)*Q24)</f>
        <v>85.345054743422438</v>
      </c>
      <c r="S24" s="304"/>
      <c r="T24" s="10">
        <f>+W22</f>
        <v>114274.5880149927</v>
      </c>
      <c r="U24" s="306" t="s">
        <v>111</v>
      </c>
      <c r="V24" s="308">
        <v>100</v>
      </c>
      <c r="W24" s="310">
        <f>IF(T25=0,"-",(T24/T25)*V24)</f>
        <v>84.871796881939815</v>
      </c>
      <c r="X24" s="304"/>
      <c r="Y24" s="10">
        <f>+AB22</f>
        <v>101862.26481640317</v>
      </c>
      <c r="Z24" s="306" t="s">
        <v>111</v>
      </c>
      <c r="AA24" s="308">
        <v>100</v>
      </c>
      <c r="AB24" s="310">
        <f>IF(Y25=0,"-",(Y24/Y25)*AA24)</f>
        <v>83.363726346127024</v>
      </c>
      <c r="AC24" s="304"/>
      <c r="AD24" s="10">
        <f>+AG22</f>
        <v>99523.649676287925</v>
      </c>
      <c r="AE24" s="306" t="s">
        <v>111</v>
      </c>
      <c r="AF24" s="308">
        <v>100</v>
      </c>
      <c r="AG24" s="310">
        <f>IF(AD25=0,"-",(AD24/AD25)*AF24)</f>
        <v>84.977340711239393</v>
      </c>
      <c r="AH24" s="304"/>
      <c r="AI24" s="10">
        <f>+AL22</f>
        <v>111011.86195177806</v>
      </c>
      <c r="AJ24" s="306" t="s">
        <v>133</v>
      </c>
      <c r="AK24" s="308">
        <v>100</v>
      </c>
      <c r="AL24" s="310">
        <f>IF(AI25=0,"-",(AI24/AI25)*AK24)</f>
        <v>86.224770007615874</v>
      </c>
      <c r="AM24" s="304"/>
      <c r="AN24" s="10">
        <f>+AQ22</f>
        <v>77701.586469930873</v>
      </c>
      <c r="AO24" s="306" t="s">
        <v>133</v>
      </c>
      <c r="AP24" s="308">
        <v>100</v>
      </c>
      <c r="AQ24" s="310">
        <f>IF(AN25=0,"-",(AN24/AN25)*AP24)</f>
        <v>86.982117055447304</v>
      </c>
      <c r="AR24" s="304"/>
      <c r="AS24" s="10">
        <f>+AV22</f>
        <v>68310.445172125663</v>
      </c>
      <c r="AT24" s="306" t="s">
        <v>111</v>
      </c>
      <c r="AU24" s="308">
        <v>100</v>
      </c>
      <c r="AV24" s="310">
        <f>IF(AS25=0,"-",(AS24/AS25)*AU24)</f>
        <v>88.240569903527174</v>
      </c>
      <c r="AW24" s="304"/>
      <c r="AX24" s="10">
        <f>+BA22</f>
        <v>64168.938942664485</v>
      </c>
      <c r="AY24" s="306" t="s">
        <v>111</v>
      </c>
      <c r="AZ24" s="308">
        <v>100</v>
      </c>
      <c r="BA24" s="310">
        <f>IF(AX25=0,"-",(AX24/AX25)*AZ24)</f>
        <v>87.661351020631656</v>
      </c>
      <c r="BB24" s="304"/>
      <c r="BC24" s="10">
        <f>+BF22</f>
        <v>60917.516549468048</v>
      </c>
      <c r="BD24" s="306" t="s">
        <v>111</v>
      </c>
      <c r="BE24" s="308">
        <v>100</v>
      </c>
      <c r="BF24" s="310">
        <f>IF(BC25=0,"-",(BC24/BC25)*BE24)</f>
        <v>85.636056060047011</v>
      </c>
      <c r="BG24" s="304"/>
      <c r="BH24" s="10">
        <f>+BK22</f>
        <v>67159.244298270423</v>
      </c>
      <c r="BI24" s="306" t="s">
        <v>111</v>
      </c>
      <c r="BJ24" s="308">
        <v>100</v>
      </c>
      <c r="BK24" s="310">
        <f>IF(BH25=0,"-",(BH24/BH25)*BJ24)</f>
        <v>83.420593388720306</v>
      </c>
      <c r="BL24" s="304"/>
      <c r="BM24" s="10">
        <f>+BP22</f>
        <v>67742.345098438294</v>
      </c>
      <c r="BN24" s="306" t="s">
        <v>111</v>
      </c>
      <c r="BO24" s="308">
        <v>100</v>
      </c>
      <c r="BP24" s="310">
        <f>IF(BM25=0,"-",(BM24/BM25)*BO24)</f>
        <v>83.830185095606197</v>
      </c>
      <c r="BQ24" s="304"/>
      <c r="BR24" s="10">
        <f>+BU22</f>
        <v>64905.516273567577</v>
      </c>
      <c r="BS24" s="306" t="s">
        <v>111</v>
      </c>
      <c r="BT24" s="308">
        <v>100</v>
      </c>
      <c r="BU24" s="310">
        <f>IF(BR25=0,"-",(BR24/BR25)*BT24)</f>
        <v>85.617588383820916</v>
      </c>
      <c r="BV24" s="304"/>
      <c r="BW24" s="10">
        <f>+BZ22</f>
        <v>72514.722914075945</v>
      </c>
      <c r="BX24" s="306" t="s">
        <v>111</v>
      </c>
      <c r="BY24" s="308">
        <v>100</v>
      </c>
      <c r="BZ24" s="310">
        <f>IF(BW25=0,"-",(BW24/BW25)*BY24)</f>
        <v>84.838564317631068</v>
      </c>
      <c r="CA24" s="304"/>
      <c r="CB24" s="10">
        <f>+CE22</f>
        <v>73603.21346318908</v>
      </c>
      <c r="CC24" s="306" t="s">
        <v>111</v>
      </c>
      <c r="CD24" s="308">
        <v>100</v>
      </c>
      <c r="CE24" s="310">
        <f>IF(CB25=0,"-",(CB24/CB25)*CD24)</f>
        <v>84.645100686707622</v>
      </c>
      <c r="CF24" s="304"/>
      <c r="CG24" s="10">
        <f>+CJ22</f>
        <v>78755.540995677278</v>
      </c>
      <c r="CH24" s="306" t="s">
        <v>126</v>
      </c>
      <c r="CI24" s="308">
        <v>100</v>
      </c>
      <c r="CJ24" s="310">
        <f>IF(CG25=0,"-",(CG24/CG25)*CI24)</f>
        <v>89.119165380665152</v>
      </c>
      <c r="CK24" s="304"/>
      <c r="CL24" s="10">
        <f>+CO22</f>
        <v>58406.190128285321</v>
      </c>
      <c r="CM24" s="306" t="s">
        <v>111</v>
      </c>
      <c r="CN24" s="308">
        <v>100</v>
      </c>
      <c r="CO24" s="310">
        <f>IF(CL25=0,"-",(CL24/CL25)*CN24)</f>
        <v>87.603637226579721</v>
      </c>
      <c r="CP24" s="304"/>
      <c r="CQ24" s="10">
        <f>+CT22</f>
        <v>68222.412999482258</v>
      </c>
      <c r="CR24" s="306" t="s">
        <v>111</v>
      </c>
      <c r="CS24" s="308">
        <v>100</v>
      </c>
      <c r="CT24" s="310">
        <f>IF(CQ25=0,"-",(CQ24/CQ25)*CS24)</f>
        <v>85.590932910257123</v>
      </c>
      <c r="CU24" s="304"/>
      <c r="CV24" s="10">
        <f>+CY22</f>
        <v>89147.773420723548</v>
      </c>
      <c r="CW24" s="306" t="s">
        <v>111</v>
      </c>
      <c r="CX24" s="308">
        <v>100</v>
      </c>
      <c r="CY24" s="310">
        <f>IF(CV25=0,"-",(CV24/CV25)*CX24)</f>
        <v>83.546932021019586</v>
      </c>
    </row>
    <row r="25" spans="1:103" ht="18" customHeight="1" x14ac:dyDescent="0.2">
      <c r="A25" s="20"/>
      <c r="B25" s="321"/>
      <c r="C25" s="323"/>
      <c r="D25" s="305"/>
      <c r="E25" s="12">
        <f>+E12</f>
        <v>107629.490764692</v>
      </c>
      <c r="F25" s="307"/>
      <c r="G25" s="309"/>
      <c r="H25" s="311"/>
      <c r="I25" s="305"/>
      <c r="J25" s="12">
        <f>+J12</f>
        <v>153443.90322522877</v>
      </c>
      <c r="K25" s="307"/>
      <c r="L25" s="309"/>
      <c r="M25" s="311"/>
      <c r="N25" s="305"/>
      <c r="O25" s="12">
        <f>+O12</f>
        <v>122702.14935468711</v>
      </c>
      <c r="P25" s="307"/>
      <c r="Q25" s="309"/>
      <c r="R25" s="311"/>
      <c r="S25" s="305"/>
      <c r="T25" s="12">
        <f>+T12</f>
        <v>134643.77120936109</v>
      </c>
      <c r="U25" s="307"/>
      <c r="V25" s="309"/>
      <c r="W25" s="311"/>
      <c r="X25" s="305"/>
      <c r="Y25" s="12">
        <f>+Y12</f>
        <v>122190.1530570623</v>
      </c>
      <c r="Z25" s="307"/>
      <c r="AA25" s="309"/>
      <c r="AB25" s="311"/>
      <c r="AC25" s="305"/>
      <c r="AD25" s="12">
        <f>+AD12</f>
        <v>117117.86794373595</v>
      </c>
      <c r="AE25" s="307"/>
      <c r="AF25" s="309"/>
      <c r="AG25" s="311"/>
      <c r="AH25" s="305"/>
      <c r="AI25" s="12">
        <f>+AI12</f>
        <v>128747.066465904</v>
      </c>
      <c r="AJ25" s="307"/>
      <c r="AK25" s="309"/>
      <c r="AL25" s="311"/>
      <c r="AM25" s="305"/>
      <c r="AN25" s="12">
        <f>+AN12</f>
        <v>89330.530343840102</v>
      </c>
      <c r="AO25" s="307"/>
      <c r="AP25" s="309"/>
      <c r="AQ25" s="311"/>
      <c r="AR25" s="305"/>
      <c r="AS25" s="12">
        <f>+AS12</f>
        <v>77413.875779371112</v>
      </c>
      <c r="AT25" s="307"/>
      <c r="AU25" s="309"/>
      <c r="AV25" s="311"/>
      <c r="AW25" s="305"/>
      <c r="AX25" s="12">
        <f>+AX12</f>
        <v>73200.946820408819</v>
      </c>
      <c r="AY25" s="307"/>
      <c r="AZ25" s="309"/>
      <c r="BA25" s="311"/>
      <c r="BB25" s="305"/>
      <c r="BC25" s="12">
        <f>+BC12</f>
        <v>71135.359744677393</v>
      </c>
      <c r="BD25" s="307"/>
      <c r="BE25" s="309"/>
      <c r="BF25" s="311"/>
      <c r="BG25" s="305"/>
      <c r="BH25" s="12">
        <f>+BH12</f>
        <v>80506.792831506449</v>
      </c>
      <c r="BI25" s="307"/>
      <c r="BJ25" s="309"/>
      <c r="BK25" s="311"/>
      <c r="BL25" s="305"/>
      <c r="BM25" s="12">
        <f>+BM12</f>
        <v>80809.01291244899</v>
      </c>
      <c r="BN25" s="307"/>
      <c r="BO25" s="309"/>
      <c r="BP25" s="311"/>
      <c r="BQ25" s="305"/>
      <c r="BR25" s="12">
        <f>+BR12</f>
        <v>75808.624721591332</v>
      </c>
      <c r="BS25" s="307"/>
      <c r="BT25" s="309"/>
      <c r="BU25" s="311"/>
      <c r="BV25" s="305"/>
      <c r="BW25" s="12">
        <f>+BW12</f>
        <v>85473.774217329614</v>
      </c>
      <c r="BX25" s="307"/>
      <c r="BY25" s="309"/>
      <c r="BZ25" s="311"/>
      <c r="CA25" s="305"/>
      <c r="CB25" s="12">
        <f>+CB12</f>
        <v>86955.078162896534</v>
      </c>
      <c r="CC25" s="307"/>
      <c r="CD25" s="309"/>
      <c r="CE25" s="311"/>
      <c r="CF25" s="305"/>
      <c r="CG25" s="12">
        <f>+CG12</f>
        <v>88371.048650735771</v>
      </c>
      <c r="CH25" s="307"/>
      <c r="CI25" s="309"/>
      <c r="CJ25" s="311"/>
      <c r="CK25" s="305"/>
      <c r="CL25" s="12">
        <f>+CL12</f>
        <v>66670.964787937322</v>
      </c>
      <c r="CM25" s="307"/>
      <c r="CN25" s="309"/>
      <c r="CO25" s="311"/>
      <c r="CP25" s="305"/>
      <c r="CQ25" s="12">
        <f>+CQ12</f>
        <v>79707.523542258947</v>
      </c>
      <c r="CR25" s="307"/>
      <c r="CS25" s="309"/>
      <c r="CT25" s="311"/>
      <c r="CU25" s="305"/>
      <c r="CV25" s="12">
        <f>+CV12</f>
        <v>106703.8265370353</v>
      </c>
      <c r="CW25" s="307"/>
      <c r="CX25" s="309"/>
      <c r="CY25" s="311"/>
    </row>
    <row r="26" spans="1:103"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c r="CU26" s="13"/>
      <c r="CV26" s="14"/>
      <c r="CW26" s="13"/>
      <c r="CX26" s="13"/>
      <c r="CY26" s="15"/>
    </row>
    <row r="27" spans="1:103" ht="18" customHeight="1" x14ac:dyDescent="0.2">
      <c r="A27" s="17"/>
      <c r="B27" s="320" t="s">
        <v>135</v>
      </c>
      <c r="C27" s="322" t="s">
        <v>136</v>
      </c>
      <c r="D27" s="304"/>
      <c r="E27" s="10">
        <f>+E12</f>
        <v>107629.490764692</v>
      </c>
      <c r="F27" s="306"/>
      <c r="G27" s="308"/>
      <c r="H27" s="310">
        <f>IF(E28=0,"-",(E27/E28))</f>
        <v>0.19602249255552642</v>
      </c>
      <c r="I27" s="304"/>
      <c r="J27" s="10">
        <f>+J12</f>
        <v>153443.90322522877</v>
      </c>
      <c r="K27" s="306"/>
      <c r="L27" s="308"/>
      <c r="M27" s="310">
        <f>IF(J28=0,"-",(J27/J28))</f>
        <v>0.2178974510446906</v>
      </c>
      <c r="N27" s="304"/>
      <c r="O27" s="10">
        <f>+O12</f>
        <v>122702.14935468711</v>
      </c>
      <c r="P27" s="306"/>
      <c r="Q27" s="308"/>
      <c r="R27" s="310">
        <f>IF(O28=0,"-",(O27/O28))</f>
        <v>0.24761188419991181</v>
      </c>
      <c r="S27" s="304"/>
      <c r="T27" s="10">
        <f>+T12</f>
        <v>134643.77120936109</v>
      </c>
      <c r="U27" s="306"/>
      <c r="V27" s="308"/>
      <c r="W27" s="310">
        <f>IF(T28=0,"-",(T27/T28))</f>
        <v>0.25607138449772776</v>
      </c>
      <c r="X27" s="304"/>
      <c r="Y27" s="10">
        <f>+Y12</f>
        <v>122190.1530570623</v>
      </c>
      <c r="Z27" s="306"/>
      <c r="AA27" s="308"/>
      <c r="AB27" s="310">
        <f>IF(Y28=0,"-",(Y27/Y28))</f>
        <v>0.26283115951061431</v>
      </c>
      <c r="AC27" s="304"/>
      <c r="AD27" s="10">
        <f>+AD12</f>
        <v>117117.86794373595</v>
      </c>
      <c r="AE27" s="306"/>
      <c r="AF27" s="308"/>
      <c r="AG27" s="310">
        <f>IF(AD28=0,"-",(AD27/AD28))</f>
        <v>0.23539737507461858</v>
      </c>
      <c r="AH27" s="304"/>
      <c r="AI27" s="10">
        <f>+AI12</f>
        <v>128747.066465904</v>
      </c>
      <c r="AJ27" s="306"/>
      <c r="AK27" s="308"/>
      <c r="AL27" s="310">
        <f>IF(AI28=0,"-",(AI27/AI28))</f>
        <v>0.22252168271850997</v>
      </c>
      <c r="AM27" s="304"/>
      <c r="AN27" s="10">
        <f>+AN12</f>
        <v>89330.530343840102</v>
      </c>
      <c r="AO27" s="306"/>
      <c r="AP27" s="308"/>
      <c r="AQ27" s="310">
        <f>IF(AN28=0,"-",(AN27/AN28))</f>
        <v>0.2109161343186986</v>
      </c>
      <c r="AR27" s="304"/>
      <c r="AS27" s="10">
        <f>+AS12</f>
        <v>77413.875779371112</v>
      </c>
      <c r="AT27" s="306"/>
      <c r="AU27" s="308"/>
      <c r="AV27" s="310">
        <f>IF(AS28=0,"-",(AS27/AS28))</f>
        <v>0.21252458134806307</v>
      </c>
      <c r="AW27" s="304"/>
      <c r="AX27" s="10">
        <f>+AX12</f>
        <v>73200.946820408819</v>
      </c>
      <c r="AY27" s="306"/>
      <c r="AZ27" s="308"/>
      <c r="BA27" s="310">
        <f>IF(AX28=0,"-",(AX27/AX28))</f>
        <v>0.23085335144940911</v>
      </c>
      <c r="BB27" s="304"/>
      <c r="BC27" s="10">
        <f>+BC12</f>
        <v>71135.359744677393</v>
      </c>
      <c r="BD27" s="306"/>
      <c r="BE27" s="308"/>
      <c r="BF27" s="310">
        <f>IF(BC28=0,"-",(BC27/BC28))</f>
        <v>0.19153576132737551</v>
      </c>
      <c r="BG27" s="304"/>
      <c r="BH27" s="10">
        <f>+BH12</f>
        <v>80506.792831506449</v>
      </c>
      <c r="BI27" s="306"/>
      <c r="BJ27" s="308"/>
      <c r="BK27" s="310">
        <f>IF(BH28=0,"-",(BH27/BH28))</f>
        <v>0.15724447054804297</v>
      </c>
      <c r="BL27" s="304"/>
      <c r="BM27" s="10">
        <f>+BM12</f>
        <v>80809.01291244899</v>
      </c>
      <c r="BN27" s="306"/>
      <c r="BO27" s="308"/>
      <c r="BP27" s="310">
        <f>IF(BM28=0,"-",(BM27/BM28))</f>
        <v>0.18264537862150271</v>
      </c>
      <c r="BQ27" s="304"/>
      <c r="BR27" s="10">
        <f>+BR12</f>
        <v>75808.624721591332</v>
      </c>
      <c r="BS27" s="306"/>
      <c r="BT27" s="308"/>
      <c r="BU27" s="310">
        <f>IF(BR28=0,"-",(BR27/BR28))</f>
        <v>0.19661249079096965</v>
      </c>
      <c r="BV27" s="304"/>
      <c r="BW27" s="10">
        <f>+BW12</f>
        <v>85473.774217329614</v>
      </c>
      <c r="BX27" s="306"/>
      <c r="BY27" s="308"/>
      <c r="BZ27" s="310">
        <f>IF(BW28=0,"-",(BW27/BW28))</f>
        <v>0.17531707678025782</v>
      </c>
      <c r="CA27" s="304"/>
      <c r="CB27" s="10">
        <f>+CB12</f>
        <v>86955.078162896534</v>
      </c>
      <c r="CC27" s="306"/>
      <c r="CD27" s="308"/>
      <c r="CE27" s="310">
        <f>IF(CB28=0,"-",(CB27/CB28))</f>
        <v>0.19312200961103823</v>
      </c>
      <c r="CF27" s="304"/>
      <c r="CG27" s="10">
        <f>+CG12</f>
        <v>88371.048650735771</v>
      </c>
      <c r="CH27" s="306"/>
      <c r="CI27" s="308"/>
      <c r="CJ27" s="310">
        <f>IF(CG28=0,"-",(CG27/CG28))</f>
        <v>0.19073957999484714</v>
      </c>
      <c r="CK27" s="304"/>
      <c r="CL27" s="10">
        <f>+CL12</f>
        <v>66670.964787937322</v>
      </c>
      <c r="CM27" s="306"/>
      <c r="CN27" s="308"/>
      <c r="CO27" s="310">
        <f>IF(CL28=0,"-",(CL27/CL28))</f>
        <v>0.13185991870090902</v>
      </c>
      <c r="CP27" s="304"/>
      <c r="CQ27" s="10">
        <f>+CQ12</f>
        <v>79707.523542258947</v>
      </c>
      <c r="CR27" s="306"/>
      <c r="CS27" s="308"/>
      <c r="CT27" s="310">
        <f>IF(CQ28=0,"-",(CQ27/CQ28))</f>
        <v>0.18917948339158805</v>
      </c>
      <c r="CU27" s="304"/>
      <c r="CV27" s="10">
        <f>+CV12</f>
        <v>106703.8265370353</v>
      </c>
      <c r="CW27" s="306"/>
      <c r="CX27" s="308"/>
      <c r="CY27" s="310">
        <f>IF(CV28=0,"-",(CV27/CV28))</f>
        <v>0.1761538641416891</v>
      </c>
    </row>
    <row r="28" spans="1:103" ht="18" customHeight="1" x14ac:dyDescent="0.2">
      <c r="A28" s="17"/>
      <c r="B28" s="321"/>
      <c r="C28" s="323"/>
      <c r="D28" s="305"/>
      <c r="E28" s="12">
        <f>+E7</f>
        <v>549067.04512087698</v>
      </c>
      <c r="F28" s="307"/>
      <c r="G28" s="309"/>
      <c r="H28" s="311"/>
      <c r="I28" s="305"/>
      <c r="J28" s="12">
        <f>+J7</f>
        <v>704202.37818090653</v>
      </c>
      <c r="K28" s="307"/>
      <c r="L28" s="309"/>
      <c r="M28" s="311"/>
      <c r="N28" s="305"/>
      <c r="O28" s="12">
        <f>+O7</f>
        <v>495542.24649258901</v>
      </c>
      <c r="P28" s="307"/>
      <c r="Q28" s="309"/>
      <c r="R28" s="311"/>
      <c r="S28" s="305"/>
      <c r="T28" s="12">
        <f>+T7</f>
        <v>525805.61265546584</v>
      </c>
      <c r="U28" s="307"/>
      <c r="V28" s="309"/>
      <c r="W28" s="311"/>
      <c r="X28" s="305"/>
      <c r="Y28" s="12">
        <f>+Y7</f>
        <v>464899.79835183016</v>
      </c>
      <c r="Z28" s="307"/>
      <c r="AA28" s="309"/>
      <c r="AB28" s="311"/>
      <c r="AC28" s="305"/>
      <c r="AD28" s="12">
        <f>+AD7</f>
        <v>497532.59953137022</v>
      </c>
      <c r="AE28" s="307"/>
      <c r="AF28" s="309"/>
      <c r="AG28" s="311"/>
      <c r="AH28" s="305"/>
      <c r="AI28" s="12">
        <f>+AI7</f>
        <v>578582.11789980531</v>
      </c>
      <c r="AJ28" s="307"/>
      <c r="AK28" s="309"/>
      <c r="AL28" s="311"/>
      <c r="AM28" s="305"/>
      <c r="AN28" s="12">
        <f>+AN7</f>
        <v>423535.78417504957</v>
      </c>
      <c r="AO28" s="307"/>
      <c r="AP28" s="309"/>
      <c r="AQ28" s="311"/>
      <c r="AR28" s="305"/>
      <c r="AS28" s="12">
        <f>+AS7</f>
        <v>364258.45560230134</v>
      </c>
      <c r="AT28" s="307"/>
      <c r="AU28" s="309"/>
      <c r="AV28" s="311"/>
      <c r="AW28" s="305"/>
      <c r="AX28" s="12">
        <f>+AX7</f>
        <v>317088.5168476777</v>
      </c>
      <c r="AY28" s="307"/>
      <c r="AZ28" s="309"/>
      <c r="BA28" s="311"/>
      <c r="BB28" s="305"/>
      <c r="BC28" s="12">
        <f>+BC7</f>
        <v>371394.66411753715</v>
      </c>
      <c r="BD28" s="307"/>
      <c r="BE28" s="309"/>
      <c r="BF28" s="311"/>
      <c r="BG28" s="305"/>
      <c r="BH28" s="12">
        <f>+BH7</f>
        <v>511984.88920415915</v>
      </c>
      <c r="BI28" s="307"/>
      <c r="BJ28" s="309"/>
      <c r="BK28" s="311"/>
      <c r="BL28" s="305"/>
      <c r="BM28" s="12">
        <f>+BM7</f>
        <v>442436.66892831749</v>
      </c>
      <c r="BN28" s="307"/>
      <c r="BO28" s="309"/>
      <c r="BP28" s="311"/>
      <c r="BQ28" s="305"/>
      <c r="BR28" s="12">
        <f>+BR7</f>
        <v>385573.79755789757</v>
      </c>
      <c r="BS28" s="307"/>
      <c r="BT28" s="309"/>
      <c r="BU28" s="311"/>
      <c r="BV28" s="305"/>
      <c r="BW28" s="12">
        <f>+BW7</f>
        <v>487538.21240393096</v>
      </c>
      <c r="BX28" s="307"/>
      <c r="BY28" s="309"/>
      <c r="BZ28" s="311"/>
      <c r="CA28" s="305"/>
      <c r="CB28" s="12">
        <f>+CB7</f>
        <v>450259.80383090657</v>
      </c>
      <c r="CC28" s="307"/>
      <c r="CD28" s="309"/>
      <c r="CE28" s="311"/>
      <c r="CF28" s="305"/>
      <c r="CG28" s="12">
        <f>+CG7</f>
        <v>463307.34634690464</v>
      </c>
      <c r="CH28" s="307"/>
      <c r="CI28" s="309"/>
      <c r="CJ28" s="311"/>
      <c r="CK28" s="305"/>
      <c r="CL28" s="12">
        <f>+CL7</f>
        <v>505619.64124339854</v>
      </c>
      <c r="CM28" s="307"/>
      <c r="CN28" s="309"/>
      <c r="CO28" s="311"/>
      <c r="CP28" s="305"/>
      <c r="CQ28" s="12">
        <f>+CQ7</f>
        <v>421332.81111287343</v>
      </c>
      <c r="CR28" s="307"/>
      <c r="CS28" s="309"/>
      <c r="CT28" s="311"/>
      <c r="CU28" s="305"/>
      <c r="CV28" s="12">
        <f>+CV7</f>
        <v>605742.18486179924</v>
      </c>
      <c r="CW28" s="307"/>
      <c r="CX28" s="309"/>
      <c r="CY28" s="311"/>
    </row>
    <row r="29" spans="1:103" ht="18" customHeight="1" x14ac:dyDescent="0.2">
      <c r="A29" s="17"/>
      <c r="B29" s="320" t="s">
        <v>137</v>
      </c>
      <c r="C29" s="322" t="s">
        <v>136</v>
      </c>
      <c r="D29" s="304"/>
      <c r="E29" s="10">
        <f>+E12</f>
        <v>107629.490764692</v>
      </c>
      <c r="F29" s="306"/>
      <c r="G29" s="308"/>
      <c r="H29" s="310">
        <f>IF(E30=0,"-",(E29/E30))</f>
        <v>0.25584507791728839</v>
      </c>
      <c r="I29" s="304"/>
      <c r="J29" s="10">
        <f>+J12</f>
        <v>153443.90322522877</v>
      </c>
      <c r="K29" s="306"/>
      <c r="L29" s="308"/>
      <c r="M29" s="310">
        <f>IF(J30=0,"-",(J29/J30))</f>
        <v>0.26676542807678982</v>
      </c>
      <c r="N29" s="304"/>
      <c r="O29" s="10">
        <f>+O12</f>
        <v>122702.14935468711</v>
      </c>
      <c r="P29" s="306"/>
      <c r="Q29" s="308"/>
      <c r="R29" s="310">
        <f>IF(O30=0,"-",(O29/O30))</f>
        <v>0.31286326562797251</v>
      </c>
      <c r="S29" s="304"/>
      <c r="T29" s="10">
        <f>+T12</f>
        <v>134643.77120936109</v>
      </c>
      <c r="U29" s="306"/>
      <c r="V29" s="308"/>
      <c r="W29" s="310">
        <f>IF(T30=0,"-",(T29/T30))</f>
        <v>0.32124104625441102</v>
      </c>
      <c r="X29" s="304"/>
      <c r="Y29" s="10">
        <f>+Y12</f>
        <v>122190.1530570623</v>
      </c>
      <c r="Z29" s="306"/>
      <c r="AA29" s="308"/>
      <c r="AB29" s="310">
        <f>IF(Y30=0,"-",(Y29/Y30))</f>
        <v>0.33950382994558198</v>
      </c>
      <c r="AC29" s="304"/>
      <c r="AD29" s="10">
        <f>+AD12</f>
        <v>117117.86794373595</v>
      </c>
      <c r="AE29" s="306"/>
      <c r="AF29" s="308"/>
      <c r="AG29" s="310">
        <f>IF(AD30=0,"-",(AD29/AD30))</f>
        <v>0.28533821667217418</v>
      </c>
      <c r="AH29" s="304"/>
      <c r="AI29" s="10">
        <f>+AI12</f>
        <v>128747.066465904</v>
      </c>
      <c r="AJ29" s="306"/>
      <c r="AK29" s="308"/>
      <c r="AL29" s="310">
        <f>IF(AI30=0,"-",(AI29/AI30))</f>
        <v>0.27551662445629194</v>
      </c>
      <c r="AM29" s="304"/>
      <c r="AN29" s="10">
        <f>+AN12</f>
        <v>89330.530343840102</v>
      </c>
      <c r="AO29" s="306"/>
      <c r="AP29" s="308"/>
      <c r="AQ29" s="310">
        <f>IF(AN30=0,"-",(AN29/AN30))</f>
        <v>0.27189815467672518</v>
      </c>
      <c r="AR29" s="304"/>
      <c r="AS29" s="10">
        <f>+AS12</f>
        <v>77413.875779371112</v>
      </c>
      <c r="AT29" s="306"/>
      <c r="AU29" s="308"/>
      <c r="AV29" s="310">
        <f>IF(AS30=0,"-",(AS29/AS30))</f>
        <v>0.2762980632281784</v>
      </c>
      <c r="AW29" s="304"/>
      <c r="AX29" s="10">
        <f>+AX12</f>
        <v>73200.946820408819</v>
      </c>
      <c r="AY29" s="306"/>
      <c r="AZ29" s="308"/>
      <c r="BA29" s="310">
        <f>IF(AX30=0,"-",(AX29/AX30))</f>
        <v>0.27310460310656204</v>
      </c>
      <c r="BB29" s="304"/>
      <c r="BC29" s="10">
        <f>+BC12</f>
        <v>71135.359744677393</v>
      </c>
      <c r="BD29" s="306"/>
      <c r="BE29" s="308"/>
      <c r="BF29" s="310">
        <f>IF(BC30=0,"-",(BC29/BC30))</f>
        <v>0.24349729498962144</v>
      </c>
      <c r="BG29" s="304"/>
      <c r="BH29" s="10">
        <f>+BH12</f>
        <v>80506.792831506449</v>
      </c>
      <c r="BI29" s="306"/>
      <c r="BJ29" s="308"/>
      <c r="BK29" s="310">
        <f>IF(BH30=0,"-",(BH29/BH30))</f>
        <v>0.2049083767394165</v>
      </c>
      <c r="BL29" s="304"/>
      <c r="BM29" s="10">
        <f>+BM12</f>
        <v>80809.01291244899</v>
      </c>
      <c r="BN29" s="306"/>
      <c r="BO29" s="308"/>
      <c r="BP29" s="310">
        <f>IF(BM30=0,"-",(BM29/BM30))</f>
        <v>0.2326187277545323</v>
      </c>
      <c r="BQ29" s="304"/>
      <c r="BR29" s="10">
        <f>+BR12</f>
        <v>75808.624721591332</v>
      </c>
      <c r="BS29" s="306"/>
      <c r="BT29" s="308"/>
      <c r="BU29" s="310">
        <f>IF(BR30=0,"-",(BR29/BR30))</f>
        <v>0.24164589565977904</v>
      </c>
      <c r="BV29" s="304"/>
      <c r="BW29" s="10">
        <f>+BW12</f>
        <v>85473.774217329614</v>
      </c>
      <c r="BX29" s="306"/>
      <c r="BY29" s="308"/>
      <c r="BZ29" s="310">
        <f>IF(BW30=0,"-",(BW29/BW30))</f>
        <v>0.21655045866072545</v>
      </c>
      <c r="CA29" s="304"/>
      <c r="CB29" s="10">
        <f>+CB12</f>
        <v>86955.078162896534</v>
      </c>
      <c r="CC29" s="306"/>
      <c r="CD29" s="308"/>
      <c r="CE29" s="310">
        <f>IF(CB30=0,"-",(CB29/CB30))</f>
        <v>0.25613359379748285</v>
      </c>
      <c r="CF29" s="304"/>
      <c r="CG29" s="10">
        <f>+CG12</f>
        <v>88371.048650735771</v>
      </c>
      <c r="CH29" s="306"/>
      <c r="CI29" s="308"/>
      <c r="CJ29" s="310">
        <f>IF(CG30=0,"-",(CG29/CG30))</f>
        <v>0.26079120445635418</v>
      </c>
      <c r="CK29" s="304"/>
      <c r="CL29" s="10">
        <f>+CL12</f>
        <v>66670.964787937322</v>
      </c>
      <c r="CM29" s="306"/>
      <c r="CN29" s="308"/>
      <c r="CO29" s="310">
        <f>IF(CL30=0,"-",(CL29/CL30))</f>
        <v>0.16299234276440858</v>
      </c>
      <c r="CP29" s="304"/>
      <c r="CQ29" s="10">
        <f>+CQ12</f>
        <v>79707.523542258947</v>
      </c>
      <c r="CR29" s="306"/>
      <c r="CS29" s="308"/>
      <c r="CT29" s="310">
        <f>IF(CQ30=0,"-",(CQ29/CQ30))</f>
        <v>0.24827048969831778</v>
      </c>
      <c r="CU29" s="304"/>
      <c r="CV29" s="10">
        <f>+CV12</f>
        <v>106703.8265370353</v>
      </c>
      <c r="CW29" s="306"/>
      <c r="CX29" s="308"/>
      <c r="CY29" s="310">
        <f>IF(CV30=0,"-",(CV29/CV30))</f>
        <v>0.23155326500049256</v>
      </c>
    </row>
    <row r="30" spans="1:103" ht="18" customHeight="1" x14ac:dyDescent="0.2">
      <c r="A30" s="17"/>
      <c r="B30" s="321"/>
      <c r="C30" s="323"/>
      <c r="D30" s="305"/>
      <c r="E30" s="12">
        <f>+BS!K15</f>
        <v>420682.28023322503</v>
      </c>
      <c r="F30" s="307"/>
      <c r="G30" s="309"/>
      <c r="H30" s="311"/>
      <c r="I30" s="305"/>
      <c r="J30" s="12">
        <f>+BS!L15</f>
        <v>575201.60813739011</v>
      </c>
      <c r="K30" s="307"/>
      <c r="L30" s="309"/>
      <c r="M30" s="311"/>
      <c r="N30" s="305"/>
      <c r="O30" s="12">
        <f>+BS!M15</f>
        <v>392190.9755317613</v>
      </c>
      <c r="P30" s="307"/>
      <c r="Q30" s="309"/>
      <c r="R30" s="311"/>
      <c r="S30" s="305"/>
      <c r="T30" s="12">
        <f>+BS!N15</f>
        <v>419136.26163055206</v>
      </c>
      <c r="U30" s="307"/>
      <c r="V30" s="309"/>
      <c r="W30" s="311"/>
      <c r="X30" s="305"/>
      <c r="Y30" s="12">
        <f>+BS!O15</f>
        <v>359908.0254165256</v>
      </c>
      <c r="Z30" s="307"/>
      <c r="AA30" s="309"/>
      <c r="AB30" s="311"/>
      <c r="AC30" s="305"/>
      <c r="AD30" s="12">
        <f>+BS!P15</f>
        <v>410452.79286333028</v>
      </c>
      <c r="AE30" s="307"/>
      <c r="AF30" s="309"/>
      <c r="AG30" s="311"/>
      <c r="AH30" s="305"/>
      <c r="AI30" s="12">
        <f>+BS!Q15</f>
        <v>467293.27756528347</v>
      </c>
      <c r="AJ30" s="307"/>
      <c r="AK30" s="309"/>
      <c r="AL30" s="311"/>
      <c r="AM30" s="305"/>
      <c r="AN30" s="12">
        <f>+BS!R15</f>
        <v>328544.08464099409</v>
      </c>
      <c r="AO30" s="307"/>
      <c r="AP30" s="309"/>
      <c r="AQ30" s="311"/>
      <c r="AR30" s="305"/>
      <c r="AS30" s="12">
        <f>+BS!S15</f>
        <v>280182.47712232248</v>
      </c>
      <c r="AT30" s="307"/>
      <c r="AU30" s="309"/>
      <c r="AV30" s="311"/>
      <c r="AW30" s="305"/>
      <c r="AX30" s="12">
        <f>+BS!T15</f>
        <v>268032.63653467869</v>
      </c>
      <c r="AY30" s="307"/>
      <c r="AZ30" s="309"/>
      <c r="BA30" s="311"/>
      <c r="BB30" s="305"/>
      <c r="BC30" s="12">
        <f>+BS!U15</f>
        <v>292140.24635349395</v>
      </c>
      <c r="BD30" s="307"/>
      <c r="BE30" s="309"/>
      <c r="BF30" s="311"/>
      <c r="BG30" s="305"/>
      <c r="BH30" s="12">
        <f>+BS!V15</f>
        <v>392891.66266681004</v>
      </c>
      <c r="BI30" s="307"/>
      <c r="BJ30" s="309"/>
      <c r="BK30" s="311"/>
      <c r="BL30" s="305"/>
      <c r="BM30" s="12">
        <f>+BS!W15</f>
        <v>347388.25069029519</v>
      </c>
      <c r="BN30" s="307"/>
      <c r="BO30" s="309"/>
      <c r="BP30" s="311"/>
      <c r="BQ30" s="305"/>
      <c r="BR30" s="12">
        <f>+BS!X15</f>
        <v>313717.82464836363</v>
      </c>
      <c r="BS30" s="307"/>
      <c r="BT30" s="309"/>
      <c r="BU30" s="311"/>
      <c r="BV30" s="305"/>
      <c r="BW30" s="12">
        <f>+BS!Y15</f>
        <v>394706.04101210117</v>
      </c>
      <c r="BX30" s="307"/>
      <c r="BY30" s="309"/>
      <c r="BZ30" s="311"/>
      <c r="CA30" s="305"/>
      <c r="CB30" s="12">
        <f>+BS!Z15</f>
        <v>339491.11037597555</v>
      </c>
      <c r="CC30" s="307"/>
      <c r="CD30" s="309"/>
      <c r="CE30" s="311"/>
      <c r="CF30" s="305"/>
      <c r="CG30" s="12">
        <f>+BS!AA15</f>
        <v>338857.47349092626</v>
      </c>
      <c r="CH30" s="307"/>
      <c r="CI30" s="309"/>
      <c r="CJ30" s="311"/>
      <c r="CK30" s="305"/>
      <c r="CL30" s="12">
        <f>+BS!AB15</f>
        <v>409043.5394520617</v>
      </c>
      <c r="CM30" s="307"/>
      <c r="CN30" s="309"/>
      <c r="CO30" s="311"/>
      <c r="CP30" s="305"/>
      <c r="CQ30" s="12">
        <f>+BS!AC15</f>
        <v>321051.13917934574</v>
      </c>
      <c r="CR30" s="307"/>
      <c r="CS30" s="309"/>
      <c r="CT30" s="311"/>
      <c r="CU30" s="305"/>
      <c r="CV30" s="12">
        <f>+BS!AD15</f>
        <v>460817.62888037151</v>
      </c>
      <c r="CW30" s="307"/>
      <c r="CX30" s="309"/>
      <c r="CY30" s="311"/>
    </row>
    <row r="31" spans="1:103" ht="18" customHeight="1" x14ac:dyDescent="0.2">
      <c r="A31" s="17"/>
      <c r="B31" s="320" t="s">
        <v>138</v>
      </c>
      <c r="C31" s="322" t="s">
        <v>139</v>
      </c>
      <c r="D31" s="304"/>
      <c r="E31" s="10">
        <f>+BS!K11</f>
        <v>7714.8310239237107</v>
      </c>
      <c r="F31" s="306" t="s">
        <v>121</v>
      </c>
      <c r="G31" s="308">
        <v>365</v>
      </c>
      <c r="H31" s="310">
        <f>IF(E32=0,"-",(E31/E32)*G31)</f>
        <v>26.163027472540254</v>
      </c>
      <c r="I31" s="304"/>
      <c r="J31" s="10">
        <f>+BS!L11</f>
        <v>8251.2848981930838</v>
      </c>
      <c r="K31" s="306" t="s">
        <v>111</v>
      </c>
      <c r="L31" s="308">
        <v>365</v>
      </c>
      <c r="M31" s="310">
        <f>IF(J32=0,"-",(J31/J32)*L31)</f>
        <v>19.627492031532849</v>
      </c>
      <c r="N31" s="304"/>
      <c r="O31" s="10">
        <f>+BS!M11</f>
        <v>4396.9986525855484</v>
      </c>
      <c r="P31" s="306" t="s">
        <v>111</v>
      </c>
      <c r="Q31" s="308">
        <v>365</v>
      </c>
      <c r="R31" s="310">
        <f>IF(O32=0,"-",(O31/O32)*Q31)</f>
        <v>13.079677223538541</v>
      </c>
      <c r="S31" s="304"/>
      <c r="T31" s="10">
        <f>+BS!N11</f>
        <v>6996.0065442815794</v>
      </c>
      <c r="U31" s="306" t="s">
        <v>111</v>
      </c>
      <c r="V31" s="308">
        <v>365</v>
      </c>
      <c r="W31" s="310">
        <f>IF(T32=0,"-",(T31/T32)*V31)</f>
        <v>18.965172809161796</v>
      </c>
      <c r="X31" s="304"/>
      <c r="Y31" s="10">
        <f>+BS!O11</f>
        <v>4029.7898018731012</v>
      </c>
      <c r="Z31" s="306" t="s">
        <v>111</v>
      </c>
      <c r="AA31" s="308">
        <v>365</v>
      </c>
      <c r="AB31" s="310">
        <f>IF(Y32=0,"-",(Y31/Y32)*AA31)</f>
        <v>12.037576194841087</v>
      </c>
      <c r="AC31" s="304"/>
      <c r="AD31" s="10">
        <f>+BS!P11</f>
        <v>3429.3466215045632</v>
      </c>
      <c r="AE31" s="306" t="s">
        <v>111</v>
      </c>
      <c r="AF31" s="308">
        <v>365</v>
      </c>
      <c r="AG31" s="310">
        <f>IF(AD32=0,"-",(AD31/AD32)*AF31)</f>
        <v>10.6876221265443</v>
      </c>
      <c r="AH31" s="304"/>
      <c r="AI31" s="10">
        <f>+BS!Q11</f>
        <v>5974.8593837330918</v>
      </c>
      <c r="AJ31" s="306" t="s">
        <v>121</v>
      </c>
      <c r="AK31" s="308">
        <v>365</v>
      </c>
      <c r="AL31" s="310">
        <f>IF(AI32=0,"-",(AI31/AI32)*AK31)</f>
        <v>16.938822257671593</v>
      </c>
      <c r="AM31" s="304"/>
      <c r="AN31" s="10">
        <f>+BS!R11</f>
        <v>2397.6119658284524</v>
      </c>
      <c r="AO31" s="306" t="s">
        <v>118</v>
      </c>
      <c r="AP31" s="308">
        <v>365</v>
      </c>
      <c r="AQ31" s="310">
        <f>IF(AN32=0,"-",(AN31/AN32)*AP31)</f>
        <v>9.7965204522904834</v>
      </c>
      <c r="AR31" s="304"/>
      <c r="AS31" s="10">
        <f>+BS!S11</f>
        <v>5320.5956715829116</v>
      </c>
      <c r="AT31" s="306" t="s">
        <v>111</v>
      </c>
      <c r="AU31" s="308">
        <v>365</v>
      </c>
      <c r="AV31" s="310">
        <f>IF(AS32=0,"-",(AS31/AS32)*AU31)</f>
        <v>25.086167054372734</v>
      </c>
      <c r="AW31" s="304"/>
      <c r="AX31" s="10">
        <f>+BS!T11</f>
        <v>2491.4904512742619</v>
      </c>
      <c r="AY31" s="306" t="s">
        <v>111</v>
      </c>
      <c r="AZ31" s="308">
        <v>365</v>
      </c>
      <c r="BA31" s="310">
        <f>IF(AX32=0,"-",(AX31/AX32)*AZ31)</f>
        <v>12.423254810435891</v>
      </c>
      <c r="BB31" s="304"/>
      <c r="BC31" s="10">
        <f>+BS!U11</f>
        <v>4487.6068449762579</v>
      </c>
      <c r="BD31" s="306" t="s">
        <v>111</v>
      </c>
      <c r="BE31" s="308">
        <v>365</v>
      </c>
      <c r="BF31" s="310">
        <f>IF(BC32=0,"-",(BC31/BC32)*BE31)</f>
        <v>23.026192659957605</v>
      </c>
      <c r="BG31" s="304"/>
      <c r="BH31" s="10">
        <f>+BS!V11</f>
        <v>2052.8326014799336</v>
      </c>
      <c r="BI31" s="306" t="s">
        <v>111</v>
      </c>
      <c r="BJ31" s="308">
        <v>365</v>
      </c>
      <c r="BK31" s="310">
        <f>IF(BH32=0,"-",(BH31/BH32)*BJ31)</f>
        <v>9.3070891683433512</v>
      </c>
      <c r="BL31" s="304"/>
      <c r="BM31" s="10">
        <f>+BS!W11</f>
        <v>2116.199566463577</v>
      </c>
      <c r="BN31" s="306" t="s">
        <v>111</v>
      </c>
      <c r="BO31" s="308">
        <v>365</v>
      </c>
      <c r="BP31" s="310">
        <f>IF(BM32=0,"-",(BM31/BM32)*BO31)</f>
        <v>9.5584986614805185</v>
      </c>
      <c r="BQ31" s="304"/>
      <c r="BR31" s="10">
        <f>+BS!X11</f>
        <v>1836.9566196483945</v>
      </c>
      <c r="BS31" s="306" t="s">
        <v>111</v>
      </c>
      <c r="BT31" s="308">
        <v>365</v>
      </c>
      <c r="BU31" s="310">
        <f>IF(BR32=0,"-",(BR31/BR32)*BT31)</f>
        <v>8.8444971615571273</v>
      </c>
      <c r="BV31" s="304"/>
      <c r="BW31" s="10">
        <f>+BS!Y11</f>
        <v>3120.0258317000344</v>
      </c>
      <c r="BX31" s="306" t="s">
        <v>111</v>
      </c>
      <c r="BY31" s="308">
        <v>365</v>
      </c>
      <c r="BZ31" s="310">
        <f>IF(BW32=0,"-",(BW31/BW32)*BY31)</f>
        <v>13.323495294298372</v>
      </c>
      <c r="CA31" s="304"/>
      <c r="CB31" s="10">
        <f>+BS!Z11</f>
        <v>11665.2951290212</v>
      </c>
      <c r="CC31" s="306" t="s">
        <v>111</v>
      </c>
      <c r="CD31" s="308">
        <v>365</v>
      </c>
      <c r="CE31" s="310">
        <f>IF(CB32=0,"-",(CB31/CB32)*CD31)</f>
        <v>48.965889192996457</v>
      </c>
      <c r="CF31" s="304"/>
      <c r="CG31" s="10">
        <f>+BS!AA11</f>
        <v>9410.9481487837311</v>
      </c>
      <c r="CH31" s="306" t="s">
        <v>111</v>
      </c>
      <c r="CI31" s="308">
        <v>365</v>
      </c>
      <c r="CJ31" s="310">
        <f>IF(CG32=0,"-",(CG31/CG32)*CI31)</f>
        <v>38.870151783329128</v>
      </c>
      <c r="CK31" s="304"/>
      <c r="CL31" s="10">
        <f>+BS!AB11</f>
        <v>7900.6167442327232</v>
      </c>
      <c r="CM31" s="306" t="s">
        <v>111</v>
      </c>
      <c r="CN31" s="308">
        <v>365</v>
      </c>
      <c r="CO31" s="310">
        <f>IF(CL32=0,"-",(CL31/CL32)*CN31)</f>
        <v>43.253088069406374</v>
      </c>
      <c r="CP31" s="304"/>
      <c r="CQ31" s="10">
        <f>+BS!AC11</f>
        <v>4249.5501897290114</v>
      </c>
      <c r="CR31" s="306" t="s">
        <v>111</v>
      </c>
      <c r="CS31" s="308">
        <v>365</v>
      </c>
      <c r="CT31" s="310">
        <f>IF(CQ32=0,"-",(CQ31/CQ32)*CS31)</f>
        <v>19.459716602896865</v>
      </c>
      <c r="CU31" s="304"/>
      <c r="CV31" s="10">
        <f>+BS!AD11</f>
        <v>5586.3176840858814</v>
      </c>
      <c r="CW31" s="306" t="s">
        <v>111</v>
      </c>
      <c r="CX31" s="308">
        <v>365</v>
      </c>
      <c r="CY31" s="310">
        <f>IF(CV32=0,"-",(CV31/CV32)*CX31)</f>
        <v>19.109023742308231</v>
      </c>
    </row>
    <row r="32" spans="1:103" ht="18" customHeight="1" x14ac:dyDescent="0.2">
      <c r="A32" s="17"/>
      <c r="B32" s="321"/>
      <c r="C32" s="323"/>
      <c r="D32" s="305"/>
      <c r="E32" s="12">
        <f>+E12</f>
        <v>107629.490764692</v>
      </c>
      <c r="F32" s="307"/>
      <c r="G32" s="309"/>
      <c r="H32" s="311"/>
      <c r="I32" s="305"/>
      <c r="J32" s="12">
        <f>+J12</f>
        <v>153443.90322522877</v>
      </c>
      <c r="K32" s="307"/>
      <c r="L32" s="309"/>
      <c r="M32" s="311"/>
      <c r="N32" s="305"/>
      <c r="O32" s="12">
        <f>+O12</f>
        <v>122702.14935468711</v>
      </c>
      <c r="P32" s="307"/>
      <c r="Q32" s="309"/>
      <c r="R32" s="311"/>
      <c r="S32" s="305"/>
      <c r="T32" s="12">
        <f>+T12</f>
        <v>134643.77120936109</v>
      </c>
      <c r="U32" s="307"/>
      <c r="V32" s="309"/>
      <c r="W32" s="311"/>
      <c r="X32" s="305"/>
      <c r="Y32" s="12">
        <f>+Y12</f>
        <v>122190.1530570623</v>
      </c>
      <c r="Z32" s="307"/>
      <c r="AA32" s="309"/>
      <c r="AB32" s="311"/>
      <c r="AC32" s="305"/>
      <c r="AD32" s="12">
        <f>+AD12</f>
        <v>117117.86794373595</v>
      </c>
      <c r="AE32" s="307"/>
      <c r="AF32" s="309"/>
      <c r="AG32" s="311"/>
      <c r="AH32" s="305"/>
      <c r="AI32" s="12">
        <f>+AI12</f>
        <v>128747.066465904</v>
      </c>
      <c r="AJ32" s="307"/>
      <c r="AK32" s="309"/>
      <c r="AL32" s="311"/>
      <c r="AM32" s="305"/>
      <c r="AN32" s="12">
        <f>+AN12</f>
        <v>89330.530343840102</v>
      </c>
      <c r="AO32" s="307"/>
      <c r="AP32" s="309"/>
      <c r="AQ32" s="311"/>
      <c r="AR32" s="305"/>
      <c r="AS32" s="12">
        <f>+AS12</f>
        <v>77413.875779371112</v>
      </c>
      <c r="AT32" s="307"/>
      <c r="AU32" s="309"/>
      <c r="AV32" s="311"/>
      <c r="AW32" s="305"/>
      <c r="AX32" s="12">
        <f>+AX12</f>
        <v>73200.946820408819</v>
      </c>
      <c r="AY32" s="307"/>
      <c r="AZ32" s="309"/>
      <c r="BA32" s="311"/>
      <c r="BB32" s="305"/>
      <c r="BC32" s="12">
        <f>+BC12</f>
        <v>71135.359744677393</v>
      </c>
      <c r="BD32" s="307"/>
      <c r="BE32" s="309"/>
      <c r="BF32" s="311"/>
      <c r="BG32" s="305"/>
      <c r="BH32" s="12">
        <f>+BH12</f>
        <v>80506.792831506449</v>
      </c>
      <c r="BI32" s="307"/>
      <c r="BJ32" s="309"/>
      <c r="BK32" s="311"/>
      <c r="BL32" s="305"/>
      <c r="BM32" s="12">
        <f>+BM12</f>
        <v>80809.01291244899</v>
      </c>
      <c r="BN32" s="307"/>
      <c r="BO32" s="309"/>
      <c r="BP32" s="311"/>
      <c r="BQ32" s="305"/>
      <c r="BR32" s="12">
        <f>+BR12</f>
        <v>75808.624721591332</v>
      </c>
      <c r="BS32" s="307"/>
      <c r="BT32" s="309"/>
      <c r="BU32" s="311"/>
      <c r="BV32" s="305"/>
      <c r="BW32" s="12">
        <f>+BW12</f>
        <v>85473.774217329614</v>
      </c>
      <c r="BX32" s="307"/>
      <c r="BY32" s="309"/>
      <c r="BZ32" s="311"/>
      <c r="CA32" s="305"/>
      <c r="CB32" s="12">
        <f>+CB12</f>
        <v>86955.078162896534</v>
      </c>
      <c r="CC32" s="307"/>
      <c r="CD32" s="309"/>
      <c r="CE32" s="311"/>
      <c r="CF32" s="305"/>
      <c r="CG32" s="12">
        <f>+CG12</f>
        <v>88371.048650735771</v>
      </c>
      <c r="CH32" s="307"/>
      <c r="CI32" s="309"/>
      <c r="CJ32" s="311"/>
      <c r="CK32" s="305"/>
      <c r="CL32" s="12">
        <f>+CL12</f>
        <v>66670.964787937322</v>
      </c>
      <c r="CM32" s="307"/>
      <c r="CN32" s="309"/>
      <c r="CO32" s="311"/>
      <c r="CP32" s="305"/>
      <c r="CQ32" s="12">
        <f>+CQ12</f>
        <v>79707.523542258947</v>
      </c>
      <c r="CR32" s="307"/>
      <c r="CS32" s="309"/>
      <c r="CT32" s="311"/>
      <c r="CU32" s="305"/>
      <c r="CV32" s="12">
        <f>+CV12</f>
        <v>106703.8265370353</v>
      </c>
      <c r="CW32" s="307"/>
      <c r="CX32" s="309"/>
      <c r="CY32" s="311"/>
    </row>
    <row r="33" spans="1:103" ht="18" customHeight="1" x14ac:dyDescent="0.2">
      <c r="A33" s="17"/>
      <c r="B33" s="320" t="s">
        <v>140</v>
      </c>
      <c r="C33" s="322" t="s">
        <v>139</v>
      </c>
      <c r="D33" s="304"/>
      <c r="E33" s="10">
        <f>+BS!K13</f>
        <v>28041.093975027601</v>
      </c>
      <c r="F33" s="306" t="s">
        <v>111</v>
      </c>
      <c r="G33" s="308">
        <v>365</v>
      </c>
      <c r="H33" s="310">
        <f>IF(E34=0,"-",(E33/E34)*G33)</f>
        <v>95.094747993016426</v>
      </c>
      <c r="I33" s="304"/>
      <c r="J33" s="10">
        <f>+BS!L13</f>
        <v>14998.692716820975</v>
      </c>
      <c r="K33" s="306" t="s">
        <v>111</v>
      </c>
      <c r="L33" s="308">
        <v>365</v>
      </c>
      <c r="M33" s="310">
        <f>IF(J34=0,"-",(J33/J34)*L33)</f>
        <v>35.677682374932907</v>
      </c>
      <c r="N33" s="304"/>
      <c r="O33" s="10">
        <f>+BS!M13</f>
        <v>7697.3158101846557</v>
      </c>
      <c r="P33" s="306" t="s">
        <v>111</v>
      </c>
      <c r="Q33" s="308">
        <v>365</v>
      </c>
      <c r="R33" s="310">
        <f>IF(O34=0,"-",(O33/O34)*Q33)</f>
        <v>22.897074627406095</v>
      </c>
      <c r="S33" s="304"/>
      <c r="T33" s="10">
        <f>+BS!N13</f>
        <v>9604.9012635558702</v>
      </c>
      <c r="U33" s="306" t="s">
        <v>111</v>
      </c>
      <c r="V33" s="308">
        <v>365</v>
      </c>
      <c r="W33" s="310">
        <f>IF(T34=0,"-",(T33/T34)*V33)</f>
        <v>26.037513133427098</v>
      </c>
      <c r="X33" s="304"/>
      <c r="Y33" s="10">
        <f>+BS!O13</f>
        <v>8672.3930807692414</v>
      </c>
      <c r="Z33" s="306" t="s">
        <v>111</v>
      </c>
      <c r="AA33" s="308">
        <v>365</v>
      </c>
      <c r="AB33" s="310">
        <f>IF(Y34=0,"-",(Y33/Y34)*AA33)</f>
        <v>25.90571658423681</v>
      </c>
      <c r="AC33" s="304"/>
      <c r="AD33" s="10">
        <f>+BS!P13</f>
        <v>7057.0648808083433</v>
      </c>
      <c r="AE33" s="306" t="s">
        <v>111</v>
      </c>
      <c r="AF33" s="308">
        <v>365</v>
      </c>
      <c r="AG33" s="310">
        <f>IF(AD34=0,"-",(AD33/AD34)*AF33)</f>
        <v>21.993473128562133</v>
      </c>
      <c r="AH33" s="304"/>
      <c r="AI33" s="10">
        <f>+BS!Q13</f>
        <v>9581.2419671078078</v>
      </c>
      <c r="AJ33" s="306" t="s">
        <v>111</v>
      </c>
      <c r="AK33" s="308">
        <v>365</v>
      </c>
      <c r="AL33" s="310">
        <f>IF(AI34=0,"-",(AI33/AI34)*AK33)</f>
        <v>27.162974768986277</v>
      </c>
      <c r="AM33" s="304"/>
      <c r="AN33" s="10">
        <f>+BS!R13</f>
        <v>8939.6861944987868</v>
      </c>
      <c r="AO33" s="306" t="s">
        <v>141</v>
      </c>
      <c r="AP33" s="308">
        <v>365</v>
      </c>
      <c r="AQ33" s="310">
        <f>IF(AN34=0,"-",(AN33/AN34)*AP33)</f>
        <v>36.527102754596605</v>
      </c>
      <c r="AR33" s="304"/>
      <c r="AS33" s="10">
        <f>+BS!S13</f>
        <v>5165.5536082832095</v>
      </c>
      <c r="AT33" s="306" t="s">
        <v>111</v>
      </c>
      <c r="AU33" s="308">
        <v>365</v>
      </c>
      <c r="AV33" s="310">
        <f>IF(AS34=0,"-",(AS33/AS34)*AU33)</f>
        <v>24.355156592299068</v>
      </c>
      <c r="AW33" s="304"/>
      <c r="AX33" s="10">
        <f>+BS!T13</f>
        <v>4479.0913098928395</v>
      </c>
      <c r="AY33" s="306" t="s">
        <v>111</v>
      </c>
      <c r="AZ33" s="308">
        <v>365</v>
      </c>
      <c r="BA33" s="310">
        <f>IF(AX34=0,"-",(AX33/AX34)*AZ33)</f>
        <v>22.33397789405473</v>
      </c>
      <c r="BB33" s="304"/>
      <c r="BC33" s="10">
        <f>+BS!U13</f>
        <v>2426.9118405860709</v>
      </c>
      <c r="BD33" s="306" t="s">
        <v>111</v>
      </c>
      <c r="BE33" s="308">
        <v>365</v>
      </c>
      <c r="BF33" s="310">
        <f>IF(BC34=0,"-",(BC33/BC34)*BE33)</f>
        <v>12.452637127208687</v>
      </c>
      <c r="BG33" s="304"/>
      <c r="BH33" s="10">
        <f>+BS!V13</f>
        <v>2216.1985822632455</v>
      </c>
      <c r="BI33" s="306" t="s">
        <v>111</v>
      </c>
      <c r="BJ33" s="308">
        <v>365</v>
      </c>
      <c r="BK33" s="310">
        <f>IF(BH34=0,"-",(BH33/BH34)*BJ33)</f>
        <v>10.047754407743783</v>
      </c>
      <c r="BL33" s="304"/>
      <c r="BM33" s="10">
        <f>+BS!W13</f>
        <v>23082.265404026963</v>
      </c>
      <c r="BN33" s="306" t="s">
        <v>111</v>
      </c>
      <c r="BO33" s="308">
        <v>365</v>
      </c>
      <c r="BP33" s="310">
        <f>IF(BM34=0,"-",(BM33/BM34)*BO33)</f>
        <v>104.25850494669176</v>
      </c>
      <c r="BQ33" s="304"/>
      <c r="BR33" s="10">
        <f>+BS!X13</f>
        <v>5683.8579662607926</v>
      </c>
      <c r="BS33" s="306" t="s">
        <v>111</v>
      </c>
      <c r="BT33" s="308">
        <v>365</v>
      </c>
      <c r="BU33" s="310">
        <f>IF(BR34=0,"-",(BR33/BR34)*BT33)</f>
        <v>27.366386942174831</v>
      </c>
      <c r="BV33" s="304"/>
      <c r="BW33" s="10">
        <f>+BS!Y13</f>
        <v>4005.8570812395942</v>
      </c>
      <c r="BX33" s="306" t="s">
        <v>111</v>
      </c>
      <c r="BY33" s="308">
        <v>365</v>
      </c>
      <c r="BZ33" s="310">
        <f>IF(BW34=0,"-",(BW33/BW34)*BY33)</f>
        <v>17.106274386980406</v>
      </c>
      <c r="CA33" s="304"/>
      <c r="CB33" s="10">
        <f>+BS!Z13</f>
        <v>4383.5548288863201</v>
      </c>
      <c r="CC33" s="306" t="s">
        <v>111</v>
      </c>
      <c r="CD33" s="308">
        <v>365</v>
      </c>
      <c r="CE33" s="310">
        <f>IF(CB34=0,"-",(CB33/CB34)*CD33)</f>
        <v>18.400276859577605</v>
      </c>
      <c r="CF33" s="304"/>
      <c r="CG33" s="10">
        <f>+BS!AA13</f>
        <v>21453.733956840708</v>
      </c>
      <c r="CH33" s="306" t="s">
        <v>126</v>
      </c>
      <c r="CI33" s="308">
        <v>365</v>
      </c>
      <c r="CJ33" s="310">
        <f>IF(CG34=0,"-",(CG33/CG34)*CI33)</f>
        <v>88.610614152553239</v>
      </c>
      <c r="CK33" s="304"/>
      <c r="CL33" s="10">
        <f>+BS!AB13</f>
        <v>3760.4301529159397</v>
      </c>
      <c r="CM33" s="306" t="s">
        <v>111</v>
      </c>
      <c r="CN33" s="308">
        <v>365</v>
      </c>
      <c r="CO33" s="310">
        <f>IF(CL34=0,"-",(CL33/CL34)*CN33)</f>
        <v>20.587027804083206</v>
      </c>
      <c r="CP33" s="304"/>
      <c r="CQ33" s="10">
        <f>+BS!AC13</f>
        <v>17056.201948535243</v>
      </c>
      <c r="CR33" s="306" t="s">
        <v>111</v>
      </c>
      <c r="CS33" s="308">
        <v>365</v>
      </c>
      <c r="CT33" s="310">
        <f>IF(CQ34=0,"-",(CQ33/CQ34)*CS33)</f>
        <v>78.104467866383416</v>
      </c>
      <c r="CU33" s="304"/>
      <c r="CV33" s="10">
        <f>+BS!AD13</f>
        <v>2853.8696456950547</v>
      </c>
      <c r="CW33" s="306" t="s">
        <v>111</v>
      </c>
      <c r="CX33" s="308">
        <v>365</v>
      </c>
      <c r="CY33" s="310">
        <f>IF(CV34=0,"-",(CV33/CV34)*CX33)</f>
        <v>9.7621843047695158</v>
      </c>
    </row>
    <row r="34" spans="1:103" ht="18" customHeight="1" x14ac:dyDescent="0.2">
      <c r="A34" s="17"/>
      <c r="B34" s="321"/>
      <c r="C34" s="323"/>
      <c r="D34" s="305"/>
      <c r="E34" s="12">
        <f>+E12</f>
        <v>107629.490764692</v>
      </c>
      <c r="F34" s="307"/>
      <c r="G34" s="309"/>
      <c r="H34" s="311"/>
      <c r="I34" s="305"/>
      <c r="J34" s="12">
        <f>+J12</f>
        <v>153443.90322522877</v>
      </c>
      <c r="K34" s="307"/>
      <c r="L34" s="309"/>
      <c r="M34" s="311"/>
      <c r="N34" s="305"/>
      <c r="O34" s="12">
        <f>+O12</f>
        <v>122702.14935468711</v>
      </c>
      <c r="P34" s="307"/>
      <c r="Q34" s="309"/>
      <c r="R34" s="311"/>
      <c r="S34" s="305"/>
      <c r="T34" s="12">
        <f>+T12</f>
        <v>134643.77120936109</v>
      </c>
      <c r="U34" s="307"/>
      <c r="V34" s="309"/>
      <c r="W34" s="311"/>
      <c r="X34" s="305"/>
      <c r="Y34" s="12">
        <f>+Y12</f>
        <v>122190.1530570623</v>
      </c>
      <c r="Z34" s="307"/>
      <c r="AA34" s="309"/>
      <c r="AB34" s="311"/>
      <c r="AC34" s="305"/>
      <c r="AD34" s="12">
        <f>+AD12</f>
        <v>117117.86794373595</v>
      </c>
      <c r="AE34" s="307"/>
      <c r="AF34" s="309"/>
      <c r="AG34" s="311"/>
      <c r="AH34" s="305"/>
      <c r="AI34" s="12">
        <f>+AI12</f>
        <v>128747.066465904</v>
      </c>
      <c r="AJ34" s="307"/>
      <c r="AK34" s="309"/>
      <c r="AL34" s="311"/>
      <c r="AM34" s="305"/>
      <c r="AN34" s="12">
        <f>+AN12</f>
        <v>89330.530343840102</v>
      </c>
      <c r="AO34" s="307"/>
      <c r="AP34" s="309"/>
      <c r="AQ34" s="311"/>
      <c r="AR34" s="305"/>
      <c r="AS34" s="12">
        <f>+AS12</f>
        <v>77413.875779371112</v>
      </c>
      <c r="AT34" s="307"/>
      <c r="AU34" s="309"/>
      <c r="AV34" s="311"/>
      <c r="AW34" s="305"/>
      <c r="AX34" s="12">
        <f>+AX12</f>
        <v>73200.946820408819</v>
      </c>
      <c r="AY34" s="307"/>
      <c r="AZ34" s="309"/>
      <c r="BA34" s="311"/>
      <c r="BB34" s="305"/>
      <c r="BC34" s="12">
        <f>+BC12</f>
        <v>71135.359744677393</v>
      </c>
      <c r="BD34" s="307"/>
      <c r="BE34" s="309"/>
      <c r="BF34" s="311"/>
      <c r="BG34" s="305"/>
      <c r="BH34" s="12">
        <f>+BH12</f>
        <v>80506.792831506449</v>
      </c>
      <c r="BI34" s="307"/>
      <c r="BJ34" s="309"/>
      <c r="BK34" s="311"/>
      <c r="BL34" s="305"/>
      <c r="BM34" s="12">
        <f>+BM12</f>
        <v>80809.01291244899</v>
      </c>
      <c r="BN34" s="307"/>
      <c r="BO34" s="309"/>
      <c r="BP34" s="311"/>
      <c r="BQ34" s="305"/>
      <c r="BR34" s="12">
        <f>+BR12</f>
        <v>75808.624721591332</v>
      </c>
      <c r="BS34" s="307"/>
      <c r="BT34" s="309"/>
      <c r="BU34" s="311"/>
      <c r="BV34" s="305"/>
      <c r="BW34" s="12">
        <f>+BW12</f>
        <v>85473.774217329614</v>
      </c>
      <c r="BX34" s="307"/>
      <c r="BY34" s="309"/>
      <c r="BZ34" s="311"/>
      <c r="CA34" s="305"/>
      <c r="CB34" s="12">
        <f>+CB12</f>
        <v>86955.078162896534</v>
      </c>
      <c r="CC34" s="307"/>
      <c r="CD34" s="309"/>
      <c r="CE34" s="311"/>
      <c r="CF34" s="305"/>
      <c r="CG34" s="12">
        <f>+CG12</f>
        <v>88371.048650735771</v>
      </c>
      <c r="CH34" s="307"/>
      <c r="CI34" s="309"/>
      <c r="CJ34" s="311"/>
      <c r="CK34" s="305"/>
      <c r="CL34" s="12">
        <f>+CL12</f>
        <v>66670.964787937322</v>
      </c>
      <c r="CM34" s="307"/>
      <c r="CN34" s="309"/>
      <c r="CO34" s="311"/>
      <c r="CP34" s="305"/>
      <c r="CQ34" s="12">
        <f>+CQ12</f>
        <v>79707.523542258947</v>
      </c>
      <c r="CR34" s="307"/>
      <c r="CS34" s="309"/>
      <c r="CT34" s="311"/>
      <c r="CU34" s="305"/>
      <c r="CV34" s="12">
        <f>+CV12</f>
        <v>106703.8265370353</v>
      </c>
      <c r="CW34" s="307"/>
      <c r="CX34" s="309"/>
      <c r="CY34" s="311"/>
    </row>
    <row r="35" spans="1:103" ht="18" customHeight="1" x14ac:dyDescent="0.2">
      <c r="A35" s="17"/>
      <c r="B35" s="320" t="s">
        <v>142</v>
      </c>
      <c r="C35" s="322" t="s">
        <v>139</v>
      </c>
      <c r="D35" s="304"/>
      <c r="E35" s="10">
        <f>+BS!K32</f>
        <v>8654.0499727345195</v>
      </c>
      <c r="F35" s="306" t="s">
        <v>143</v>
      </c>
      <c r="G35" s="308">
        <v>365</v>
      </c>
      <c r="H35" s="310">
        <f>IF(E36=0,"-",(E35/E36)*G35)</f>
        <v>29.348166730194404</v>
      </c>
      <c r="I35" s="304"/>
      <c r="J35" s="10">
        <f>+BS!L32</f>
        <v>5733.4933113662009</v>
      </c>
      <c r="K35" s="306" t="s">
        <v>111</v>
      </c>
      <c r="L35" s="308">
        <v>365</v>
      </c>
      <c r="M35" s="310">
        <f>IF(J36=0,"-",(J35/J36)*L35)</f>
        <v>13.638372165083089</v>
      </c>
      <c r="N35" s="304"/>
      <c r="O35" s="10">
        <f>+BS!M32</f>
        <v>4471.1117176863199</v>
      </c>
      <c r="P35" s="306" t="s">
        <v>111</v>
      </c>
      <c r="Q35" s="308">
        <v>365</v>
      </c>
      <c r="R35" s="310">
        <f>IF(O36=0,"-",(O35/O36)*Q35)</f>
        <v>13.300140099731411</v>
      </c>
      <c r="S35" s="304"/>
      <c r="T35" s="10">
        <f>+BS!N32</f>
        <v>4805.6028397417576</v>
      </c>
      <c r="U35" s="306" t="s">
        <v>111</v>
      </c>
      <c r="V35" s="308">
        <v>365</v>
      </c>
      <c r="W35" s="310">
        <f>IF(T36=0,"-",(T35/T36)*V35)</f>
        <v>13.027301751510892</v>
      </c>
      <c r="X35" s="304"/>
      <c r="Y35" s="10">
        <f>+BS!O32</f>
        <v>4732.0736514746113</v>
      </c>
      <c r="Z35" s="306" t="s">
        <v>111</v>
      </c>
      <c r="AA35" s="308">
        <v>365</v>
      </c>
      <c r="AB35" s="310">
        <f>IF(Y36=0,"-",(Y35/Y36)*AA35)</f>
        <v>14.135401581677653</v>
      </c>
      <c r="AC35" s="304"/>
      <c r="AD35" s="10">
        <f>+BS!P32</f>
        <v>3712.1003542737035</v>
      </c>
      <c r="AE35" s="306" t="s">
        <v>111</v>
      </c>
      <c r="AF35" s="308">
        <v>365</v>
      </c>
      <c r="AG35" s="310">
        <f>IF(AD36=0,"-",(AD35/AD36)*AF35)</f>
        <v>11.568829360527729</v>
      </c>
      <c r="AH35" s="304"/>
      <c r="AI35" s="10">
        <f>+BS!Q32</f>
        <v>10463.826170555263</v>
      </c>
      <c r="AJ35" s="306" t="s">
        <v>143</v>
      </c>
      <c r="AK35" s="308">
        <v>365</v>
      </c>
      <c r="AL35" s="310">
        <f>IF(AI36=0,"-",(AI35/AI36)*AK35)</f>
        <v>29.66511515246161</v>
      </c>
      <c r="AM35" s="304"/>
      <c r="AN35" s="10">
        <f>+BS!R32</f>
        <v>2678.6517625821775</v>
      </c>
      <c r="AO35" s="306" t="s">
        <v>143</v>
      </c>
      <c r="AP35" s="308">
        <v>365</v>
      </c>
      <c r="AQ35" s="310">
        <f>IF(AN36=0,"-",(AN35/AN36)*AP35)</f>
        <v>10.94483475670884</v>
      </c>
      <c r="AR35" s="304"/>
      <c r="AS35" s="10">
        <f>+BS!S32</f>
        <v>2355.439168405273</v>
      </c>
      <c r="AT35" s="306" t="s">
        <v>111</v>
      </c>
      <c r="AU35" s="308">
        <v>365</v>
      </c>
      <c r="AV35" s="310">
        <f>IF(AS36=0,"-",(AS35/AS36)*AU35)</f>
        <v>11.105700209587271</v>
      </c>
      <c r="AW35" s="304"/>
      <c r="AX35" s="10">
        <f>+BS!T32</f>
        <v>2935.4377258678478</v>
      </c>
      <c r="AY35" s="306" t="s">
        <v>111</v>
      </c>
      <c r="AZ35" s="308">
        <v>365</v>
      </c>
      <c r="BA35" s="310">
        <f>IF(AX36=0,"-",(AX35/AX36)*AZ35)</f>
        <v>14.636897697107964</v>
      </c>
      <c r="BB35" s="304"/>
      <c r="BC35" s="10">
        <f>+BS!U32</f>
        <v>2123.465085866078</v>
      </c>
      <c r="BD35" s="306" t="s">
        <v>111</v>
      </c>
      <c r="BE35" s="308">
        <v>365</v>
      </c>
      <c r="BF35" s="310">
        <f>IF(BC36=0,"-",(BC35/BC36)*BE35)</f>
        <v>10.895632764394808</v>
      </c>
      <c r="BG35" s="304"/>
      <c r="BH35" s="10">
        <f>+BS!V32</f>
        <v>2897.2069281304216</v>
      </c>
      <c r="BI35" s="306" t="s">
        <v>111</v>
      </c>
      <c r="BJ35" s="308">
        <v>365</v>
      </c>
      <c r="BK35" s="310">
        <f>IF(BH36=0,"-",(BH35/BH36)*BJ35)</f>
        <v>13.135295688412487</v>
      </c>
      <c r="BL35" s="304"/>
      <c r="BM35" s="10">
        <f>+BS!W32</f>
        <v>2603.7085143673235</v>
      </c>
      <c r="BN35" s="306" t="s">
        <v>111</v>
      </c>
      <c r="BO35" s="308">
        <v>365</v>
      </c>
      <c r="BP35" s="310">
        <f>IF(BM36=0,"-",(BM35/BM36)*BO35)</f>
        <v>11.760490241029375</v>
      </c>
      <c r="BQ35" s="304"/>
      <c r="BR35" s="10">
        <f>+BS!X32</f>
        <v>2314.814759682039</v>
      </c>
      <c r="BS35" s="306" t="s">
        <v>111</v>
      </c>
      <c r="BT35" s="308">
        <v>365</v>
      </c>
      <c r="BU35" s="310">
        <f>IF(BR36=0,"-",(BR35/BR36)*BT35)</f>
        <v>11.14526731472683</v>
      </c>
      <c r="BV35" s="304"/>
      <c r="BW35" s="10">
        <f>+BS!Y32</f>
        <v>2439.6313475815487</v>
      </c>
      <c r="BX35" s="306" t="s">
        <v>111</v>
      </c>
      <c r="BY35" s="308">
        <v>365</v>
      </c>
      <c r="BZ35" s="310">
        <f>IF(BW36=0,"-",(BW35/BW36)*BY35)</f>
        <v>10.417996046402797</v>
      </c>
      <c r="CA35" s="304"/>
      <c r="CB35" s="10">
        <f>+BS!Z32</f>
        <v>5943.0306559840346</v>
      </c>
      <c r="CC35" s="306" t="s">
        <v>111</v>
      </c>
      <c r="CD35" s="308">
        <v>365</v>
      </c>
      <c r="CE35" s="310">
        <f>IF(CB36=0,"-",(CB35/CB36)*CD35)</f>
        <v>24.946285314935942</v>
      </c>
      <c r="CF35" s="304"/>
      <c r="CG35" s="10">
        <f>+BS!AA32</f>
        <v>9841.5584023338633</v>
      </c>
      <c r="CH35" s="306" t="s">
        <v>143</v>
      </c>
      <c r="CI35" s="308">
        <v>365</v>
      </c>
      <c r="CJ35" s="310">
        <f>IF(CG36=0,"-",(CG35/CG36)*CI35)</f>
        <v>40.648706467759588</v>
      </c>
      <c r="CK35" s="304"/>
      <c r="CL35" s="10">
        <f>+BS!AB32</f>
        <v>9140.8836383707367</v>
      </c>
      <c r="CM35" s="306" t="s">
        <v>111</v>
      </c>
      <c r="CN35" s="308">
        <v>365</v>
      </c>
      <c r="CO35" s="310">
        <f>IF(CL36=0,"-",(CL35/CL36)*CN35)</f>
        <v>50.043111549646767</v>
      </c>
      <c r="CP35" s="304"/>
      <c r="CQ35" s="10">
        <f>+BS!AC32</f>
        <v>4950.0330348100888</v>
      </c>
      <c r="CR35" s="306" t="s">
        <v>111</v>
      </c>
      <c r="CS35" s="308">
        <v>365</v>
      </c>
      <c r="CT35" s="310">
        <f>IF(CQ36=0,"-",(CQ35/CQ36)*CS35)</f>
        <v>22.667396720057198</v>
      </c>
      <c r="CU35" s="304"/>
      <c r="CV35" s="10">
        <f>+BS!AD32</f>
        <v>12051.915876725563</v>
      </c>
      <c r="CW35" s="306" t="s">
        <v>111</v>
      </c>
      <c r="CX35" s="308">
        <v>365</v>
      </c>
      <c r="CY35" s="310">
        <f>IF(CV36=0,"-",(CV35/CV36)*CX35)</f>
        <v>41.225787656996729</v>
      </c>
    </row>
    <row r="36" spans="1:103" ht="18" customHeight="1" x14ac:dyDescent="0.2">
      <c r="A36" s="21"/>
      <c r="B36" s="321"/>
      <c r="C36" s="323"/>
      <c r="D36" s="305"/>
      <c r="E36" s="12">
        <f>+E12</f>
        <v>107629.490764692</v>
      </c>
      <c r="F36" s="307"/>
      <c r="G36" s="309"/>
      <c r="H36" s="311"/>
      <c r="I36" s="305"/>
      <c r="J36" s="12">
        <f>+J12</f>
        <v>153443.90322522877</v>
      </c>
      <c r="K36" s="307"/>
      <c r="L36" s="309"/>
      <c r="M36" s="311"/>
      <c r="N36" s="305"/>
      <c r="O36" s="12">
        <f>+O12</f>
        <v>122702.14935468711</v>
      </c>
      <c r="P36" s="307"/>
      <c r="Q36" s="309"/>
      <c r="R36" s="311"/>
      <c r="S36" s="305"/>
      <c r="T36" s="12">
        <f>+T12</f>
        <v>134643.77120936109</v>
      </c>
      <c r="U36" s="307"/>
      <c r="V36" s="309"/>
      <c r="W36" s="311"/>
      <c r="X36" s="305"/>
      <c r="Y36" s="12">
        <f>+Y12</f>
        <v>122190.1530570623</v>
      </c>
      <c r="Z36" s="307"/>
      <c r="AA36" s="309"/>
      <c r="AB36" s="311"/>
      <c r="AC36" s="305"/>
      <c r="AD36" s="12">
        <f>+AD12</f>
        <v>117117.86794373595</v>
      </c>
      <c r="AE36" s="307"/>
      <c r="AF36" s="309"/>
      <c r="AG36" s="311"/>
      <c r="AH36" s="305"/>
      <c r="AI36" s="12">
        <f>+AI12</f>
        <v>128747.066465904</v>
      </c>
      <c r="AJ36" s="307"/>
      <c r="AK36" s="309"/>
      <c r="AL36" s="311"/>
      <c r="AM36" s="305"/>
      <c r="AN36" s="12">
        <f>+AN12</f>
        <v>89330.530343840102</v>
      </c>
      <c r="AO36" s="307"/>
      <c r="AP36" s="309"/>
      <c r="AQ36" s="311"/>
      <c r="AR36" s="305"/>
      <c r="AS36" s="12">
        <f>+AS12</f>
        <v>77413.875779371112</v>
      </c>
      <c r="AT36" s="307"/>
      <c r="AU36" s="309"/>
      <c r="AV36" s="311"/>
      <c r="AW36" s="305"/>
      <c r="AX36" s="12">
        <f>+AX12</f>
        <v>73200.946820408819</v>
      </c>
      <c r="AY36" s="307"/>
      <c r="AZ36" s="309"/>
      <c r="BA36" s="311"/>
      <c r="BB36" s="305"/>
      <c r="BC36" s="12">
        <f>+BC12</f>
        <v>71135.359744677393</v>
      </c>
      <c r="BD36" s="307"/>
      <c r="BE36" s="309"/>
      <c r="BF36" s="311"/>
      <c r="BG36" s="305"/>
      <c r="BH36" s="12">
        <f>+BH12</f>
        <v>80506.792831506449</v>
      </c>
      <c r="BI36" s="307"/>
      <c r="BJ36" s="309"/>
      <c r="BK36" s="311"/>
      <c r="BL36" s="305"/>
      <c r="BM36" s="12">
        <f>+BM12</f>
        <v>80809.01291244899</v>
      </c>
      <c r="BN36" s="307"/>
      <c r="BO36" s="309"/>
      <c r="BP36" s="311"/>
      <c r="BQ36" s="305"/>
      <c r="BR36" s="12">
        <f>+BR12</f>
        <v>75808.624721591332</v>
      </c>
      <c r="BS36" s="307"/>
      <c r="BT36" s="309"/>
      <c r="BU36" s="311"/>
      <c r="BV36" s="305"/>
      <c r="BW36" s="12">
        <f>+BW12</f>
        <v>85473.774217329614</v>
      </c>
      <c r="BX36" s="307"/>
      <c r="BY36" s="309"/>
      <c r="BZ36" s="311"/>
      <c r="CA36" s="305"/>
      <c r="CB36" s="12">
        <f>+CB12</f>
        <v>86955.078162896534</v>
      </c>
      <c r="CC36" s="307"/>
      <c r="CD36" s="309"/>
      <c r="CE36" s="311"/>
      <c r="CF36" s="305"/>
      <c r="CG36" s="12">
        <f>+CG12</f>
        <v>88371.048650735771</v>
      </c>
      <c r="CH36" s="307"/>
      <c r="CI36" s="309"/>
      <c r="CJ36" s="311"/>
      <c r="CK36" s="305"/>
      <c r="CL36" s="12">
        <f>+CL12</f>
        <v>66670.964787937322</v>
      </c>
      <c r="CM36" s="307"/>
      <c r="CN36" s="309"/>
      <c r="CO36" s="311"/>
      <c r="CP36" s="305"/>
      <c r="CQ36" s="12">
        <f>+CQ12</f>
        <v>79707.523542258947</v>
      </c>
      <c r="CR36" s="307"/>
      <c r="CS36" s="309"/>
      <c r="CT36" s="311"/>
      <c r="CU36" s="305"/>
      <c r="CV36" s="12">
        <f>+CV12</f>
        <v>106703.8265370353</v>
      </c>
      <c r="CW36" s="307"/>
      <c r="CX36" s="309"/>
      <c r="CY36" s="311"/>
    </row>
    <row r="37" spans="1:103"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c r="CU37" s="7"/>
      <c r="CV37" s="18"/>
      <c r="CW37" s="7"/>
      <c r="CX37" s="7"/>
      <c r="CY37" s="8"/>
    </row>
    <row r="38" spans="1:103" ht="18" customHeight="1" x14ac:dyDescent="0.2">
      <c r="A38" s="20"/>
      <c r="B38" s="320" t="s">
        <v>145</v>
      </c>
      <c r="C38" s="322" t="s">
        <v>130</v>
      </c>
      <c r="D38" s="304"/>
      <c r="E38" s="10">
        <f>+E12</f>
        <v>107629.490764692</v>
      </c>
      <c r="F38" s="306"/>
      <c r="G38" s="308"/>
      <c r="H38" s="312">
        <f>IF(E39=0,"-",(E38/E39))</f>
        <v>19505.106007201462</v>
      </c>
      <c r="I38" s="304"/>
      <c r="J38" s="10">
        <f>+J12</f>
        <v>153443.90322522877</v>
      </c>
      <c r="K38" s="306"/>
      <c r="L38" s="308"/>
      <c r="M38" s="312">
        <f>IF(J39=0,"-",(J38/J39))</f>
        <v>22261.235889375297</v>
      </c>
      <c r="N38" s="304"/>
      <c r="O38" s="10">
        <f>+O12</f>
        <v>122702.14935468711</v>
      </c>
      <c r="P38" s="306"/>
      <c r="Q38" s="308"/>
      <c r="R38" s="312">
        <f>IF(O39=0,"-",(O38/O39))</f>
        <v>18829.520992610476</v>
      </c>
      <c r="S38" s="304"/>
      <c r="T38" s="10">
        <f>+T12</f>
        <v>134643.77120936109</v>
      </c>
      <c r="U38" s="306"/>
      <c r="V38" s="308"/>
      <c r="W38" s="312">
        <f>IF(T39=0,"-",(T38/T39))</f>
        <v>19087.913673549552</v>
      </c>
      <c r="X38" s="304"/>
      <c r="Y38" s="10">
        <f>+Y12</f>
        <v>122190.1530570623</v>
      </c>
      <c r="Z38" s="306"/>
      <c r="AA38" s="308"/>
      <c r="AB38" s="312">
        <f>IF(Y39=0,"-",(Y38/Y39))</f>
        <v>16239.16765035501</v>
      </c>
      <c r="AC38" s="304"/>
      <c r="AD38" s="10">
        <f>+AD12</f>
        <v>117117.86794373595</v>
      </c>
      <c r="AE38" s="306"/>
      <c r="AF38" s="308"/>
      <c r="AG38" s="312">
        <f>IF(AD39=0,"-",(AD38/AD39))</f>
        <v>18142.143971314148</v>
      </c>
      <c r="AH38" s="304"/>
      <c r="AI38" s="10">
        <f>+AI12</f>
        <v>128747.066465904</v>
      </c>
      <c r="AJ38" s="306"/>
      <c r="AK38" s="308"/>
      <c r="AL38" s="312">
        <f>IF(AI39=0,"-",(AI38/AI39))</f>
        <v>19833.807629888604</v>
      </c>
      <c r="AM38" s="304"/>
      <c r="AN38" s="10">
        <f>+AN12</f>
        <v>89330.530343840102</v>
      </c>
      <c r="AO38" s="306"/>
      <c r="AP38" s="308"/>
      <c r="AQ38" s="312">
        <f>IF(AN39=0,"-",(AN38/AN39))</f>
        <v>18328.4408867196</v>
      </c>
      <c r="AR38" s="304"/>
      <c r="AS38" s="10">
        <f>+AS12</f>
        <v>77413.875779371112</v>
      </c>
      <c r="AT38" s="306"/>
      <c r="AU38" s="308"/>
      <c r="AV38" s="312">
        <f>IF(AS39=0,"-",(AS38/AS39))</f>
        <v>17344.333791248577</v>
      </c>
      <c r="AW38" s="304"/>
      <c r="AX38" s="10">
        <f>+AX12</f>
        <v>73200.946820408819</v>
      </c>
      <c r="AY38" s="306"/>
      <c r="AZ38" s="308"/>
      <c r="BA38" s="312">
        <f>IF(AX39=0,"-",(AX38/AX39))</f>
        <v>15515.509642730451</v>
      </c>
      <c r="BB38" s="304"/>
      <c r="BC38" s="10">
        <f>+BC12</f>
        <v>71135.359744677393</v>
      </c>
      <c r="BD38" s="306"/>
      <c r="BE38" s="308"/>
      <c r="BF38" s="312">
        <f>IF(BC39=0,"-",(BC38/BC39))</f>
        <v>15911.316282572952</v>
      </c>
      <c r="BG38" s="304"/>
      <c r="BH38" s="10">
        <f>+BH12</f>
        <v>80506.792831506449</v>
      </c>
      <c r="BI38" s="306"/>
      <c r="BJ38" s="308"/>
      <c r="BK38" s="312">
        <f>IF(BH39=0,"-",(BH38/BH39))</f>
        <v>18400.113414837251</v>
      </c>
      <c r="BL38" s="304"/>
      <c r="BM38" s="10">
        <f>+BM12</f>
        <v>80809.01291244899</v>
      </c>
      <c r="BN38" s="306"/>
      <c r="BO38" s="308"/>
      <c r="BP38" s="312">
        <f>IF(BM39=0,"-",(BM38/BM39))</f>
        <v>17434.809644183882</v>
      </c>
      <c r="BQ38" s="304"/>
      <c r="BR38" s="10">
        <f>+BR12</f>
        <v>75808.624721591332</v>
      </c>
      <c r="BS38" s="306"/>
      <c r="BT38" s="308"/>
      <c r="BU38" s="312">
        <f>IF(BR39=0,"-",(BR38/BR39))</f>
        <v>17596.475299976344</v>
      </c>
      <c r="BV38" s="304"/>
      <c r="BW38" s="10">
        <f>+BW12</f>
        <v>85473.774217329614</v>
      </c>
      <c r="BX38" s="306"/>
      <c r="BY38" s="308"/>
      <c r="BZ38" s="312">
        <f>IF(BW39=0,"-",(BW38/BW39))</f>
        <v>17966.13357058269</v>
      </c>
      <c r="CA38" s="304"/>
      <c r="CB38" s="10">
        <f>+CB12</f>
        <v>86955.078162896534</v>
      </c>
      <c r="CC38" s="306"/>
      <c r="CD38" s="308"/>
      <c r="CE38" s="312">
        <f>IF(CB39=0,"-",(CB38/CB39))</f>
        <v>18805.905658186173</v>
      </c>
      <c r="CF38" s="304"/>
      <c r="CG38" s="10">
        <f>+CG12</f>
        <v>88371.048650735771</v>
      </c>
      <c r="CH38" s="306"/>
      <c r="CI38" s="308"/>
      <c r="CJ38" s="312">
        <f>IF(CG39=0,"-",(CG38/CG39))</f>
        <v>18297.692473737228</v>
      </c>
      <c r="CK38" s="304"/>
      <c r="CL38" s="10">
        <f>+CL12</f>
        <v>66670.964787937322</v>
      </c>
      <c r="CM38" s="306"/>
      <c r="CN38" s="308"/>
      <c r="CO38" s="312">
        <f>IF(CL39=0,"-",(CL38/CL39))</f>
        <v>16411.102207935968</v>
      </c>
      <c r="CP38" s="304"/>
      <c r="CQ38" s="10">
        <f>+CQ12</f>
        <v>79707.523542258947</v>
      </c>
      <c r="CR38" s="306"/>
      <c r="CS38" s="308"/>
      <c r="CT38" s="312">
        <f>IF(CQ39=0,"-",(CQ38/CQ39))</f>
        <v>20026.452370587911</v>
      </c>
      <c r="CU38" s="304"/>
      <c r="CV38" s="10">
        <f>+CV12</f>
        <v>106703.8265370353</v>
      </c>
      <c r="CW38" s="306"/>
      <c r="CX38" s="308"/>
      <c r="CY38" s="312">
        <f>IF(CV39=0,"-",(CV38/CV39))</f>
        <v>24915.577271609374</v>
      </c>
    </row>
    <row r="39" spans="1:103" ht="18" customHeight="1" x14ac:dyDescent="0.2">
      <c r="A39" s="20"/>
      <c r="B39" s="321"/>
      <c r="C39" s="323"/>
      <c r="D39" s="305"/>
      <c r="E39" s="12">
        <f>+PL!K5</f>
        <v>5.5180161915015598</v>
      </c>
      <c r="F39" s="307"/>
      <c r="G39" s="309"/>
      <c r="H39" s="313"/>
      <c r="I39" s="305"/>
      <c r="J39" s="12">
        <f>+PL!L5</f>
        <v>6.8928744112748701</v>
      </c>
      <c r="K39" s="307"/>
      <c r="L39" s="309"/>
      <c r="M39" s="313"/>
      <c r="N39" s="305"/>
      <c r="O39" s="12">
        <f>+PL!M5</f>
        <v>6.5164774718826237</v>
      </c>
      <c r="P39" s="307"/>
      <c r="Q39" s="309"/>
      <c r="R39" s="313"/>
      <c r="S39" s="305"/>
      <c r="T39" s="12">
        <f>+PL!N5</f>
        <v>7.0538757410632709</v>
      </c>
      <c r="U39" s="307"/>
      <c r="V39" s="309"/>
      <c r="W39" s="313"/>
      <c r="X39" s="305"/>
      <c r="Y39" s="12">
        <f>+PL!O5</f>
        <v>7.5244098520277953</v>
      </c>
      <c r="Z39" s="307"/>
      <c r="AA39" s="309"/>
      <c r="AB39" s="313"/>
      <c r="AC39" s="305"/>
      <c r="AD39" s="12">
        <f>+PL!P5</f>
        <v>6.4555693157831548</v>
      </c>
      <c r="AE39" s="307"/>
      <c r="AF39" s="309"/>
      <c r="AG39" s="313"/>
      <c r="AH39" s="305"/>
      <c r="AI39" s="12">
        <f>+PL!Q5</f>
        <v>6.4912934958534283</v>
      </c>
      <c r="AJ39" s="307"/>
      <c r="AK39" s="309"/>
      <c r="AL39" s="313"/>
      <c r="AM39" s="305"/>
      <c r="AN39" s="12">
        <f>+PL!R5</f>
        <v>4.873875028211871</v>
      </c>
      <c r="AO39" s="307"/>
      <c r="AP39" s="309"/>
      <c r="AQ39" s="313"/>
      <c r="AR39" s="305"/>
      <c r="AS39" s="12">
        <f>+PL!S5</f>
        <v>4.4633525110334187</v>
      </c>
      <c r="AT39" s="307"/>
      <c r="AU39" s="309"/>
      <c r="AV39" s="313"/>
      <c r="AW39" s="305"/>
      <c r="AX39" s="12">
        <f>+PL!T5</f>
        <v>4.7179208744010532</v>
      </c>
      <c r="AY39" s="307"/>
      <c r="AZ39" s="309"/>
      <c r="BA39" s="313"/>
      <c r="BB39" s="305"/>
      <c r="BC39" s="12">
        <f>+PL!U5</f>
        <v>4.470740099773467</v>
      </c>
      <c r="BD39" s="307"/>
      <c r="BE39" s="309"/>
      <c r="BF39" s="313"/>
      <c r="BG39" s="305"/>
      <c r="BH39" s="12">
        <f>+PL!V5</f>
        <v>4.3753422066729435</v>
      </c>
      <c r="BI39" s="307"/>
      <c r="BJ39" s="309"/>
      <c r="BK39" s="313"/>
      <c r="BL39" s="305"/>
      <c r="BM39" s="12">
        <f>+PL!W5</f>
        <v>4.6349237279689053</v>
      </c>
      <c r="BN39" s="307"/>
      <c r="BO39" s="309"/>
      <c r="BP39" s="313"/>
      <c r="BQ39" s="305"/>
      <c r="BR39" s="12">
        <f>+PL!X5</f>
        <v>4.3081710075024651</v>
      </c>
      <c r="BS39" s="307"/>
      <c r="BT39" s="309"/>
      <c r="BU39" s="313"/>
      <c r="BV39" s="305"/>
      <c r="BW39" s="12">
        <f>+PL!Y5</f>
        <v>4.7574940863894222</v>
      </c>
      <c r="BX39" s="307"/>
      <c r="BY39" s="309"/>
      <c r="BZ39" s="313"/>
      <c r="CA39" s="305"/>
      <c r="CB39" s="12">
        <f>+PL!Z5</f>
        <v>4.6238176317259763</v>
      </c>
      <c r="CC39" s="307"/>
      <c r="CD39" s="309"/>
      <c r="CE39" s="313"/>
      <c r="CF39" s="305"/>
      <c r="CG39" s="12">
        <f>+PL!AA5</f>
        <v>4.8296280406709853</v>
      </c>
      <c r="CH39" s="307"/>
      <c r="CI39" s="309"/>
      <c r="CJ39" s="313"/>
      <c r="CK39" s="305"/>
      <c r="CL39" s="12">
        <f>+PL!AB5</f>
        <v>4.0625525295733658</v>
      </c>
      <c r="CM39" s="307"/>
      <c r="CN39" s="309"/>
      <c r="CO39" s="313"/>
      <c r="CP39" s="305"/>
      <c r="CQ39" s="12">
        <f>+PL!AC5</f>
        <v>3.980112007223124</v>
      </c>
      <c r="CR39" s="307"/>
      <c r="CS39" s="309"/>
      <c r="CT39" s="313"/>
      <c r="CU39" s="305"/>
      <c r="CV39" s="12">
        <f>+PL!AD5</f>
        <v>4.2826150634134184</v>
      </c>
      <c r="CW39" s="307"/>
      <c r="CX39" s="309"/>
      <c r="CY39" s="313"/>
    </row>
    <row r="40" spans="1:103" ht="18" customHeight="1" x14ac:dyDescent="0.2">
      <c r="A40" s="20"/>
      <c r="B40" s="336" t="s">
        <v>146</v>
      </c>
      <c r="C40" s="322" t="s">
        <v>130</v>
      </c>
      <c r="D40" s="304"/>
      <c r="E40" s="10">
        <f>+E6</f>
        <v>-1035.9054237335502</v>
      </c>
      <c r="F40" s="306"/>
      <c r="G40" s="308"/>
      <c r="H40" s="312">
        <f>IF(E41=0,"-",(E40/E41))</f>
        <v>-187.73149403384772</v>
      </c>
      <c r="I40" s="304"/>
      <c r="J40" s="10">
        <f>+J6</f>
        <v>9664.3684747765983</v>
      </c>
      <c r="K40" s="306"/>
      <c r="L40" s="308"/>
      <c r="M40" s="312">
        <f>IF(J41=0,"-",(J40/J41))</f>
        <v>1402.0810329821645</v>
      </c>
      <c r="N40" s="304"/>
      <c r="O40" s="10">
        <f>+O6</f>
        <v>7013.6152175468096</v>
      </c>
      <c r="P40" s="306"/>
      <c r="Q40" s="308"/>
      <c r="R40" s="312">
        <f>IF(O41=0,"-",(O40/O41))</f>
        <v>1076.2893369629899</v>
      </c>
      <c r="S40" s="304"/>
      <c r="T40" s="10">
        <f>+T6</f>
        <v>8975.2023353557433</v>
      </c>
      <c r="U40" s="306"/>
      <c r="V40" s="308"/>
      <c r="W40" s="312">
        <f>IF(T41=0,"-",(T40/T41))</f>
        <v>1272.378854522161</v>
      </c>
      <c r="X40" s="304"/>
      <c r="Y40" s="10">
        <f>+Y6</f>
        <v>6873.5860034603693</v>
      </c>
      <c r="Z40" s="306"/>
      <c r="AA40" s="308"/>
      <c r="AB40" s="312">
        <f>IF(Y41=0,"-",(Y40/Y41))</f>
        <v>913.50499755246165</v>
      </c>
      <c r="AC40" s="304"/>
      <c r="AD40" s="10">
        <f>+AD6</f>
        <v>5555.1287500916715</v>
      </c>
      <c r="AE40" s="306"/>
      <c r="AF40" s="308"/>
      <c r="AG40" s="312">
        <f>IF(AD41=0,"-",(AD40/AD41))</f>
        <v>860.51724927033069</v>
      </c>
      <c r="AH40" s="304"/>
      <c r="AI40" s="10">
        <f>+AI6</f>
        <v>7039.4107982695805</v>
      </c>
      <c r="AJ40" s="306"/>
      <c r="AK40" s="308"/>
      <c r="AL40" s="312">
        <f>IF(AI41=0,"-",(AI40/AI41))</f>
        <v>1084.4388414676187</v>
      </c>
      <c r="AM40" s="304"/>
      <c r="AN40" s="10">
        <f>+AN6</f>
        <v>2019.5983507122737</v>
      </c>
      <c r="AO40" s="306"/>
      <c r="AP40" s="308"/>
      <c r="AQ40" s="312">
        <f>IF(AN41=0,"-",(AN40/AN41))</f>
        <v>414.37220671889582</v>
      </c>
      <c r="AR40" s="304"/>
      <c r="AS40" s="10">
        <f>+AS6</f>
        <v>-1063.9032941263251</v>
      </c>
      <c r="AT40" s="306"/>
      <c r="AU40" s="308"/>
      <c r="AV40" s="312">
        <f>IF(AS41=0,"-",(AS40/AS41))</f>
        <v>-238.36416494022228</v>
      </c>
      <c r="AW40" s="304"/>
      <c r="AX40" s="10">
        <f>+AX6</f>
        <v>3538.5080804681147</v>
      </c>
      <c r="AY40" s="306"/>
      <c r="AZ40" s="308"/>
      <c r="BA40" s="312">
        <f>IF(AX41=0,"-",(AX40/AX41))</f>
        <v>750.01429118230669</v>
      </c>
      <c r="BB40" s="304"/>
      <c r="BC40" s="10">
        <f>+BC6</f>
        <v>6911.1328719467328</v>
      </c>
      <c r="BD40" s="306"/>
      <c r="BE40" s="308"/>
      <c r="BF40" s="312">
        <f>IF(BC41=0,"-",(BC40/BC41))</f>
        <v>1545.8587879659838</v>
      </c>
      <c r="BG40" s="304"/>
      <c r="BH40" s="10">
        <f>+BH6</f>
        <v>26751.913530238588</v>
      </c>
      <c r="BI40" s="306"/>
      <c r="BJ40" s="308"/>
      <c r="BK40" s="312">
        <f>IF(BH41=0,"-",(BH40/BH41))</f>
        <v>6114.2448445377777</v>
      </c>
      <c r="BL40" s="304"/>
      <c r="BM40" s="10">
        <f>+BM6</f>
        <v>7625.401144384532</v>
      </c>
      <c r="BN40" s="306"/>
      <c r="BO40" s="308"/>
      <c r="BP40" s="312">
        <f>IF(BM41=0,"-",(BM40/BM41))</f>
        <v>1645.2053133841105</v>
      </c>
      <c r="BQ40" s="304"/>
      <c r="BR40" s="10">
        <f>+BR6</f>
        <v>7120.7384743157536</v>
      </c>
      <c r="BS40" s="306"/>
      <c r="BT40" s="308"/>
      <c r="BU40" s="312">
        <f>IF(BR41=0,"-",(BR40/BR41))</f>
        <v>1652.8448991266462</v>
      </c>
      <c r="BV40" s="304"/>
      <c r="BW40" s="10">
        <f>+BW6</f>
        <v>7131.9435089397302</v>
      </c>
      <c r="BX40" s="306"/>
      <c r="BY40" s="308"/>
      <c r="BZ40" s="312">
        <f>IF(BW41=0,"-",(BW40/BW41))</f>
        <v>1499.0966629560933</v>
      </c>
      <c r="CA40" s="304"/>
      <c r="CB40" s="10">
        <f>+CB6</f>
        <v>27532.113608426331</v>
      </c>
      <c r="CC40" s="306"/>
      <c r="CD40" s="308"/>
      <c r="CE40" s="312">
        <f>IF(CB41=0,"-",(CB40/CB41))</f>
        <v>5954.4116574833761</v>
      </c>
      <c r="CF40" s="304"/>
      <c r="CG40" s="10">
        <f>+CG6</f>
        <v>8313.4968295508188</v>
      </c>
      <c r="CH40" s="306"/>
      <c r="CI40" s="308"/>
      <c r="CJ40" s="312">
        <f>IF(CG41=0,"-",(CG40/CG41))</f>
        <v>1721.3534374783478</v>
      </c>
      <c r="CK40" s="304"/>
      <c r="CL40" s="10">
        <f>+CL6</f>
        <v>5840.4715681724092</v>
      </c>
      <c r="CM40" s="306"/>
      <c r="CN40" s="308"/>
      <c r="CO40" s="312">
        <f>IF(CL41=0,"-",(CL40/CL41))</f>
        <v>1437.6359507124339</v>
      </c>
      <c r="CP40" s="304"/>
      <c r="CQ40" s="10">
        <f>+CQ6</f>
        <v>-24599.084115228343</v>
      </c>
      <c r="CR40" s="306"/>
      <c r="CS40" s="308"/>
      <c r="CT40" s="312">
        <f>IF(CQ41=0,"-",(CQ40/CQ41))</f>
        <v>-6180.500465963225</v>
      </c>
      <c r="CU40" s="304"/>
      <c r="CV40" s="10">
        <f>+CV6</f>
        <v>13665.694873952198</v>
      </c>
      <c r="CW40" s="306"/>
      <c r="CX40" s="308"/>
      <c r="CY40" s="312">
        <f>IF(CV41=0,"-",(CV40/CV41))</f>
        <v>3190.9696929567335</v>
      </c>
    </row>
    <row r="41" spans="1:103" ht="18" customHeight="1" x14ac:dyDescent="0.2">
      <c r="A41" s="22"/>
      <c r="B41" s="337"/>
      <c r="C41" s="323"/>
      <c r="D41" s="305"/>
      <c r="E41" s="12">
        <f>+E39</f>
        <v>5.5180161915015598</v>
      </c>
      <c r="F41" s="307"/>
      <c r="G41" s="309"/>
      <c r="H41" s="313"/>
      <c r="I41" s="305"/>
      <c r="J41" s="12">
        <f>+J39</f>
        <v>6.8928744112748701</v>
      </c>
      <c r="K41" s="307"/>
      <c r="L41" s="309"/>
      <c r="M41" s="313"/>
      <c r="N41" s="305"/>
      <c r="O41" s="12">
        <f>+O39</f>
        <v>6.5164774718826237</v>
      </c>
      <c r="P41" s="307"/>
      <c r="Q41" s="309"/>
      <c r="R41" s="313"/>
      <c r="S41" s="305"/>
      <c r="T41" s="12">
        <f>+T39</f>
        <v>7.0538757410632709</v>
      </c>
      <c r="U41" s="307"/>
      <c r="V41" s="309"/>
      <c r="W41" s="313"/>
      <c r="X41" s="305"/>
      <c r="Y41" s="12">
        <f>+Y39</f>
        <v>7.5244098520277953</v>
      </c>
      <c r="Z41" s="307"/>
      <c r="AA41" s="309"/>
      <c r="AB41" s="313"/>
      <c r="AC41" s="305"/>
      <c r="AD41" s="12">
        <f>+AD39</f>
        <v>6.4555693157831548</v>
      </c>
      <c r="AE41" s="307"/>
      <c r="AF41" s="309"/>
      <c r="AG41" s="313"/>
      <c r="AH41" s="305"/>
      <c r="AI41" s="12">
        <f>+AI39</f>
        <v>6.4912934958534283</v>
      </c>
      <c r="AJ41" s="307"/>
      <c r="AK41" s="309"/>
      <c r="AL41" s="313"/>
      <c r="AM41" s="305"/>
      <c r="AN41" s="12">
        <f>+AN39</f>
        <v>4.873875028211871</v>
      </c>
      <c r="AO41" s="307"/>
      <c r="AP41" s="309"/>
      <c r="AQ41" s="313"/>
      <c r="AR41" s="305"/>
      <c r="AS41" s="12">
        <f>+AS39</f>
        <v>4.4633525110334187</v>
      </c>
      <c r="AT41" s="307"/>
      <c r="AU41" s="309"/>
      <c r="AV41" s="313"/>
      <c r="AW41" s="305"/>
      <c r="AX41" s="12">
        <f>+AX39</f>
        <v>4.7179208744010532</v>
      </c>
      <c r="AY41" s="307"/>
      <c r="AZ41" s="309"/>
      <c r="BA41" s="313"/>
      <c r="BB41" s="305"/>
      <c r="BC41" s="12">
        <f>+BC39</f>
        <v>4.470740099773467</v>
      </c>
      <c r="BD41" s="307"/>
      <c r="BE41" s="309"/>
      <c r="BF41" s="313"/>
      <c r="BG41" s="305"/>
      <c r="BH41" s="12">
        <f>+BH39</f>
        <v>4.3753422066729435</v>
      </c>
      <c r="BI41" s="307"/>
      <c r="BJ41" s="309"/>
      <c r="BK41" s="313"/>
      <c r="BL41" s="305"/>
      <c r="BM41" s="12">
        <f>+BM39</f>
        <v>4.6349237279689053</v>
      </c>
      <c r="BN41" s="307"/>
      <c r="BO41" s="309"/>
      <c r="BP41" s="313"/>
      <c r="BQ41" s="305"/>
      <c r="BR41" s="12">
        <f>+BR39</f>
        <v>4.3081710075024651</v>
      </c>
      <c r="BS41" s="307"/>
      <c r="BT41" s="309"/>
      <c r="BU41" s="313"/>
      <c r="BV41" s="305"/>
      <c r="BW41" s="12">
        <f>+BW39</f>
        <v>4.7574940863894222</v>
      </c>
      <c r="BX41" s="307"/>
      <c r="BY41" s="309"/>
      <c r="BZ41" s="313"/>
      <c r="CA41" s="305"/>
      <c r="CB41" s="12">
        <f>+CB39</f>
        <v>4.6238176317259763</v>
      </c>
      <c r="CC41" s="307"/>
      <c r="CD41" s="309"/>
      <c r="CE41" s="313"/>
      <c r="CF41" s="305"/>
      <c r="CG41" s="12">
        <f>+CG39</f>
        <v>4.8296280406709853</v>
      </c>
      <c r="CH41" s="307"/>
      <c r="CI41" s="309"/>
      <c r="CJ41" s="313"/>
      <c r="CK41" s="305"/>
      <c r="CL41" s="12">
        <f>+CL39</f>
        <v>4.0625525295733658</v>
      </c>
      <c r="CM41" s="307"/>
      <c r="CN41" s="309"/>
      <c r="CO41" s="313"/>
      <c r="CP41" s="305"/>
      <c r="CQ41" s="12">
        <f>+CQ39</f>
        <v>3.980112007223124</v>
      </c>
      <c r="CR41" s="307"/>
      <c r="CS41" s="309"/>
      <c r="CT41" s="313"/>
      <c r="CU41" s="305"/>
      <c r="CV41" s="12">
        <f>+CV39</f>
        <v>4.2826150634134184</v>
      </c>
      <c r="CW41" s="307"/>
      <c r="CX41" s="309"/>
      <c r="CY41" s="313"/>
    </row>
    <row r="42" spans="1:103"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c r="CU42" s="13"/>
      <c r="CV42" s="14"/>
      <c r="CW42" s="13"/>
      <c r="CX42" s="13"/>
      <c r="CY42" s="15"/>
    </row>
    <row r="43" spans="1:103" ht="18" customHeight="1" x14ac:dyDescent="0.2">
      <c r="A43" s="17"/>
      <c r="B43" s="320" t="s">
        <v>148</v>
      </c>
      <c r="C43" s="322" t="s">
        <v>149</v>
      </c>
      <c r="D43" s="304"/>
      <c r="E43" s="10">
        <f>+BS!K9</f>
        <v>127338.41356842199</v>
      </c>
      <c r="F43" s="306" t="s">
        <v>150</v>
      </c>
      <c r="G43" s="308">
        <v>100</v>
      </c>
      <c r="H43" s="310">
        <f>IF(E44=0,"-",(E43/E44)*G43)</f>
        <v>98.811660343502211</v>
      </c>
      <c r="I43" s="304"/>
      <c r="J43" s="10">
        <f>+BS!L9</f>
        <v>126242.16973191741</v>
      </c>
      <c r="K43" s="306" t="s">
        <v>111</v>
      </c>
      <c r="L43" s="308">
        <v>100</v>
      </c>
      <c r="M43" s="310">
        <f>IF(J44=0,"-",(J43/J44)*L43)</f>
        <v>67.528692195320545</v>
      </c>
      <c r="N43" s="304"/>
      <c r="O43" s="10">
        <f>+BS!M9</f>
        <v>101216.97847344266</v>
      </c>
      <c r="P43" s="306" t="s">
        <v>111</v>
      </c>
      <c r="Q43" s="308">
        <v>100</v>
      </c>
      <c r="R43" s="310">
        <f>IF(O44=0,"-",(O43/O44)*Q43)</f>
        <v>83.601754169960373</v>
      </c>
      <c r="S43" s="304"/>
      <c r="T43" s="10">
        <f>+BS!N9</f>
        <v>104966.24560104504</v>
      </c>
      <c r="U43" s="306" t="s">
        <v>111</v>
      </c>
      <c r="V43" s="308">
        <v>100</v>
      </c>
      <c r="W43" s="310">
        <f>IF(T44=0,"-",(T43/T44)*V43)</f>
        <v>73.586766940783249</v>
      </c>
      <c r="X43" s="304"/>
      <c r="Y43" s="10">
        <f>+BS!O9</f>
        <v>104050.21340236823</v>
      </c>
      <c r="Z43" s="306" t="s">
        <v>111</v>
      </c>
      <c r="AA43" s="308">
        <v>100</v>
      </c>
      <c r="AB43" s="310">
        <f>IF(Y44=0,"-",(Y43/Y44)*AA43)</f>
        <v>94.76486377146334</v>
      </c>
      <c r="AC43" s="304"/>
      <c r="AD43" s="10">
        <f>+BS!P9</f>
        <v>83810.937469741315</v>
      </c>
      <c r="AE43" s="306" t="s">
        <v>111</v>
      </c>
      <c r="AF43" s="308">
        <v>100</v>
      </c>
      <c r="AG43" s="310">
        <f>IF(AD44=0,"-",(AD43/AD44)*AF43)</f>
        <v>78.181094476938128</v>
      </c>
      <c r="AH43" s="304"/>
      <c r="AI43" s="10">
        <f>+BS!Q9</f>
        <v>110316.93975462743</v>
      </c>
      <c r="AJ43" s="306" t="s">
        <v>150</v>
      </c>
      <c r="AK43" s="308">
        <v>100</v>
      </c>
      <c r="AL43" s="310">
        <f>IF(AI44=0,"-",(AI43/AI44)*AK43)</f>
        <v>82.797370103151692</v>
      </c>
      <c r="AM43" s="304"/>
      <c r="AN43" s="10">
        <f>+BS!R9</f>
        <v>94405.467665825083</v>
      </c>
      <c r="AO43" s="306" t="s">
        <v>126</v>
      </c>
      <c r="AP43" s="308">
        <v>100</v>
      </c>
      <c r="AQ43" s="310">
        <f>IF(AN44=0,"-",(AN43/AN44)*AP43)</f>
        <v>129.53779277546039</v>
      </c>
      <c r="AR43" s="304"/>
      <c r="AS43" s="10">
        <f>+BS!S9</f>
        <v>83510.57185791638</v>
      </c>
      <c r="AT43" s="306" t="s">
        <v>111</v>
      </c>
      <c r="AU43" s="308">
        <v>100</v>
      </c>
      <c r="AV43" s="310">
        <f>IF(AS44=0,"-",(AS43/AS44)*AU43)</f>
        <v>130.90193891641505</v>
      </c>
      <c r="AW43" s="304"/>
      <c r="AX43" s="10">
        <f>+BS!T9</f>
        <v>48726.857071012142</v>
      </c>
      <c r="AY43" s="306" t="s">
        <v>111</v>
      </c>
      <c r="AZ43" s="308">
        <v>100</v>
      </c>
      <c r="BA43" s="310">
        <f>IF(AX44=0,"-",(AX43/AX44)*AZ43)</f>
        <v>96.751934611563669</v>
      </c>
      <c r="BB43" s="304"/>
      <c r="BC43" s="10">
        <f>+BS!U9</f>
        <v>78880.434469345244</v>
      </c>
      <c r="BD43" s="306" t="s">
        <v>111</v>
      </c>
      <c r="BE43" s="308">
        <v>100</v>
      </c>
      <c r="BF43" s="310">
        <f>IF(BC44=0,"-",(BC43/BC44)*BE43)</f>
        <v>111.14469617313082</v>
      </c>
      <c r="BG43" s="304"/>
      <c r="BH43" s="10">
        <f>+BS!V9</f>
        <v>118660.14038664328</v>
      </c>
      <c r="BI43" s="306" t="s">
        <v>111</v>
      </c>
      <c r="BJ43" s="308">
        <v>100</v>
      </c>
      <c r="BK43" s="310">
        <f>IF(BH44=0,"-",(BH43/BH44)*BJ43)</f>
        <v>163.93454024060046</v>
      </c>
      <c r="BL43" s="304"/>
      <c r="BM43" s="10">
        <f>+BS!W9</f>
        <v>93889.724277811867</v>
      </c>
      <c r="BN43" s="306" t="s">
        <v>111</v>
      </c>
      <c r="BO43" s="308">
        <v>100</v>
      </c>
      <c r="BP43" s="310">
        <f>IF(BM44=0,"-",(BM43/BM44)*BO43)</f>
        <v>130.87299481666091</v>
      </c>
      <c r="BQ43" s="304"/>
      <c r="BR43" s="10">
        <f>+BS!X9</f>
        <v>71168.591768491329</v>
      </c>
      <c r="BS43" s="306" t="s">
        <v>111</v>
      </c>
      <c r="BT43" s="308">
        <v>100</v>
      </c>
      <c r="BU43" s="310">
        <f>IF(BR44=0,"-",(BR43/BR44)*BT43)</f>
        <v>128.66666962010899</v>
      </c>
      <c r="BV43" s="304"/>
      <c r="BW43" s="10">
        <f>+BS!Y9</f>
        <v>92341.372132551478</v>
      </c>
      <c r="BX43" s="306" t="s">
        <v>111</v>
      </c>
      <c r="BY43" s="308">
        <v>100</v>
      </c>
      <c r="BZ43" s="310">
        <f>IF(BW44=0,"-",(BW43/BW44)*BY43)</f>
        <v>165.98025253506515</v>
      </c>
      <c r="CA43" s="304"/>
      <c r="CB43" s="10">
        <f>+BS!Z9</f>
        <v>110266.35173858464</v>
      </c>
      <c r="CC43" s="306" t="s">
        <v>111</v>
      </c>
      <c r="CD43" s="308">
        <v>100</v>
      </c>
      <c r="CE43" s="310">
        <f>IF(CB44=0,"-",(CB43/CB44)*CD43)</f>
        <v>156.58581738759801</v>
      </c>
      <c r="CF43" s="304"/>
      <c r="CG43" s="10">
        <f>+BS!AA9</f>
        <v>120055.84285040114</v>
      </c>
      <c r="CH43" s="306" t="s">
        <v>126</v>
      </c>
      <c r="CI43" s="308">
        <v>100</v>
      </c>
      <c r="CJ43" s="310">
        <f>IF(CG44=0,"-",(CG43/CG44)*CI43)</f>
        <v>130.24249065299077</v>
      </c>
      <c r="CK43" s="304"/>
      <c r="CL43" s="10">
        <f>+BS!AB9</f>
        <v>95870.223026456093</v>
      </c>
      <c r="CM43" s="306" t="s">
        <v>111</v>
      </c>
      <c r="CN43" s="308">
        <v>100</v>
      </c>
      <c r="CO43" s="310">
        <f>IF(CL44=0,"-",(CL43/CL44)*CN43)</f>
        <v>156.64520049230458</v>
      </c>
      <c r="CP43" s="304"/>
      <c r="CQ43" s="10">
        <f>+BS!AC9</f>
        <v>100102.58094901108</v>
      </c>
      <c r="CR43" s="306" t="s">
        <v>111</v>
      </c>
      <c r="CS43" s="308">
        <v>100</v>
      </c>
      <c r="CT43" s="310">
        <f>IF(CQ44=0,"-",(CQ43/CQ44)*CS43)</f>
        <v>190.66722885269854</v>
      </c>
      <c r="CU43" s="304"/>
      <c r="CV43" s="10">
        <f>+BS!AD9</f>
        <v>144368.97511451811</v>
      </c>
      <c r="CW43" s="306" t="s">
        <v>111</v>
      </c>
      <c r="CX43" s="308">
        <v>100</v>
      </c>
      <c r="CY43" s="310">
        <f>IF(CV44=0,"-",(CV43/CV44)*CX43)</f>
        <v>159.09364401326735</v>
      </c>
    </row>
    <row r="44" spans="1:103" ht="18" customHeight="1" x14ac:dyDescent="0.2">
      <c r="A44" s="17"/>
      <c r="B44" s="321"/>
      <c r="C44" s="323"/>
      <c r="D44" s="305"/>
      <c r="E44" s="12">
        <f>+BS!K31</f>
        <v>128869.82480180101</v>
      </c>
      <c r="F44" s="307"/>
      <c r="G44" s="309"/>
      <c r="H44" s="311"/>
      <c r="I44" s="305"/>
      <c r="J44" s="12">
        <f>+BS!L31</f>
        <v>186945.97159792983</v>
      </c>
      <c r="K44" s="307"/>
      <c r="L44" s="309"/>
      <c r="M44" s="311"/>
      <c r="N44" s="305"/>
      <c r="O44" s="12">
        <f>+BS!M31</f>
        <v>121070.40035029763</v>
      </c>
      <c r="P44" s="307"/>
      <c r="Q44" s="309"/>
      <c r="R44" s="311"/>
      <c r="S44" s="305"/>
      <c r="T44" s="12">
        <f>+BS!N31</f>
        <v>142642.828275787</v>
      </c>
      <c r="U44" s="307"/>
      <c r="V44" s="309"/>
      <c r="W44" s="311"/>
      <c r="X44" s="305"/>
      <c r="Y44" s="12">
        <f>+BS!O31</f>
        <v>109798.30420407464</v>
      </c>
      <c r="Z44" s="307"/>
      <c r="AA44" s="309"/>
      <c r="AB44" s="311"/>
      <c r="AC44" s="305"/>
      <c r="AD44" s="12">
        <f>+BS!P31</f>
        <v>107201.02862523097</v>
      </c>
      <c r="AE44" s="307"/>
      <c r="AF44" s="309"/>
      <c r="AG44" s="311"/>
      <c r="AH44" s="305"/>
      <c r="AI44" s="12">
        <f>+BS!Q31</f>
        <v>133237.25091411834</v>
      </c>
      <c r="AJ44" s="307"/>
      <c r="AK44" s="309"/>
      <c r="AL44" s="311"/>
      <c r="AM44" s="305"/>
      <c r="AN44" s="12">
        <f>+BS!R31</f>
        <v>72878.706393790912</v>
      </c>
      <c r="AO44" s="307"/>
      <c r="AP44" s="309"/>
      <c r="AQ44" s="311"/>
      <c r="AR44" s="305"/>
      <c r="AS44" s="12">
        <f>+BS!S31</f>
        <v>63796.283347063683</v>
      </c>
      <c r="AT44" s="307"/>
      <c r="AU44" s="309"/>
      <c r="AV44" s="311"/>
      <c r="AW44" s="305"/>
      <c r="AX44" s="12">
        <f>+BS!T31</f>
        <v>50362.669507993865</v>
      </c>
      <c r="AY44" s="307"/>
      <c r="AZ44" s="309"/>
      <c r="BA44" s="311"/>
      <c r="BB44" s="305"/>
      <c r="BC44" s="12">
        <f>+BS!U31</f>
        <v>70970.938951934033</v>
      </c>
      <c r="BD44" s="307"/>
      <c r="BE44" s="309"/>
      <c r="BF44" s="311"/>
      <c r="BG44" s="305"/>
      <c r="BH44" s="12">
        <f>+BS!V31</f>
        <v>72382.635296070206</v>
      </c>
      <c r="BI44" s="307"/>
      <c r="BJ44" s="309"/>
      <c r="BK44" s="311"/>
      <c r="BL44" s="305"/>
      <c r="BM44" s="12">
        <f>+BS!W31</f>
        <v>71741.098619574914</v>
      </c>
      <c r="BN44" s="307"/>
      <c r="BO44" s="309"/>
      <c r="BP44" s="311"/>
      <c r="BQ44" s="305"/>
      <c r="BR44" s="12">
        <f>+BS!X31</f>
        <v>55312.375752491353</v>
      </c>
      <c r="BS44" s="307"/>
      <c r="BT44" s="309"/>
      <c r="BU44" s="311"/>
      <c r="BV44" s="305"/>
      <c r="BW44" s="12">
        <f>+BS!Y31</f>
        <v>55633.950859933386</v>
      </c>
      <c r="BX44" s="307"/>
      <c r="BY44" s="309"/>
      <c r="BZ44" s="311"/>
      <c r="CA44" s="305"/>
      <c r="CB44" s="12">
        <f>+BS!Z31</f>
        <v>70419.118141230851</v>
      </c>
      <c r="CC44" s="307"/>
      <c r="CD44" s="309"/>
      <c r="CE44" s="311"/>
      <c r="CF44" s="305"/>
      <c r="CG44" s="12">
        <f>+BS!AA31</f>
        <v>92178.70623364365</v>
      </c>
      <c r="CH44" s="307"/>
      <c r="CI44" s="309"/>
      <c r="CJ44" s="311"/>
      <c r="CK44" s="305"/>
      <c r="CL44" s="12">
        <f>+BS!AB31</f>
        <v>61202.145182332504</v>
      </c>
      <c r="CM44" s="307"/>
      <c r="CN44" s="309"/>
      <c r="CO44" s="311"/>
      <c r="CP44" s="305"/>
      <c r="CQ44" s="12">
        <f>+BS!AC31</f>
        <v>52501.198843324106</v>
      </c>
      <c r="CR44" s="307"/>
      <c r="CS44" s="309"/>
      <c r="CT44" s="311"/>
      <c r="CU44" s="305"/>
      <c r="CV44" s="12">
        <f>+BS!AD31</f>
        <v>90744.652943192807</v>
      </c>
      <c r="CW44" s="307"/>
      <c r="CX44" s="309"/>
      <c r="CY44" s="311"/>
    </row>
    <row r="45" spans="1:103" ht="18" customHeight="1" x14ac:dyDescent="0.2">
      <c r="A45" s="17"/>
      <c r="B45" s="320" t="s">
        <v>151</v>
      </c>
      <c r="C45" s="322" t="s">
        <v>152</v>
      </c>
      <c r="D45" s="304"/>
      <c r="E45" s="10">
        <f>+BS!K10+BS!K11+BS!K12</f>
        <v>62670.535102560127</v>
      </c>
      <c r="F45" s="306" t="s">
        <v>111</v>
      </c>
      <c r="G45" s="308">
        <v>100</v>
      </c>
      <c r="H45" s="310">
        <f>IF(E46=0,"-",(E45/E46)*G45)</f>
        <v>48.630884071539668</v>
      </c>
      <c r="I45" s="304"/>
      <c r="J45" s="10">
        <f>+BS!L10+BS!L11+BS!L12</f>
        <v>67008.148134882969</v>
      </c>
      <c r="K45" s="306" t="s">
        <v>111</v>
      </c>
      <c r="L45" s="308">
        <v>100</v>
      </c>
      <c r="M45" s="310">
        <f>IF(J46=0,"-",(J45/J46)*L45)</f>
        <v>35.843590296237757</v>
      </c>
      <c r="N45" s="304"/>
      <c r="O45" s="10">
        <f>+BS!M10+BS!M11+BS!M12</f>
        <v>60476.156435984143</v>
      </c>
      <c r="P45" s="306" t="s">
        <v>111</v>
      </c>
      <c r="Q45" s="308">
        <v>100</v>
      </c>
      <c r="R45" s="310">
        <f>IF(O46=0,"-",(O45/O46)*Q45)</f>
        <v>49.951231895662495</v>
      </c>
      <c r="S45" s="304"/>
      <c r="T45" s="10">
        <f>+BS!N10+BS!N11+BS!N12</f>
        <v>71415.841313786543</v>
      </c>
      <c r="U45" s="306" t="s">
        <v>111</v>
      </c>
      <c r="V45" s="308">
        <v>100</v>
      </c>
      <c r="W45" s="310">
        <f>IF(T46=0,"-",(T45/T46)*V45)</f>
        <v>50.066198334002799</v>
      </c>
      <c r="X45" s="304"/>
      <c r="Y45" s="10">
        <f>+BS!O10+BS!O11+BS!O12</f>
        <v>66198.93072882542</v>
      </c>
      <c r="Z45" s="306" t="s">
        <v>111</v>
      </c>
      <c r="AA45" s="308">
        <v>100</v>
      </c>
      <c r="AB45" s="310">
        <f>IF(Y46=0,"-",(Y45/Y46)*AA45)</f>
        <v>60.291396309533127</v>
      </c>
      <c r="AC45" s="304"/>
      <c r="AD45" s="10">
        <f>+BS!P10+BS!P11+BS!P12</f>
        <v>52566.037433356338</v>
      </c>
      <c r="AE45" s="306" t="s">
        <v>111</v>
      </c>
      <c r="AF45" s="308">
        <v>100</v>
      </c>
      <c r="AG45" s="310">
        <f>IF(AD46=0,"-",(AD45/AD46)*AF45)</f>
        <v>49.035012170568223</v>
      </c>
      <c r="AH45" s="304"/>
      <c r="AI45" s="10">
        <f>+BS!Q10+BS!Q11+BS!Q12</f>
        <v>69927.06894284008</v>
      </c>
      <c r="AJ45" s="306" t="s">
        <v>111</v>
      </c>
      <c r="AK45" s="308">
        <v>100</v>
      </c>
      <c r="AL45" s="310">
        <f>IF(AI46=0,"-",(AI45/AI46)*AK45)</f>
        <v>52.483121997100838</v>
      </c>
      <c r="AM45" s="304"/>
      <c r="AN45" s="10">
        <f>+BS!R10+BS!R11+BS!R12</f>
        <v>56341.761089217398</v>
      </c>
      <c r="AO45" s="306" t="s">
        <v>111</v>
      </c>
      <c r="AP45" s="308">
        <v>100</v>
      </c>
      <c r="AQ45" s="310">
        <f>IF(AN46=0,"-",(AN45/AN46)*AP45)</f>
        <v>77.308947808131762</v>
      </c>
      <c r="AR45" s="304"/>
      <c r="AS45" s="10">
        <f>+BS!S10+BS!S11+BS!S12</f>
        <v>53529.057659795282</v>
      </c>
      <c r="AT45" s="306" t="s">
        <v>111</v>
      </c>
      <c r="AU45" s="308">
        <v>100</v>
      </c>
      <c r="AV45" s="310">
        <f>IF(AS46=0,"-",(AS45/AS46)*AU45)</f>
        <v>83.906232230782507</v>
      </c>
      <c r="AW45" s="304"/>
      <c r="AX45" s="10">
        <f>+BS!T10+BS!T11+BS!T12</f>
        <v>33002.108353045049</v>
      </c>
      <c r="AY45" s="306" t="s">
        <v>111</v>
      </c>
      <c r="AZ45" s="308">
        <v>100</v>
      </c>
      <c r="BA45" s="310">
        <f>IF(AX46=0,"-",(AX45/AX46)*AZ45)</f>
        <v>65.528909955431885</v>
      </c>
      <c r="BB45" s="304"/>
      <c r="BC45" s="10">
        <f>+BS!U10+BS!U11+BS!U12</f>
        <v>59997.129430082241</v>
      </c>
      <c r="BD45" s="306" t="s">
        <v>111</v>
      </c>
      <c r="BE45" s="308">
        <v>100</v>
      </c>
      <c r="BF45" s="310">
        <f>IF(BC46=0,"-",(BC45/BC46)*BE45)</f>
        <v>84.537601328222607</v>
      </c>
      <c r="BG45" s="304"/>
      <c r="BH45" s="10">
        <f>+BS!V10+BS!V11+BS!V12</f>
        <v>101972.39016734736</v>
      </c>
      <c r="BI45" s="306" t="s">
        <v>111</v>
      </c>
      <c r="BJ45" s="308">
        <v>100</v>
      </c>
      <c r="BK45" s="310">
        <f>IF(BH46=0,"-",(BH45/BH46)*BJ45)</f>
        <v>140.87963190376357</v>
      </c>
      <c r="BL45" s="304"/>
      <c r="BM45" s="10">
        <f>+BS!W10+BS!W11+BS!W12</f>
        <v>52470.144229248952</v>
      </c>
      <c r="BN45" s="306" t="s">
        <v>111</v>
      </c>
      <c r="BO45" s="308">
        <v>100</v>
      </c>
      <c r="BP45" s="310">
        <f>IF(BM46=0,"-",(BM45/BM46)*BO45)</f>
        <v>73.138194478293386</v>
      </c>
      <c r="BQ45" s="304"/>
      <c r="BR45" s="10">
        <f>+BS!X10+BS!X11+BS!X12</f>
        <v>50142.05646617154</v>
      </c>
      <c r="BS45" s="306" t="s">
        <v>111</v>
      </c>
      <c r="BT45" s="308">
        <v>100</v>
      </c>
      <c r="BU45" s="310">
        <f>IF(BR46=0,"-",(BR45/BR46)*BT45)</f>
        <v>90.65250910672205</v>
      </c>
      <c r="BV45" s="304"/>
      <c r="BW45" s="10">
        <f>+BS!Y10+BS!Y11+BS!Y12</f>
        <v>63583.317101168024</v>
      </c>
      <c r="BX45" s="306" t="s">
        <v>111</v>
      </c>
      <c r="BY45" s="308">
        <v>100</v>
      </c>
      <c r="BZ45" s="310">
        <f>IF(BW46=0,"-",(BW45/BW46)*BY45)</f>
        <v>114.28869623379497</v>
      </c>
      <c r="CA45" s="304"/>
      <c r="CB45" s="10">
        <f>+BS!Z10+BS!Z11+BS!Z12</f>
        <v>79038.997850758402</v>
      </c>
      <c r="CC45" s="306" t="s">
        <v>111</v>
      </c>
      <c r="CD45" s="308">
        <v>100</v>
      </c>
      <c r="CE45" s="310">
        <f>IF(CB46=0,"-",(CB45/CB46)*CD45)</f>
        <v>112.24082314157889</v>
      </c>
      <c r="CF45" s="304"/>
      <c r="CG45" s="10">
        <f>+BS!AA10+BS!AA11+BS!AA12</f>
        <v>70703.024230983734</v>
      </c>
      <c r="CH45" s="306" t="s">
        <v>111</v>
      </c>
      <c r="CI45" s="308">
        <v>100</v>
      </c>
      <c r="CJ45" s="310">
        <f>IF(CG46=0,"-",(CG45/CG46)*CI45)</f>
        <v>76.702122561553537</v>
      </c>
      <c r="CK45" s="304"/>
      <c r="CL45" s="10">
        <f>+BS!AB10+BS!AB11+BS!AB12</f>
        <v>75320.461833736845</v>
      </c>
      <c r="CM45" s="306" t="s">
        <v>111</v>
      </c>
      <c r="CN45" s="308">
        <v>100</v>
      </c>
      <c r="CO45" s="310">
        <f>IF(CL46=0,"-",(CL45/CL46)*CN45)</f>
        <v>123.06833626393856</v>
      </c>
      <c r="CP45" s="304"/>
      <c r="CQ45" s="10">
        <f>+BS!AC10+BS!AC11+BS!AC12</f>
        <v>58869.335411608241</v>
      </c>
      <c r="CR45" s="306" t="s">
        <v>111</v>
      </c>
      <c r="CS45" s="308">
        <v>100</v>
      </c>
      <c r="CT45" s="310">
        <f>IF(CQ46=0,"-",(CQ45/CQ46)*CS45)</f>
        <v>112.12950696095179</v>
      </c>
      <c r="CU45" s="304"/>
      <c r="CV45" s="10">
        <f>+BS!AD10+BS!AD11+BS!AD12</f>
        <v>103623.04450468978</v>
      </c>
      <c r="CW45" s="306" t="s">
        <v>111</v>
      </c>
      <c r="CX45" s="308">
        <v>100</v>
      </c>
      <c r="CY45" s="310">
        <f>IF(CV46=0,"-",(CV45/CV46)*CX45)</f>
        <v>114.19190127881033</v>
      </c>
    </row>
    <row r="46" spans="1:103" ht="18" customHeight="1" x14ac:dyDescent="0.2">
      <c r="A46" s="17"/>
      <c r="B46" s="321"/>
      <c r="C46" s="323"/>
      <c r="D46" s="305"/>
      <c r="E46" s="12">
        <f>+E44</f>
        <v>128869.82480180101</v>
      </c>
      <c r="F46" s="307"/>
      <c r="G46" s="309"/>
      <c r="H46" s="311"/>
      <c r="I46" s="305"/>
      <c r="J46" s="12">
        <f>+J44</f>
        <v>186945.97159792983</v>
      </c>
      <c r="K46" s="307"/>
      <c r="L46" s="309"/>
      <c r="M46" s="311"/>
      <c r="N46" s="305"/>
      <c r="O46" s="12">
        <f>+O44</f>
        <v>121070.40035029763</v>
      </c>
      <c r="P46" s="307"/>
      <c r="Q46" s="309"/>
      <c r="R46" s="311"/>
      <c r="S46" s="305"/>
      <c r="T46" s="12">
        <f>+T44</f>
        <v>142642.828275787</v>
      </c>
      <c r="U46" s="307"/>
      <c r="V46" s="309"/>
      <c r="W46" s="311"/>
      <c r="X46" s="305"/>
      <c r="Y46" s="12">
        <f>+Y44</f>
        <v>109798.30420407464</v>
      </c>
      <c r="Z46" s="307"/>
      <c r="AA46" s="309"/>
      <c r="AB46" s="311"/>
      <c r="AC46" s="305"/>
      <c r="AD46" s="12">
        <f>+AD44</f>
        <v>107201.02862523097</v>
      </c>
      <c r="AE46" s="307"/>
      <c r="AF46" s="309"/>
      <c r="AG46" s="311"/>
      <c r="AH46" s="305"/>
      <c r="AI46" s="12">
        <f>+AI44</f>
        <v>133237.25091411834</v>
      </c>
      <c r="AJ46" s="307"/>
      <c r="AK46" s="309"/>
      <c r="AL46" s="311"/>
      <c r="AM46" s="305"/>
      <c r="AN46" s="12">
        <f>+AN44</f>
        <v>72878.706393790912</v>
      </c>
      <c r="AO46" s="307"/>
      <c r="AP46" s="309"/>
      <c r="AQ46" s="311"/>
      <c r="AR46" s="305"/>
      <c r="AS46" s="12">
        <f>+AS44</f>
        <v>63796.283347063683</v>
      </c>
      <c r="AT46" s="307"/>
      <c r="AU46" s="309"/>
      <c r="AV46" s="311"/>
      <c r="AW46" s="305"/>
      <c r="AX46" s="12">
        <f>+AX44</f>
        <v>50362.669507993865</v>
      </c>
      <c r="AY46" s="307"/>
      <c r="AZ46" s="309"/>
      <c r="BA46" s="311"/>
      <c r="BB46" s="305"/>
      <c r="BC46" s="12">
        <f>+BC44</f>
        <v>70970.938951934033</v>
      </c>
      <c r="BD46" s="307"/>
      <c r="BE46" s="309"/>
      <c r="BF46" s="311"/>
      <c r="BG46" s="305"/>
      <c r="BH46" s="12">
        <f>+BH44</f>
        <v>72382.635296070206</v>
      </c>
      <c r="BI46" s="307"/>
      <c r="BJ46" s="309"/>
      <c r="BK46" s="311"/>
      <c r="BL46" s="305"/>
      <c r="BM46" s="12">
        <f>+BM44</f>
        <v>71741.098619574914</v>
      </c>
      <c r="BN46" s="307"/>
      <c r="BO46" s="309"/>
      <c r="BP46" s="311"/>
      <c r="BQ46" s="305"/>
      <c r="BR46" s="12">
        <f>+BR44</f>
        <v>55312.375752491353</v>
      </c>
      <c r="BS46" s="307"/>
      <c r="BT46" s="309"/>
      <c r="BU46" s="311"/>
      <c r="BV46" s="305"/>
      <c r="BW46" s="12">
        <f>+BW44</f>
        <v>55633.950859933386</v>
      </c>
      <c r="BX46" s="307"/>
      <c r="BY46" s="309"/>
      <c r="BZ46" s="311"/>
      <c r="CA46" s="305"/>
      <c r="CB46" s="12">
        <f>+CB44</f>
        <v>70419.118141230851</v>
      </c>
      <c r="CC46" s="307"/>
      <c r="CD46" s="309"/>
      <c r="CE46" s="311"/>
      <c r="CF46" s="305"/>
      <c r="CG46" s="12">
        <f>+CG44</f>
        <v>92178.70623364365</v>
      </c>
      <c r="CH46" s="307"/>
      <c r="CI46" s="309"/>
      <c r="CJ46" s="311"/>
      <c r="CK46" s="305"/>
      <c r="CL46" s="12">
        <f>+CL44</f>
        <v>61202.145182332504</v>
      </c>
      <c r="CM46" s="307"/>
      <c r="CN46" s="309"/>
      <c r="CO46" s="311"/>
      <c r="CP46" s="305"/>
      <c r="CQ46" s="12">
        <f>+CQ44</f>
        <v>52501.198843324106</v>
      </c>
      <c r="CR46" s="307"/>
      <c r="CS46" s="309"/>
      <c r="CT46" s="311"/>
      <c r="CU46" s="305"/>
      <c r="CV46" s="12">
        <f>+CV44</f>
        <v>90744.652943192807</v>
      </c>
      <c r="CW46" s="307"/>
      <c r="CX46" s="309"/>
      <c r="CY46" s="311"/>
    </row>
    <row r="47" spans="1:103"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c r="CU47" s="7"/>
      <c r="CV47" s="18"/>
      <c r="CW47" s="7"/>
      <c r="CX47" s="7"/>
      <c r="CY47" s="8"/>
    </row>
    <row r="48" spans="1:103" ht="18" customHeight="1" x14ac:dyDescent="0.2">
      <c r="A48" s="20"/>
      <c r="B48" s="320" t="s">
        <v>153</v>
      </c>
      <c r="C48" s="322" t="s">
        <v>149</v>
      </c>
      <c r="D48" s="304"/>
      <c r="E48" s="10">
        <f>+E9</f>
        <v>77242.117479271197</v>
      </c>
      <c r="F48" s="306" t="s">
        <v>150</v>
      </c>
      <c r="G48" s="308">
        <v>100</v>
      </c>
      <c r="H48" s="310">
        <f>IF(E49=0,"-",(E48/E49)*G48)</f>
        <v>14.067884453394278</v>
      </c>
      <c r="I48" s="304"/>
      <c r="J48" s="10">
        <f>+J9</f>
        <v>97381.565516376853</v>
      </c>
      <c r="K48" s="306" t="s">
        <v>111</v>
      </c>
      <c r="L48" s="308">
        <v>100</v>
      </c>
      <c r="M48" s="310">
        <f>IF(J49=0,"-",(J48/J49)*L48)</f>
        <v>13.828633434600523</v>
      </c>
      <c r="N48" s="304"/>
      <c r="O48" s="10">
        <f>+O9</f>
        <v>108067.23261786168</v>
      </c>
      <c r="P48" s="306" t="s">
        <v>111</v>
      </c>
      <c r="Q48" s="308">
        <v>100</v>
      </c>
      <c r="R48" s="310">
        <f>IF(O49=0,"-",(O48/O49)*Q48)</f>
        <v>21.807874784189131</v>
      </c>
      <c r="S48" s="304"/>
      <c r="T48" s="10">
        <f>+T9</f>
        <v>109424.06256578342</v>
      </c>
      <c r="U48" s="306" t="s">
        <v>111</v>
      </c>
      <c r="V48" s="308">
        <v>100</v>
      </c>
      <c r="W48" s="310">
        <f>IF(T49=0,"-",(T48/T49)*V48)</f>
        <v>20.810744490375672</v>
      </c>
      <c r="X48" s="304"/>
      <c r="Y48" s="10">
        <f>+Y9</f>
        <v>137051.77133361096</v>
      </c>
      <c r="Z48" s="306" t="s">
        <v>111</v>
      </c>
      <c r="AA48" s="308">
        <v>100</v>
      </c>
      <c r="AB48" s="310">
        <f>IF(Y49=0,"-",(Y48/Y49)*AA48)</f>
        <v>29.479851748589475</v>
      </c>
      <c r="AC48" s="304"/>
      <c r="AD48" s="10">
        <f>+AD9</f>
        <v>157160.02652107546</v>
      </c>
      <c r="AE48" s="306" t="s">
        <v>111</v>
      </c>
      <c r="AF48" s="308">
        <v>100</v>
      </c>
      <c r="AG48" s="310">
        <f>IF(AD49=0,"-",(AD48/AD49)*AF48)</f>
        <v>31.58788522985342</v>
      </c>
      <c r="AH48" s="304"/>
      <c r="AI48" s="10">
        <f>+AI9</f>
        <v>163719.42962408118</v>
      </c>
      <c r="AJ48" s="306" t="s">
        <v>150</v>
      </c>
      <c r="AK48" s="308">
        <v>100</v>
      </c>
      <c r="AL48" s="310">
        <f>IF(AI49=0,"-",(AI48/AI49)*AK48)</f>
        <v>28.296662575463994</v>
      </c>
      <c r="AM48" s="304"/>
      <c r="AN48" s="10">
        <f>+AN9</f>
        <v>119099.25632925727</v>
      </c>
      <c r="AO48" s="306" t="s">
        <v>111</v>
      </c>
      <c r="AP48" s="308">
        <v>100</v>
      </c>
      <c r="AQ48" s="310">
        <f>IF(AN49=0,"-",(AN48/AN49)*AP48)</f>
        <v>28.120234648232916</v>
      </c>
      <c r="AR48" s="304"/>
      <c r="AS48" s="10">
        <f>+AS9</f>
        <v>139529.1625517784</v>
      </c>
      <c r="AT48" s="306" t="s">
        <v>111</v>
      </c>
      <c r="AU48" s="308">
        <v>100</v>
      </c>
      <c r="AV48" s="310">
        <f>IF(AS49=0,"-",(AS48/AS49)*AU48)</f>
        <v>38.304989329916019</v>
      </c>
      <c r="AW48" s="304"/>
      <c r="AX48" s="10">
        <f>+AX9</f>
        <v>92707.483013790363</v>
      </c>
      <c r="AY48" s="306" t="s">
        <v>111</v>
      </c>
      <c r="AZ48" s="308">
        <v>100</v>
      </c>
      <c r="BA48" s="310">
        <f>IF(AX49=0,"-",(AX48/AX49)*AZ48)</f>
        <v>29.237098818789764</v>
      </c>
      <c r="BB48" s="304"/>
      <c r="BC48" s="10">
        <f>+BC9</f>
        <v>139258.00102999643</v>
      </c>
      <c r="BD48" s="306" t="s">
        <v>111</v>
      </c>
      <c r="BE48" s="308">
        <v>100</v>
      </c>
      <c r="BF48" s="310">
        <f>IF(BC49=0,"-",(BC48/BC49)*BE48)</f>
        <v>37.495961704480699</v>
      </c>
      <c r="BG48" s="304"/>
      <c r="BH48" s="10">
        <f>+BH9</f>
        <v>242661.69952737604</v>
      </c>
      <c r="BI48" s="306" t="s">
        <v>111</v>
      </c>
      <c r="BJ48" s="308">
        <v>100</v>
      </c>
      <c r="BK48" s="310">
        <f>IF(BH49=0,"-",(BH48/BH49)*BJ48)</f>
        <v>47.396262007766445</v>
      </c>
      <c r="BL48" s="304"/>
      <c r="BM48" s="10">
        <f>+BM9</f>
        <v>197230.06618806516</v>
      </c>
      <c r="BN48" s="306" t="s">
        <v>111</v>
      </c>
      <c r="BO48" s="308">
        <v>100</v>
      </c>
      <c r="BP48" s="310">
        <f>IF(BM49=0,"-",(BM48/BM49)*BO48)</f>
        <v>44.578146442021037</v>
      </c>
      <c r="BQ48" s="304"/>
      <c r="BR48" s="10">
        <f>+BR9</f>
        <v>136400.56904993937</v>
      </c>
      <c r="BS48" s="306" t="s">
        <v>111</v>
      </c>
      <c r="BT48" s="308">
        <v>100</v>
      </c>
      <c r="BU48" s="310">
        <f>IF(BR49=0,"-",(BR48/BR49)*BT48)</f>
        <v>35.375995442080715</v>
      </c>
      <c r="BV48" s="304"/>
      <c r="BW48" s="10">
        <f>+BW9</f>
        <v>208170.8302791233</v>
      </c>
      <c r="BX48" s="306" t="s">
        <v>111</v>
      </c>
      <c r="BY48" s="308">
        <v>100</v>
      </c>
      <c r="BZ48" s="310">
        <f>IF(BW49=0,"-",(BW48/BW49)*BY48)</f>
        <v>42.698361888944902</v>
      </c>
      <c r="CA48" s="304"/>
      <c r="CB48" s="10">
        <f>+CB9</f>
        <v>205331.6753702501</v>
      </c>
      <c r="CC48" s="306" t="s">
        <v>111</v>
      </c>
      <c r="CD48" s="308">
        <v>100</v>
      </c>
      <c r="CE48" s="310">
        <f>IF(CB49=0,"-",(CB48/CB49)*CD48)</f>
        <v>45.602932712013015</v>
      </c>
      <c r="CF48" s="304"/>
      <c r="CG48" s="10">
        <f>+CG9</f>
        <v>185282.57140160454</v>
      </c>
      <c r="CH48" s="306" t="s">
        <v>111</v>
      </c>
      <c r="CI48" s="308">
        <v>100</v>
      </c>
      <c r="CJ48" s="310">
        <f>IF(CG49=0,"-",(CG48/CG49)*CI48)</f>
        <v>39.991287179563287</v>
      </c>
      <c r="CK48" s="304"/>
      <c r="CL48" s="10">
        <f>+CL9</f>
        <v>169961.11935973505</v>
      </c>
      <c r="CM48" s="306" t="s">
        <v>111</v>
      </c>
      <c r="CN48" s="308">
        <v>100</v>
      </c>
      <c r="CO48" s="310">
        <f>IF(CL49=0,"-",(CL48/CL49)*CN48)</f>
        <v>33.61442188870943</v>
      </c>
      <c r="CP48" s="304"/>
      <c r="CQ48" s="10">
        <f>+CQ9</f>
        <v>176280.54012982099</v>
      </c>
      <c r="CR48" s="306" t="s">
        <v>111</v>
      </c>
      <c r="CS48" s="308">
        <v>100</v>
      </c>
      <c r="CT48" s="310">
        <f>IF(CQ49=0,"-",(CQ48/CQ49)*CS48)</f>
        <v>41.838787647277755</v>
      </c>
      <c r="CU48" s="304"/>
      <c r="CV48" s="10">
        <f>+CV9</f>
        <v>235374.52721946963</v>
      </c>
      <c r="CW48" s="306" t="s">
        <v>111</v>
      </c>
      <c r="CX48" s="308">
        <v>100</v>
      </c>
      <c r="CY48" s="310">
        <f>IF(CV49=0,"-",(CV48/CV49)*CX48)</f>
        <v>38.85721237545485</v>
      </c>
    </row>
    <row r="49" spans="1:103" ht="18" customHeight="1" x14ac:dyDescent="0.2">
      <c r="A49" s="20"/>
      <c r="B49" s="321"/>
      <c r="C49" s="323"/>
      <c r="D49" s="305"/>
      <c r="E49" s="12">
        <f>+E7</f>
        <v>549067.04512087698</v>
      </c>
      <c r="F49" s="307"/>
      <c r="G49" s="309"/>
      <c r="H49" s="311"/>
      <c r="I49" s="305"/>
      <c r="J49" s="12">
        <f>+J7</f>
        <v>704202.37818090653</v>
      </c>
      <c r="K49" s="307"/>
      <c r="L49" s="309"/>
      <c r="M49" s="311"/>
      <c r="N49" s="305"/>
      <c r="O49" s="12">
        <f>+O7</f>
        <v>495542.24649258901</v>
      </c>
      <c r="P49" s="307"/>
      <c r="Q49" s="309"/>
      <c r="R49" s="311"/>
      <c r="S49" s="305"/>
      <c r="T49" s="12">
        <f>+T7</f>
        <v>525805.61265546584</v>
      </c>
      <c r="U49" s="307"/>
      <c r="V49" s="309"/>
      <c r="W49" s="311"/>
      <c r="X49" s="305"/>
      <c r="Y49" s="12">
        <f>+Y7</f>
        <v>464899.79835183016</v>
      </c>
      <c r="Z49" s="307"/>
      <c r="AA49" s="309"/>
      <c r="AB49" s="311"/>
      <c r="AC49" s="305"/>
      <c r="AD49" s="12">
        <f>+AD7</f>
        <v>497532.59953137022</v>
      </c>
      <c r="AE49" s="307"/>
      <c r="AF49" s="309"/>
      <c r="AG49" s="311"/>
      <c r="AH49" s="305"/>
      <c r="AI49" s="12">
        <f>+AI7</f>
        <v>578582.11789980531</v>
      </c>
      <c r="AJ49" s="307"/>
      <c r="AK49" s="309"/>
      <c r="AL49" s="311"/>
      <c r="AM49" s="305"/>
      <c r="AN49" s="12">
        <f>+AN7</f>
        <v>423535.78417504957</v>
      </c>
      <c r="AO49" s="307"/>
      <c r="AP49" s="309"/>
      <c r="AQ49" s="311"/>
      <c r="AR49" s="305"/>
      <c r="AS49" s="12">
        <f>+AS7</f>
        <v>364258.45560230134</v>
      </c>
      <c r="AT49" s="307"/>
      <c r="AU49" s="309"/>
      <c r="AV49" s="311"/>
      <c r="AW49" s="305"/>
      <c r="AX49" s="12">
        <f>+AX7</f>
        <v>317088.5168476777</v>
      </c>
      <c r="AY49" s="307"/>
      <c r="AZ49" s="309"/>
      <c r="BA49" s="311"/>
      <c r="BB49" s="305"/>
      <c r="BC49" s="12">
        <f>+BC7</f>
        <v>371394.66411753715</v>
      </c>
      <c r="BD49" s="307"/>
      <c r="BE49" s="309"/>
      <c r="BF49" s="311"/>
      <c r="BG49" s="305"/>
      <c r="BH49" s="12">
        <f>+BH7</f>
        <v>511984.88920415915</v>
      </c>
      <c r="BI49" s="307"/>
      <c r="BJ49" s="309"/>
      <c r="BK49" s="311"/>
      <c r="BL49" s="305"/>
      <c r="BM49" s="12">
        <f>+BM7</f>
        <v>442436.66892831749</v>
      </c>
      <c r="BN49" s="307"/>
      <c r="BO49" s="309"/>
      <c r="BP49" s="311"/>
      <c r="BQ49" s="305"/>
      <c r="BR49" s="12">
        <f>+BR7</f>
        <v>385573.79755789757</v>
      </c>
      <c r="BS49" s="307"/>
      <c r="BT49" s="309"/>
      <c r="BU49" s="311"/>
      <c r="BV49" s="305"/>
      <c r="BW49" s="12">
        <f>+BW7</f>
        <v>487538.21240393096</v>
      </c>
      <c r="BX49" s="307"/>
      <c r="BY49" s="309"/>
      <c r="BZ49" s="311"/>
      <c r="CA49" s="305"/>
      <c r="CB49" s="12">
        <f>+CB7</f>
        <v>450259.80383090657</v>
      </c>
      <c r="CC49" s="307"/>
      <c r="CD49" s="309"/>
      <c r="CE49" s="311"/>
      <c r="CF49" s="305"/>
      <c r="CG49" s="12">
        <f>+CG7</f>
        <v>463307.34634690464</v>
      </c>
      <c r="CH49" s="307"/>
      <c r="CI49" s="309"/>
      <c r="CJ49" s="311"/>
      <c r="CK49" s="305"/>
      <c r="CL49" s="12">
        <f>+CL7</f>
        <v>505619.64124339854</v>
      </c>
      <c r="CM49" s="307"/>
      <c r="CN49" s="309"/>
      <c r="CO49" s="311"/>
      <c r="CP49" s="305"/>
      <c r="CQ49" s="12">
        <f>+CQ7</f>
        <v>421332.81111287343</v>
      </c>
      <c r="CR49" s="307"/>
      <c r="CS49" s="309"/>
      <c r="CT49" s="311"/>
      <c r="CU49" s="305"/>
      <c r="CV49" s="12">
        <f>+CV7</f>
        <v>605742.18486179924</v>
      </c>
      <c r="CW49" s="307"/>
      <c r="CX49" s="309"/>
      <c r="CY49" s="311"/>
    </row>
    <row r="50" spans="1:103" ht="18" customHeight="1" x14ac:dyDescent="0.2">
      <c r="A50" s="20"/>
      <c r="B50" s="320" t="s">
        <v>154</v>
      </c>
      <c r="C50" s="322" t="s">
        <v>152</v>
      </c>
      <c r="D50" s="304"/>
      <c r="E50" s="10">
        <f>+BS!K30</f>
        <v>471824.94162390404</v>
      </c>
      <c r="F50" s="306" t="s">
        <v>111</v>
      </c>
      <c r="G50" s="308">
        <v>100</v>
      </c>
      <c r="H50" s="310">
        <f>IF(E51=0,"-",(E50/E51)*G50)</f>
        <v>610.83895292037221</v>
      </c>
      <c r="I50" s="304"/>
      <c r="J50" s="10">
        <f>+BS!L30</f>
        <v>606820.79475654091</v>
      </c>
      <c r="K50" s="306" t="s">
        <v>111</v>
      </c>
      <c r="L50" s="308">
        <v>100</v>
      </c>
      <c r="M50" s="310">
        <f>IF(J51=0,"-",(J50/J51)*L50)</f>
        <v>623.13723499802495</v>
      </c>
      <c r="N50" s="304"/>
      <c r="O50" s="10">
        <f>+BS!M30</f>
        <v>387475.0138747273</v>
      </c>
      <c r="P50" s="306" t="s">
        <v>111</v>
      </c>
      <c r="Q50" s="308">
        <v>100</v>
      </c>
      <c r="R50" s="310">
        <f>IF(O51=0,"-",(O50/O51)*Q50)</f>
        <v>358.54995495709983</v>
      </c>
      <c r="S50" s="304"/>
      <c r="T50" s="10">
        <f>+BS!N30</f>
        <v>416381.55008968187</v>
      </c>
      <c r="U50" s="306" t="s">
        <v>111</v>
      </c>
      <c r="V50" s="308">
        <v>100</v>
      </c>
      <c r="W50" s="310">
        <f>IF(T51=0,"-",(T50/T51)*V50)</f>
        <v>380.52101185638412</v>
      </c>
      <c r="X50" s="304"/>
      <c r="Y50" s="10">
        <f>+BS!O30</f>
        <v>327848.02701821778</v>
      </c>
      <c r="Z50" s="306" t="s">
        <v>111</v>
      </c>
      <c r="AA50" s="308">
        <v>100</v>
      </c>
      <c r="AB50" s="310">
        <f>IF(Y51=0,"-",(Y50/Y51)*AA50)</f>
        <v>239.21473165069222</v>
      </c>
      <c r="AC50" s="304"/>
      <c r="AD50" s="10">
        <f>+BS!P30</f>
        <v>340372.57301029452</v>
      </c>
      <c r="AE50" s="306" t="s">
        <v>111</v>
      </c>
      <c r="AF50" s="308">
        <v>100</v>
      </c>
      <c r="AG50" s="310">
        <f>IF(AD51=0,"-",(AD50/AD51)*AF50)</f>
        <v>216.57706513853884</v>
      </c>
      <c r="AH50" s="304"/>
      <c r="AI50" s="10">
        <f>+BS!Q30</f>
        <v>414862.68827572581</v>
      </c>
      <c r="AJ50" s="306" t="s">
        <v>111</v>
      </c>
      <c r="AK50" s="308">
        <v>100</v>
      </c>
      <c r="AL50" s="310">
        <f>IF(AI51=0,"-",(AI50/AI51)*AK50)</f>
        <v>253.39856682148155</v>
      </c>
      <c r="AM50" s="304"/>
      <c r="AN50" s="10">
        <f>+BS!R30</f>
        <v>304436.52784579218</v>
      </c>
      <c r="AO50" s="306" t="s">
        <v>155</v>
      </c>
      <c r="AP50" s="308">
        <v>100</v>
      </c>
      <c r="AQ50" s="310">
        <f>IF(AN51=0,"-",(AN50/AN51)*AP50)</f>
        <v>255.61580922399597</v>
      </c>
      <c r="AR50" s="304"/>
      <c r="AS50" s="10">
        <f>+BS!S30</f>
        <v>224729.29305052274</v>
      </c>
      <c r="AT50" s="306" t="s">
        <v>111</v>
      </c>
      <c r="AU50" s="308">
        <v>100</v>
      </c>
      <c r="AV50" s="310">
        <f>IF(AS51=0,"-",(AS50/AS51)*AU50)</f>
        <v>161.06259719513986</v>
      </c>
      <c r="AW50" s="304"/>
      <c r="AX50" s="10">
        <f>+BS!T30</f>
        <v>224381.03383388746</v>
      </c>
      <c r="AY50" s="306" t="s">
        <v>111</v>
      </c>
      <c r="AZ50" s="308">
        <v>100</v>
      </c>
      <c r="BA50" s="310">
        <f>IF(AX51=0,"-",(AX50/AX51)*AZ50)</f>
        <v>242.03120022200414</v>
      </c>
      <c r="BB50" s="304"/>
      <c r="BC50" s="10">
        <f>+BS!U30</f>
        <v>232136.66308754147</v>
      </c>
      <c r="BD50" s="306" t="s">
        <v>111</v>
      </c>
      <c r="BE50" s="308">
        <v>100</v>
      </c>
      <c r="BF50" s="310">
        <f>IF(BC51=0,"-",(BC50/BC51)*BE50)</f>
        <v>166.69538652758544</v>
      </c>
      <c r="BG50" s="304"/>
      <c r="BH50" s="10">
        <f>+BS!V30</f>
        <v>269323.18967678247</v>
      </c>
      <c r="BI50" s="306" t="s">
        <v>111</v>
      </c>
      <c r="BJ50" s="308">
        <v>100</v>
      </c>
      <c r="BK50" s="310">
        <f>IF(BH51=0,"-",(BH50/BH51)*BJ50)</f>
        <v>110.98710270361335</v>
      </c>
      <c r="BL50" s="304"/>
      <c r="BM50" s="10">
        <f>+BS!W30</f>
        <v>245206.60274025123</v>
      </c>
      <c r="BN50" s="306" t="s">
        <v>111</v>
      </c>
      <c r="BO50" s="308">
        <v>100</v>
      </c>
      <c r="BP50" s="310">
        <f>IF(BM51=0,"-",(BM50/BM51)*BO50)</f>
        <v>124.32516374376658</v>
      </c>
      <c r="BQ50" s="304"/>
      <c r="BR50" s="10">
        <f>+BS!X30</f>
        <v>249173.22850795774</v>
      </c>
      <c r="BS50" s="306" t="s">
        <v>111</v>
      </c>
      <c r="BT50" s="308">
        <v>100</v>
      </c>
      <c r="BU50" s="310">
        <f>IF(BR51=0,"-",(BR50/BR51)*BT50)</f>
        <v>182.67755790427071</v>
      </c>
      <c r="BV50" s="304"/>
      <c r="BW50" s="10">
        <f>+BS!Y30</f>
        <v>279367.38212480739</v>
      </c>
      <c r="BX50" s="306" t="s">
        <v>111</v>
      </c>
      <c r="BY50" s="308">
        <v>100</v>
      </c>
      <c r="BZ50" s="310">
        <f>IF(BW51=0,"-",(BW50/BW51)*BY50)</f>
        <v>134.20102218462648</v>
      </c>
      <c r="CA50" s="304"/>
      <c r="CB50" s="10">
        <f>+BS!Z30</f>
        <v>244928.12846065586</v>
      </c>
      <c r="CC50" s="306" t="s">
        <v>111</v>
      </c>
      <c r="CD50" s="308">
        <v>100</v>
      </c>
      <c r="CE50" s="310">
        <f>IF(CB51=0,"-",(CB50/CB51)*CD50)</f>
        <v>119.2841426044015</v>
      </c>
      <c r="CF50" s="304"/>
      <c r="CG50" s="10">
        <f>+BS!AA30</f>
        <v>278024.77494530013</v>
      </c>
      <c r="CH50" s="306" t="s">
        <v>155</v>
      </c>
      <c r="CI50" s="308">
        <v>100</v>
      </c>
      <c r="CJ50" s="310">
        <f>IF(CG51=0,"-",(CG50/CG51)*CI50)</f>
        <v>150.05446699175747</v>
      </c>
      <c r="CK50" s="304"/>
      <c r="CL50" s="10">
        <f>+BS!AB30</f>
        <v>335658.52188366349</v>
      </c>
      <c r="CM50" s="306" t="s">
        <v>111</v>
      </c>
      <c r="CN50" s="308">
        <v>100</v>
      </c>
      <c r="CO50" s="310">
        <f>IF(CL51=0,"-",(CL50/CL51)*CN50)</f>
        <v>197.49135752231535</v>
      </c>
      <c r="CP50" s="304"/>
      <c r="CQ50" s="10">
        <f>+BS!AC30</f>
        <v>245052.2709769519</v>
      </c>
      <c r="CR50" s="306" t="s">
        <v>111</v>
      </c>
      <c r="CS50" s="308">
        <v>100</v>
      </c>
      <c r="CT50" s="310">
        <f>IF(CQ51=0,"-",(CQ50/CQ51)*CS50)</f>
        <v>139.0126617472832</v>
      </c>
      <c r="CU50" s="304"/>
      <c r="CV50" s="10">
        <f>+BS!AD30</f>
        <v>370367.65764232964</v>
      </c>
      <c r="CW50" s="306" t="s">
        <v>111</v>
      </c>
      <c r="CX50" s="308">
        <v>100</v>
      </c>
      <c r="CY50" s="310">
        <f>IF(CV51=0,"-",(CV50/CV51)*CX50)</f>
        <v>157.35248075378553</v>
      </c>
    </row>
    <row r="51" spans="1:103" ht="18" customHeight="1" x14ac:dyDescent="0.2">
      <c r="A51" s="23"/>
      <c r="B51" s="321"/>
      <c r="C51" s="323"/>
      <c r="D51" s="305"/>
      <c r="E51" s="12">
        <f>+E9</f>
        <v>77242.117479271197</v>
      </c>
      <c r="F51" s="307"/>
      <c r="G51" s="309"/>
      <c r="H51" s="311"/>
      <c r="I51" s="305"/>
      <c r="J51" s="12">
        <f>+J9</f>
        <v>97381.565516376853</v>
      </c>
      <c r="K51" s="307"/>
      <c r="L51" s="309"/>
      <c r="M51" s="311"/>
      <c r="N51" s="305"/>
      <c r="O51" s="12">
        <f>+O9</f>
        <v>108067.23261786168</v>
      </c>
      <c r="P51" s="307"/>
      <c r="Q51" s="309"/>
      <c r="R51" s="311"/>
      <c r="S51" s="305"/>
      <c r="T51" s="12">
        <f>+T9</f>
        <v>109424.06256578342</v>
      </c>
      <c r="U51" s="307"/>
      <c r="V51" s="309"/>
      <c r="W51" s="311"/>
      <c r="X51" s="305"/>
      <c r="Y51" s="12">
        <f>+Y9</f>
        <v>137051.77133361096</v>
      </c>
      <c r="Z51" s="307"/>
      <c r="AA51" s="309"/>
      <c r="AB51" s="311"/>
      <c r="AC51" s="305"/>
      <c r="AD51" s="12">
        <f>+AD9</f>
        <v>157160.02652107546</v>
      </c>
      <c r="AE51" s="307"/>
      <c r="AF51" s="309"/>
      <c r="AG51" s="311"/>
      <c r="AH51" s="305"/>
      <c r="AI51" s="12">
        <f>+AI9</f>
        <v>163719.42962408118</v>
      </c>
      <c r="AJ51" s="307"/>
      <c r="AK51" s="309"/>
      <c r="AL51" s="311"/>
      <c r="AM51" s="305"/>
      <c r="AN51" s="12">
        <f>+AN9</f>
        <v>119099.25632925727</v>
      </c>
      <c r="AO51" s="307"/>
      <c r="AP51" s="309"/>
      <c r="AQ51" s="311"/>
      <c r="AR51" s="305"/>
      <c r="AS51" s="12">
        <f>+AS9</f>
        <v>139529.1625517784</v>
      </c>
      <c r="AT51" s="307"/>
      <c r="AU51" s="309"/>
      <c r="AV51" s="311"/>
      <c r="AW51" s="305"/>
      <c r="AX51" s="12">
        <f>+AX9</f>
        <v>92707.483013790363</v>
      </c>
      <c r="AY51" s="307"/>
      <c r="AZ51" s="309"/>
      <c r="BA51" s="311"/>
      <c r="BB51" s="305"/>
      <c r="BC51" s="12">
        <f>+BC9</f>
        <v>139258.00102999643</v>
      </c>
      <c r="BD51" s="307"/>
      <c r="BE51" s="309"/>
      <c r="BF51" s="311"/>
      <c r="BG51" s="305"/>
      <c r="BH51" s="12">
        <f>+BH9</f>
        <v>242661.69952737604</v>
      </c>
      <c r="BI51" s="307"/>
      <c r="BJ51" s="309"/>
      <c r="BK51" s="311"/>
      <c r="BL51" s="305"/>
      <c r="BM51" s="12">
        <f>+BM9</f>
        <v>197230.06618806516</v>
      </c>
      <c r="BN51" s="307"/>
      <c r="BO51" s="309"/>
      <c r="BP51" s="311"/>
      <c r="BQ51" s="305"/>
      <c r="BR51" s="12">
        <f>+BR9</f>
        <v>136400.56904993937</v>
      </c>
      <c r="BS51" s="307"/>
      <c r="BT51" s="309"/>
      <c r="BU51" s="311"/>
      <c r="BV51" s="305"/>
      <c r="BW51" s="12">
        <f>+BW9</f>
        <v>208170.8302791233</v>
      </c>
      <c r="BX51" s="307"/>
      <c r="BY51" s="309"/>
      <c r="BZ51" s="311"/>
      <c r="CA51" s="305"/>
      <c r="CB51" s="12">
        <f>+CB9</f>
        <v>205331.6753702501</v>
      </c>
      <c r="CC51" s="307"/>
      <c r="CD51" s="309"/>
      <c r="CE51" s="311"/>
      <c r="CF51" s="305"/>
      <c r="CG51" s="12">
        <f>+CG9</f>
        <v>185282.57140160454</v>
      </c>
      <c r="CH51" s="307"/>
      <c r="CI51" s="309"/>
      <c r="CJ51" s="311"/>
      <c r="CK51" s="305"/>
      <c r="CL51" s="12">
        <f>+CL9</f>
        <v>169961.11935973505</v>
      </c>
      <c r="CM51" s="307"/>
      <c r="CN51" s="309"/>
      <c r="CO51" s="311"/>
      <c r="CP51" s="305"/>
      <c r="CQ51" s="12">
        <f>+CQ9</f>
        <v>176280.54012982099</v>
      </c>
      <c r="CR51" s="307"/>
      <c r="CS51" s="309"/>
      <c r="CT51" s="311"/>
      <c r="CU51" s="305"/>
      <c r="CV51" s="12">
        <f>+CV9</f>
        <v>235374.52721946963</v>
      </c>
      <c r="CW51" s="307"/>
      <c r="CX51" s="309"/>
      <c r="CY51" s="311"/>
    </row>
    <row r="52" spans="1:103"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c r="CU52" s="13"/>
      <c r="CV52" s="14"/>
      <c r="CW52" s="13"/>
      <c r="CX52" s="13"/>
      <c r="CY52" s="15"/>
    </row>
    <row r="53" spans="1:103" ht="18" customHeight="1" x14ac:dyDescent="0.2">
      <c r="A53" s="17"/>
      <c r="B53" s="320" t="s">
        <v>157</v>
      </c>
      <c r="C53" s="322" t="s">
        <v>132</v>
      </c>
      <c r="D53" s="304"/>
      <c r="E53" s="10">
        <f>+BS!K15</f>
        <v>420682.28023322503</v>
      </c>
      <c r="F53" s="306" t="s">
        <v>111</v>
      </c>
      <c r="G53" s="308">
        <v>100</v>
      </c>
      <c r="H53" s="310">
        <f>IF(E54=0,"-",(E53/E54)*G53)</f>
        <v>100.11543291870002</v>
      </c>
      <c r="I53" s="304"/>
      <c r="J53" s="10">
        <f>+BS!L15</f>
        <v>575201.60813739011</v>
      </c>
      <c r="K53" s="306" t="s">
        <v>111</v>
      </c>
      <c r="L53" s="308">
        <v>100</v>
      </c>
      <c r="M53" s="310">
        <f>IF(J54=0,"-",(J53/J54)*L53)</f>
        <v>111.20241735647491</v>
      </c>
      <c r="N53" s="304"/>
      <c r="O53" s="10">
        <f>+BS!M15</f>
        <v>392190.9755317613</v>
      </c>
      <c r="P53" s="306" t="s">
        <v>111</v>
      </c>
      <c r="Q53" s="308">
        <v>100</v>
      </c>
      <c r="R53" s="310">
        <f>IF(O54=0,"-",(O53/O54)*Q53)</f>
        <v>104.7317654376446</v>
      </c>
      <c r="S53" s="304"/>
      <c r="T53" s="10">
        <f>+BS!N15</f>
        <v>419136.26163055206</v>
      </c>
      <c r="U53" s="306" t="s">
        <v>111</v>
      </c>
      <c r="V53" s="308">
        <v>100</v>
      </c>
      <c r="W53" s="310">
        <f>IF(T54=0,"-",(T53/T54)*V53)</f>
        <v>109.38856243805458</v>
      </c>
      <c r="X53" s="304"/>
      <c r="Y53" s="10">
        <f>+BS!O15</f>
        <v>359908.0254165256</v>
      </c>
      <c r="Z53" s="306" t="s">
        <v>111</v>
      </c>
      <c r="AA53" s="308">
        <v>100</v>
      </c>
      <c r="AB53" s="310">
        <f>IF(Y54=0,"-",(Y53/Y54)*AA53)</f>
        <v>101.35356548704625</v>
      </c>
      <c r="AC53" s="304"/>
      <c r="AD53" s="10">
        <f>+BS!P15</f>
        <v>410452.79286333028</v>
      </c>
      <c r="AE53" s="306" t="s">
        <v>111</v>
      </c>
      <c r="AF53" s="308">
        <v>100</v>
      </c>
      <c r="AG53" s="310">
        <f>IF(AD54=0,"-",(AD53/AD54)*AF53)</f>
        <v>105.15490507480101</v>
      </c>
      <c r="AH53" s="304"/>
      <c r="AI53" s="10">
        <f>+BS!Q15</f>
        <v>467293.27756528347</v>
      </c>
      <c r="AJ53" s="306" t="s">
        <v>111</v>
      </c>
      <c r="AK53" s="308">
        <v>100</v>
      </c>
      <c r="AL53" s="310">
        <f>IF(AI54=0,"-",(AI53/AI54)*AK53)</f>
        <v>104.92840766935379</v>
      </c>
      <c r="AM53" s="304"/>
      <c r="AN53" s="10">
        <f>+BS!R15</f>
        <v>328544.08464099409</v>
      </c>
      <c r="AO53" s="306" t="s">
        <v>111</v>
      </c>
      <c r="AP53" s="308">
        <v>100</v>
      </c>
      <c r="AQ53" s="310">
        <f>IF(AN54=0,"-",(AN53/AN54)*AP53)</f>
        <v>93.693840922823583</v>
      </c>
      <c r="AR53" s="304"/>
      <c r="AS53" s="10">
        <f>+BS!S15</f>
        <v>280182.47712232248</v>
      </c>
      <c r="AT53" s="306" t="s">
        <v>111</v>
      </c>
      <c r="AU53" s="308">
        <v>100</v>
      </c>
      <c r="AV53" s="310">
        <f>IF(AS54=0,"-",(AS53/AS54)*AU53)</f>
        <v>93.250499728236235</v>
      </c>
      <c r="AW53" s="304"/>
      <c r="AX53" s="10">
        <f>+BS!T15</f>
        <v>268032.63653467869</v>
      </c>
      <c r="AY53" s="306" t="s">
        <v>111</v>
      </c>
      <c r="AZ53" s="308">
        <v>100</v>
      </c>
      <c r="BA53" s="310">
        <f>IF(AX54=0,"-",(AX53/AX54)*AZ53)</f>
        <v>100.48993721756965</v>
      </c>
      <c r="BB53" s="304"/>
      <c r="BC53" s="10">
        <f>+BS!U15</f>
        <v>292140.24635349395</v>
      </c>
      <c r="BD53" s="306" t="s">
        <v>111</v>
      </c>
      <c r="BE53" s="308">
        <v>100</v>
      </c>
      <c r="BF53" s="310">
        <f>IF(BC54=0,"-",(BC53/BC54)*BE53)</f>
        <v>97.242734804801572</v>
      </c>
      <c r="BG53" s="304"/>
      <c r="BH53" s="10">
        <f>+BS!V15</f>
        <v>392891.66266681004</v>
      </c>
      <c r="BI53" s="306" t="s">
        <v>111</v>
      </c>
      <c r="BJ53" s="308">
        <v>100</v>
      </c>
      <c r="BK53" s="310">
        <f>IF(BH54=0,"-",(BH53/BH54)*BJ53)</f>
        <v>89.374351285504474</v>
      </c>
      <c r="BL53" s="304"/>
      <c r="BM53" s="10">
        <f>+BS!W15</f>
        <v>347388.25069029519</v>
      </c>
      <c r="BN53" s="306" t="s">
        <v>111</v>
      </c>
      <c r="BO53" s="308">
        <v>100</v>
      </c>
      <c r="BP53" s="310">
        <f>IF(BM54=0,"-",(BM53/BM54)*BO53)</f>
        <v>93.71254433954131</v>
      </c>
      <c r="BQ53" s="304"/>
      <c r="BR53" s="10">
        <f>+BS!X15</f>
        <v>313717.82464836363</v>
      </c>
      <c r="BS53" s="306" t="s">
        <v>111</v>
      </c>
      <c r="BT53" s="308">
        <v>100</v>
      </c>
      <c r="BU53" s="310">
        <f>IF(BR54=0,"-",(BR53/BR54)*BT53)</f>
        <v>94.990756998923615</v>
      </c>
      <c r="BV53" s="304"/>
      <c r="BW53" s="10">
        <f>+BS!Y15</f>
        <v>394706.04101210117</v>
      </c>
      <c r="BX53" s="306" t="s">
        <v>111</v>
      </c>
      <c r="BY53" s="308">
        <v>100</v>
      </c>
      <c r="BZ53" s="310">
        <f>IF(BW54=0,"-",(BW53/BW54)*BY53)</f>
        <v>91.387392104232163</v>
      </c>
      <c r="CA53" s="304"/>
      <c r="CB53" s="10">
        <f>+BS!Z15</f>
        <v>339491.11037597555</v>
      </c>
      <c r="CC53" s="306" t="s">
        <v>111</v>
      </c>
      <c r="CD53" s="308">
        <v>100</v>
      </c>
      <c r="CE53" s="310">
        <f>IF(CB54=0,"-",(CB53/CB54)*CD53)</f>
        <v>89.3772371328687</v>
      </c>
      <c r="CF53" s="304"/>
      <c r="CG53" s="10">
        <f>+BS!AA15</f>
        <v>338857.47349092626</v>
      </c>
      <c r="CH53" s="306" t="s">
        <v>155</v>
      </c>
      <c r="CI53" s="308">
        <v>100</v>
      </c>
      <c r="CJ53" s="310">
        <f>IF(CG54=0,"-",(CG53/CG54)*CI53)</f>
        <v>91.304587376364651</v>
      </c>
      <c r="CK53" s="304"/>
      <c r="CL53" s="10">
        <f>+BS!AB15</f>
        <v>409043.5394520617</v>
      </c>
      <c r="CM53" s="306" t="s">
        <v>111</v>
      </c>
      <c r="CN53" s="308">
        <v>100</v>
      </c>
      <c r="CO53" s="310">
        <f>IF(CL54=0,"-",(CL53/CL54)*CN53)</f>
        <v>92.040377140295206</v>
      </c>
      <c r="CP53" s="304"/>
      <c r="CQ53" s="10">
        <f>+BS!AC15</f>
        <v>321051.13917934574</v>
      </c>
      <c r="CR53" s="306" t="s">
        <v>111</v>
      </c>
      <c r="CS53" s="308">
        <v>100</v>
      </c>
      <c r="CT53" s="310">
        <f>IF(CQ54=0,"-",(CQ53/CQ54)*CS53)</f>
        <v>87.045450689304133</v>
      </c>
      <c r="CU53" s="304"/>
      <c r="CV53" s="10">
        <f>+BS!AD15</f>
        <v>460817.62888037151</v>
      </c>
      <c r="CW53" s="306" t="s">
        <v>111</v>
      </c>
      <c r="CX53" s="308">
        <v>100</v>
      </c>
      <c r="CY53" s="310">
        <f>IF(CV54=0,"-",(CV53/CV54)*CX53)</f>
        <v>89.479580058963364</v>
      </c>
    </row>
    <row r="54" spans="1:103" ht="18" customHeight="1" x14ac:dyDescent="0.2">
      <c r="A54" s="17"/>
      <c r="B54" s="321"/>
      <c r="C54" s="323"/>
      <c r="D54" s="305"/>
      <c r="E54" s="12">
        <f>+BS!K43+BS!K37</f>
        <v>420197.23430137424</v>
      </c>
      <c r="F54" s="307"/>
      <c r="G54" s="309"/>
      <c r="H54" s="311"/>
      <c r="I54" s="305"/>
      <c r="J54" s="12">
        <f>+BS!L43+BS!L37</f>
        <v>517256.38867498789</v>
      </c>
      <c r="K54" s="307"/>
      <c r="L54" s="309"/>
      <c r="M54" s="311"/>
      <c r="N54" s="305"/>
      <c r="O54" s="12">
        <f>+BS!M43+BS!M37</f>
        <v>374471.84614229074</v>
      </c>
      <c r="P54" s="307"/>
      <c r="Q54" s="309"/>
      <c r="R54" s="311"/>
      <c r="S54" s="305"/>
      <c r="T54" s="12">
        <f>+BS!N43+BS!N37</f>
        <v>383162.78437967761</v>
      </c>
      <c r="U54" s="307"/>
      <c r="V54" s="309"/>
      <c r="W54" s="311"/>
      <c r="X54" s="305"/>
      <c r="Y54" s="12">
        <f>+BS!O43+BS!O37</f>
        <v>355101.49414775602</v>
      </c>
      <c r="Z54" s="307"/>
      <c r="AA54" s="309"/>
      <c r="AB54" s="311"/>
      <c r="AC54" s="305"/>
      <c r="AD54" s="12">
        <f>+BS!P43+BS!P37</f>
        <v>390331.57090613921</v>
      </c>
      <c r="AE54" s="307"/>
      <c r="AF54" s="309"/>
      <c r="AG54" s="311"/>
      <c r="AH54" s="305"/>
      <c r="AI54" s="12">
        <f>+BS!Q43+BS!Q37</f>
        <v>445344.8669856874</v>
      </c>
      <c r="AJ54" s="307"/>
      <c r="AK54" s="309"/>
      <c r="AL54" s="311"/>
      <c r="AM54" s="305"/>
      <c r="AN54" s="12">
        <f>+BS!R43+BS!R37</f>
        <v>350657.0777812585</v>
      </c>
      <c r="AO54" s="307"/>
      <c r="AP54" s="309"/>
      <c r="AQ54" s="311"/>
      <c r="AR54" s="305"/>
      <c r="AS54" s="12">
        <f>+BS!S43+BS!S37</f>
        <v>300462.172255237</v>
      </c>
      <c r="AT54" s="307"/>
      <c r="AU54" s="309"/>
      <c r="AV54" s="311"/>
      <c r="AW54" s="305"/>
      <c r="AX54" s="12">
        <f>+BS!T43+BS!T37</f>
        <v>266725.84733968356</v>
      </c>
      <c r="AY54" s="307"/>
      <c r="AZ54" s="309"/>
      <c r="BA54" s="311"/>
      <c r="BB54" s="305"/>
      <c r="BC54" s="12">
        <f>+BS!U43+BS!U37</f>
        <v>300423.72516560368</v>
      </c>
      <c r="BD54" s="307"/>
      <c r="BE54" s="309"/>
      <c r="BF54" s="311"/>
      <c r="BG54" s="305"/>
      <c r="BH54" s="12">
        <f>+BS!V43+BS!V37</f>
        <v>439602.2539080882</v>
      </c>
      <c r="BI54" s="307"/>
      <c r="BJ54" s="309"/>
      <c r="BK54" s="311"/>
      <c r="BL54" s="305"/>
      <c r="BM54" s="12">
        <f>+BS!W43+BS!W37</f>
        <v>370695.57030874176</v>
      </c>
      <c r="BN54" s="307"/>
      <c r="BO54" s="309"/>
      <c r="BP54" s="311"/>
      <c r="BQ54" s="305"/>
      <c r="BR54" s="12">
        <f>+BS!X43+BS!X37</f>
        <v>330261.42180540634</v>
      </c>
      <c r="BS54" s="307"/>
      <c r="BT54" s="309"/>
      <c r="BU54" s="311"/>
      <c r="BV54" s="305"/>
      <c r="BW54" s="12">
        <f>+BS!Y43+BS!Y37</f>
        <v>431904.26154399721</v>
      </c>
      <c r="BX54" s="307"/>
      <c r="BY54" s="309"/>
      <c r="BZ54" s="311"/>
      <c r="CA54" s="305"/>
      <c r="CB54" s="12">
        <f>+BS!Z43+BS!Z37</f>
        <v>379840.68568967527</v>
      </c>
      <c r="CC54" s="307"/>
      <c r="CD54" s="309"/>
      <c r="CE54" s="311"/>
      <c r="CF54" s="305"/>
      <c r="CG54" s="12">
        <f>+BS!AA43+BS!AA37</f>
        <v>371128.64011326095</v>
      </c>
      <c r="CH54" s="307"/>
      <c r="CI54" s="309"/>
      <c r="CJ54" s="311"/>
      <c r="CK54" s="305"/>
      <c r="CL54" s="12">
        <f>+BS!AB43+BS!AB37</f>
        <v>444417.49606106599</v>
      </c>
      <c r="CM54" s="307"/>
      <c r="CN54" s="309"/>
      <c r="CO54" s="311"/>
      <c r="CP54" s="305"/>
      <c r="CQ54" s="12">
        <f>+BS!AC43+BS!AC37</f>
        <v>368831.61226344877</v>
      </c>
      <c r="CR54" s="307"/>
      <c r="CS54" s="309"/>
      <c r="CT54" s="311"/>
      <c r="CU54" s="305"/>
      <c r="CV54" s="12">
        <f>+BS!AD43+BS!AD37</f>
        <v>514997.53192483878</v>
      </c>
      <c r="CW54" s="307"/>
      <c r="CX54" s="309"/>
      <c r="CY54" s="311"/>
    </row>
    <row r="55" spans="1:103" ht="18" customHeight="1" x14ac:dyDescent="0.2">
      <c r="A55" s="17"/>
      <c r="B55" s="320" t="s">
        <v>158</v>
      </c>
      <c r="C55" s="322" t="s">
        <v>152</v>
      </c>
      <c r="D55" s="304"/>
      <c r="E55" s="10">
        <f>+E53</f>
        <v>420682.28023322503</v>
      </c>
      <c r="F55" s="306" t="s">
        <v>111</v>
      </c>
      <c r="G55" s="308">
        <v>100</v>
      </c>
      <c r="H55" s="310">
        <f>IF(E56=0,"-",(E55/E56)*G55)</f>
        <v>544.62810440964404</v>
      </c>
      <c r="I55" s="304"/>
      <c r="J55" s="10">
        <f>+J53</f>
        <v>575201.60813739011</v>
      </c>
      <c r="K55" s="306" t="s">
        <v>111</v>
      </c>
      <c r="L55" s="308">
        <v>100</v>
      </c>
      <c r="M55" s="310">
        <f>IF(J56=0,"-",(J55/J56)*L55)</f>
        <v>590.66785904223048</v>
      </c>
      <c r="N55" s="304"/>
      <c r="O55" s="10">
        <f>+O53</f>
        <v>392190.9755317613</v>
      </c>
      <c r="P55" s="306" t="s">
        <v>111</v>
      </c>
      <c r="Q55" s="308">
        <v>100</v>
      </c>
      <c r="R55" s="310">
        <f>IF(O56=0,"-",(O55/O56)*Q55)</f>
        <v>362.91386947845166</v>
      </c>
      <c r="S55" s="304"/>
      <c r="T55" s="10">
        <f>+T53</f>
        <v>419136.26163055206</v>
      </c>
      <c r="U55" s="306" t="s">
        <v>111</v>
      </c>
      <c r="V55" s="308">
        <v>100</v>
      </c>
      <c r="W55" s="310">
        <f>IF(T56=0,"-",(T55/T56)*V55)</f>
        <v>383.03847600117774</v>
      </c>
      <c r="X55" s="304"/>
      <c r="Y55" s="10">
        <f>+Y53</f>
        <v>359908.0254165256</v>
      </c>
      <c r="Z55" s="306" t="s">
        <v>111</v>
      </c>
      <c r="AA55" s="308">
        <v>100</v>
      </c>
      <c r="AB55" s="310">
        <f>IF(Y56=0,"-",(Y55/Y56)*AA55)</f>
        <v>262.60735042996174</v>
      </c>
      <c r="AC55" s="304"/>
      <c r="AD55" s="10">
        <f>+AD53</f>
        <v>410452.79286333028</v>
      </c>
      <c r="AE55" s="306" t="s">
        <v>111</v>
      </c>
      <c r="AF55" s="308">
        <v>100</v>
      </c>
      <c r="AG55" s="310">
        <f>IF(AD56=0,"-",(AD55/AD56)*AF55)</f>
        <v>261.16869661401319</v>
      </c>
      <c r="AH55" s="304"/>
      <c r="AI55" s="10">
        <f>+AI53</f>
        <v>467293.27756528347</v>
      </c>
      <c r="AJ55" s="306" t="s">
        <v>111</v>
      </c>
      <c r="AK55" s="308">
        <v>100</v>
      </c>
      <c r="AL55" s="310">
        <f>IF(AI56=0,"-",(AI55/AI56)*AK55)</f>
        <v>285.42322596544778</v>
      </c>
      <c r="AM55" s="304"/>
      <c r="AN55" s="10">
        <f>+AN53</f>
        <v>328544.08464099409</v>
      </c>
      <c r="AO55" s="306" t="s">
        <v>111</v>
      </c>
      <c r="AP55" s="308">
        <v>100</v>
      </c>
      <c r="AQ55" s="310">
        <f>IF(AN56=0,"-",(AN55/AN56)*AP55)</f>
        <v>275.8573770878246</v>
      </c>
      <c r="AR55" s="304"/>
      <c r="AS55" s="10">
        <f>+AS53</f>
        <v>280182.47712232248</v>
      </c>
      <c r="AT55" s="306" t="s">
        <v>111</v>
      </c>
      <c r="AU55" s="308">
        <v>100</v>
      </c>
      <c r="AV55" s="310">
        <f>IF(AS56=0,"-",(AS55/AS56)*AU55)</f>
        <v>200.80567531418282</v>
      </c>
      <c r="AW55" s="304"/>
      <c r="AX55" s="10">
        <f>+AX53</f>
        <v>268032.63653467869</v>
      </c>
      <c r="AY55" s="306" t="s">
        <v>111</v>
      </c>
      <c r="AZ55" s="308">
        <v>100</v>
      </c>
      <c r="BA55" s="310">
        <f>IF(AX56=0,"-",(AX55/AX56)*AZ55)</f>
        <v>289.11650691110714</v>
      </c>
      <c r="BB55" s="304"/>
      <c r="BC55" s="10">
        <f>+BC53</f>
        <v>292140.24635349395</v>
      </c>
      <c r="BD55" s="306" t="s">
        <v>111</v>
      </c>
      <c r="BE55" s="308">
        <v>100</v>
      </c>
      <c r="BF55" s="310">
        <f>IF(BC56=0,"-",(BC55/BC56)*BE55)</f>
        <v>209.78345530794056</v>
      </c>
      <c r="BG55" s="304"/>
      <c r="BH55" s="10">
        <f>+BH53</f>
        <v>392891.66266681004</v>
      </c>
      <c r="BI55" s="306" t="s">
        <v>111</v>
      </c>
      <c r="BJ55" s="308">
        <v>100</v>
      </c>
      <c r="BK55" s="310">
        <f>IF(BH56=0,"-",(BH55/BH56)*BJ55)</f>
        <v>161.90921906177687</v>
      </c>
      <c r="BL55" s="304"/>
      <c r="BM55" s="10">
        <f>+BM53</f>
        <v>347388.25069029519</v>
      </c>
      <c r="BN55" s="306" t="s">
        <v>111</v>
      </c>
      <c r="BO55" s="308">
        <v>100</v>
      </c>
      <c r="BP55" s="310">
        <f>IF(BM56=0,"-",(BM55/BM56)*BO55)</f>
        <v>176.13351625560446</v>
      </c>
      <c r="BQ55" s="304"/>
      <c r="BR55" s="10">
        <f>+BR53</f>
        <v>313717.82464836363</v>
      </c>
      <c r="BS55" s="306" t="s">
        <v>111</v>
      </c>
      <c r="BT55" s="308">
        <v>100</v>
      </c>
      <c r="BU55" s="310">
        <f>IF(BR56=0,"-",(BR55/BR56)*BT55)</f>
        <v>229.99744563639203</v>
      </c>
      <c r="BV55" s="304"/>
      <c r="BW55" s="10">
        <f>+BW53</f>
        <v>394706.04101210117</v>
      </c>
      <c r="BX55" s="306" t="s">
        <v>111</v>
      </c>
      <c r="BY55" s="308">
        <v>100</v>
      </c>
      <c r="BZ55" s="310">
        <f>IF(BW56=0,"-",(BW55/BW56)*BY55)</f>
        <v>189.60679576618128</v>
      </c>
      <c r="CA55" s="304"/>
      <c r="CB55" s="10">
        <f>+CB53</f>
        <v>339491.11037597555</v>
      </c>
      <c r="CC55" s="306" t="s">
        <v>111</v>
      </c>
      <c r="CD55" s="308">
        <v>100</v>
      </c>
      <c r="CE55" s="310">
        <f>IF(CB56=0,"-",(CB55/CB56)*CD55)</f>
        <v>165.33791474881397</v>
      </c>
      <c r="CF55" s="304"/>
      <c r="CG55" s="10">
        <f>+CG53</f>
        <v>338857.47349092626</v>
      </c>
      <c r="CH55" s="306" t="s">
        <v>111</v>
      </c>
      <c r="CI55" s="308">
        <v>100</v>
      </c>
      <c r="CJ55" s="310">
        <f>IF(CG56=0,"-",(CG55/CG56)*CI55)</f>
        <v>182.88685812571347</v>
      </c>
      <c r="CK55" s="304"/>
      <c r="CL55" s="10">
        <f>+CL53</f>
        <v>409043.5394520617</v>
      </c>
      <c r="CM55" s="306" t="s">
        <v>111</v>
      </c>
      <c r="CN55" s="308">
        <v>100</v>
      </c>
      <c r="CO55" s="310">
        <f>IF(CL56=0,"-",(CL55/CL56)*CN55)</f>
        <v>240.66889003377963</v>
      </c>
      <c r="CP55" s="304"/>
      <c r="CQ55" s="10">
        <f>+CQ53</f>
        <v>321051.13917934574</v>
      </c>
      <c r="CR55" s="306" t="s">
        <v>111</v>
      </c>
      <c r="CS55" s="308">
        <v>100</v>
      </c>
      <c r="CT55" s="310">
        <f>IF(CQ56=0,"-",(CQ55/CQ56)*CS55)</f>
        <v>182.12511655734042</v>
      </c>
      <c r="CU55" s="304"/>
      <c r="CV55" s="10">
        <f>+CV53</f>
        <v>460817.62888037151</v>
      </c>
      <c r="CW55" s="306" t="s">
        <v>111</v>
      </c>
      <c r="CX55" s="308">
        <v>100</v>
      </c>
      <c r="CY55" s="310">
        <f>IF(CV56=0,"-",(CV55/CV56)*CX55)</f>
        <v>195.78058608300148</v>
      </c>
    </row>
    <row r="56" spans="1:103" ht="18" customHeight="1" x14ac:dyDescent="0.2">
      <c r="A56" s="17"/>
      <c r="B56" s="321"/>
      <c r="C56" s="323"/>
      <c r="D56" s="305"/>
      <c r="E56" s="12">
        <f>+E9</f>
        <v>77242.117479271197</v>
      </c>
      <c r="F56" s="307"/>
      <c r="G56" s="309"/>
      <c r="H56" s="311"/>
      <c r="I56" s="305"/>
      <c r="J56" s="12">
        <f>+J9</f>
        <v>97381.565516376853</v>
      </c>
      <c r="K56" s="307"/>
      <c r="L56" s="309"/>
      <c r="M56" s="311"/>
      <c r="N56" s="305"/>
      <c r="O56" s="12">
        <f>+O9</f>
        <v>108067.23261786168</v>
      </c>
      <c r="P56" s="307"/>
      <c r="Q56" s="309"/>
      <c r="R56" s="311"/>
      <c r="S56" s="305"/>
      <c r="T56" s="12">
        <f>+T9</f>
        <v>109424.06256578342</v>
      </c>
      <c r="U56" s="307"/>
      <c r="V56" s="309"/>
      <c r="W56" s="311"/>
      <c r="X56" s="305"/>
      <c r="Y56" s="12">
        <f>+Y9</f>
        <v>137051.77133361096</v>
      </c>
      <c r="Z56" s="307"/>
      <c r="AA56" s="309"/>
      <c r="AB56" s="311"/>
      <c r="AC56" s="305"/>
      <c r="AD56" s="12">
        <f>+AD9</f>
        <v>157160.02652107546</v>
      </c>
      <c r="AE56" s="307"/>
      <c r="AF56" s="309"/>
      <c r="AG56" s="311"/>
      <c r="AH56" s="305"/>
      <c r="AI56" s="12">
        <f>+AI9</f>
        <v>163719.42962408118</v>
      </c>
      <c r="AJ56" s="307"/>
      <c r="AK56" s="309"/>
      <c r="AL56" s="311"/>
      <c r="AM56" s="305"/>
      <c r="AN56" s="12">
        <f>+AN9</f>
        <v>119099.25632925727</v>
      </c>
      <c r="AO56" s="307"/>
      <c r="AP56" s="309"/>
      <c r="AQ56" s="311"/>
      <c r="AR56" s="305"/>
      <c r="AS56" s="12">
        <f>+AS9</f>
        <v>139529.1625517784</v>
      </c>
      <c r="AT56" s="307"/>
      <c r="AU56" s="309"/>
      <c r="AV56" s="311"/>
      <c r="AW56" s="305"/>
      <c r="AX56" s="12">
        <f>+AX9</f>
        <v>92707.483013790363</v>
      </c>
      <c r="AY56" s="307"/>
      <c r="AZ56" s="309"/>
      <c r="BA56" s="311"/>
      <c r="BB56" s="305"/>
      <c r="BC56" s="12">
        <f>+BC9</f>
        <v>139258.00102999643</v>
      </c>
      <c r="BD56" s="307"/>
      <c r="BE56" s="309"/>
      <c r="BF56" s="311"/>
      <c r="BG56" s="305"/>
      <c r="BH56" s="12">
        <f>+BH9</f>
        <v>242661.69952737604</v>
      </c>
      <c r="BI56" s="307"/>
      <c r="BJ56" s="309"/>
      <c r="BK56" s="311"/>
      <c r="BL56" s="305"/>
      <c r="BM56" s="12">
        <f>+BM9</f>
        <v>197230.06618806516</v>
      </c>
      <c r="BN56" s="307"/>
      <c r="BO56" s="309"/>
      <c r="BP56" s="311"/>
      <c r="BQ56" s="305"/>
      <c r="BR56" s="12">
        <f>+BR9</f>
        <v>136400.56904993937</v>
      </c>
      <c r="BS56" s="307"/>
      <c r="BT56" s="309"/>
      <c r="BU56" s="311"/>
      <c r="BV56" s="305"/>
      <c r="BW56" s="12">
        <f>+BW9</f>
        <v>208170.8302791233</v>
      </c>
      <c r="BX56" s="307"/>
      <c r="BY56" s="309"/>
      <c r="BZ56" s="311"/>
      <c r="CA56" s="305"/>
      <c r="CB56" s="12">
        <f>+CB9</f>
        <v>205331.6753702501</v>
      </c>
      <c r="CC56" s="307"/>
      <c r="CD56" s="309"/>
      <c r="CE56" s="311"/>
      <c r="CF56" s="305"/>
      <c r="CG56" s="12">
        <f>+CG9</f>
        <v>185282.57140160454</v>
      </c>
      <c r="CH56" s="307"/>
      <c r="CI56" s="309"/>
      <c r="CJ56" s="311"/>
      <c r="CK56" s="305"/>
      <c r="CL56" s="12">
        <f>+CL9</f>
        <v>169961.11935973505</v>
      </c>
      <c r="CM56" s="307"/>
      <c r="CN56" s="309"/>
      <c r="CO56" s="311"/>
      <c r="CP56" s="305"/>
      <c r="CQ56" s="12">
        <f>+CQ9</f>
        <v>176280.54012982099</v>
      </c>
      <c r="CR56" s="307"/>
      <c r="CS56" s="309"/>
      <c r="CT56" s="311"/>
      <c r="CU56" s="305"/>
      <c r="CV56" s="12">
        <f>+CV9</f>
        <v>235374.52721946963</v>
      </c>
      <c r="CW56" s="307"/>
      <c r="CX56" s="309"/>
      <c r="CY56" s="311"/>
    </row>
    <row r="57" spans="1:103"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c r="CU57" s="7"/>
      <c r="CV57" s="18"/>
      <c r="CW57" s="7"/>
      <c r="CX57" s="7"/>
      <c r="CY57" s="8"/>
    </row>
    <row r="58" spans="1:103" ht="18" customHeight="1" x14ac:dyDescent="0.2">
      <c r="A58" s="20"/>
      <c r="B58" s="320" t="s">
        <v>160</v>
      </c>
      <c r="C58" s="322" t="s">
        <v>161</v>
      </c>
      <c r="D58" s="330"/>
      <c r="E58" s="331"/>
      <c r="F58" s="331"/>
      <c r="G58" s="331"/>
      <c r="H58" s="332"/>
      <c r="I58" s="304"/>
      <c r="J58" s="10">
        <f>+J12-E12</f>
        <v>45814.412460536769</v>
      </c>
      <c r="K58" s="306" t="s">
        <v>111</v>
      </c>
      <c r="L58" s="308">
        <v>100</v>
      </c>
      <c r="M58" s="310">
        <f>IF(J59=0,"-",(J58/J59)*L58)</f>
        <v>42.566783634329198</v>
      </c>
      <c r="N58" s="304"/>
      <c r="O58" s="10">
        <f>+O12-J12</f>
        <v>-30741.753870541666</v>
      </c>
      <c r="P58" s="306" t="s">
        <v>111</v>
      </c>
      <c r="Q58" s="308">
        <v>100</v>
      </c>
      <c r="R58" s="310">
        <f>IF(O59=0,"-",(O58/O59)*Q58)</f>
        <v>-20.034522861047243</v>
      </c>
      <c r="S58" s="304"/>
      <c r="T58" s="10">
        <f>+T12-O12</f>
        <v>11941.621854673984</v>
      </c>
      <c r="U58" s="306" t="s">
        <v>111</v>
      </c>
      <c r="V58" s="308">
        <v>100</v>
      </c>
      <c r="W58" s="310">
        <f>IF(T59=0,"-",(T58/T59)*V58)</f>
        <v>9.7322026692092543</v>
      </c>
      <c r="X58" s="304"/>
      <c r="Y58" s="10">
        <f>+Y12-T12</f>
        <v>-12453.61815229879</v>
      </c>
      <c r="Z58" s="306" t="s">
        <v>111</v>
      </c>
      <c r="AA58" s="308">
        <v>100</v>
      </c>
      <c r="AB58" s="310">
        <f>IF(Y59=0,"-",(Y58/Y59)*AA58)</f>
        <v>-9.2493087800803906</v>
      </c>
      <c r="AC58" s="304"/>
      <c r="AD58" s="10">
        <f>+AD12-Y12</f>
        <v>-5072.2851133263466</v>
      </c>
      <c r="AE58" s="306" t="s">
        <v>111</v>
      </c>
      <c r="AF58" s="308">
        <v>100</v>
      </c>
      <c r="AG58" s="310">
        <f>IF(AD59=0,"-",(AD58/AD59)*AF58)</f>
        <v>-4.1511406495723184</v>
      </c>
      <c r="AH58" s="304"/>
      <c r="AI58" s="10">
        <f>+AI12-AD12</f>
        <v>11629.198522168052</v>
      </c>
      <c r="AJ58" s="306" t="s">
        <v>162</v>
      </c>
      <c r="AK58" s="308">
        <v>100</v>
      </c>
      <c r="AL58" s="310">
        <f>IF(AI59=0,"-",(AI58/AI59)*AK58)</f>
        <v>9.9294827735036808</v>
      </c>
      <c r="AM58" s="304"/>
      <c r="AN58" s="10">
        <f>+AN12-AI12</f>
        <v>-39416.536122063902</v>
      </c>
      <c r="AO58" s="306" t="s">
        <v>162</v>
      </c>
      <c r="AP58" s="308">
        <v>100</v>
      </c>
      <c r="AQ58" s="310">
        <f>IF(AN59=0,"-",(AN58/AN59)*AP58)</f>
        <v>-30.615482903062922</v>
      </c>
      <c r="AR58" s="304"/>
      <c r="AS58" s="10">
        <f>+AS12-AN12</f>
        <v>-11916.65456446899</v>
      </c>
      <c r="AT58" s="306" t="s">
        <v>111</v>
      </c>
      <c r="AU58" s="308">
        <v>100</v>
      </c>
      <c r="AV58" s="310">
        <f>IF(AS59=0,"-",(AS58/AS59)*AU58)</f>
        <v>-13.339957256047699</v>
      </c>
      <c r="AW58" s="304"/>
      <c r="AX58" s="10">
        <f>+AX12-AS12</f>
        <v>-4212.9289589622931</v>
      </c>
      <c r="AY58" s="306" t="s">
        <v>111</v>
      </c>
      <c r="AZ58" s="308">
        <v>100</v>
      </c>
      <c r="BA58" s="310">
        <f>IF(AX59=0,"-",(AX58/AX59)*AZ58)</f>
        <v>-5.4420850481238077</v>
      </c>
      <c r="BB58" s="304"/>
      <c r="BC58" s="10">
        <f>+BC12-AX12</f>
        <v>-2065.587075731426</v>
      </c>
      <c r="BD58" s="306" t="s">
        <v>111</v>
      </c>
      <c r="BE58" s="308">
        <v>100</v>
      </c>
      <c r="BF58" s="310">
        <f>IF(BC59=0,"-",(BC58/BC59)*BE58)</f>
        <v>-2.8218037681932406</v>
      </c>
      <c r="BG58" s="304"/>
      <c r="BH58" s="10">
        <f>+BH12-BC12</f>
        <v>9371.4330868290563</v>
      </c>
      <c r="BI58" s="306" t="s">
        <v>111</v>
      </c>
      <c r="BJ58" s="308">
        <v>100</v>
      </c>
      <c r="BK58" s="310">
        <f>IF(BH59=0,"-",(BH58/BH59)*BJ58)</f>
        <v>13.174085462511858</v>
      </c>
      <c r="BL58" s="304"/>
      <c r="BM58" s="10">
        <f>+BM12-BH12</f>
        <v>302.22008094254124</v>
      </c>
      <c r="BN58" s="306" t="s">
        <v>111</v>
      </c>
      <c r="BO58" s="308">
        <v>100</v>
      </c>
      <c r="BP58" s="310">
        <f>IF(BM59=0,"-",(BM58/BM59)*BO58)</f>
        <v>0.37539699485366529</v>
      </c>
      <c r="BQ58" s="304"/>
      <c r="BR58" s="10">
        <f>+BR12-BM12</f>
        <v>-5000.3881908576586</v>
      </c>
      <c r="BS58" s="306" t="s">
        <v>111</v>
      </c>
      <c r="BT58" s="308">
        <v>100</v>
      </c>
      <c r="BU58" s="310">
        <f>IF(BR59=0,"-",(BR58/BR59)*BT58)</f>
        <v>-6.1879090099457539</v>
      </c>
      <c r="BV58" s="304"/>
      <c r="BW58" s="10">
        <f>+BW12-BR12</f>
        <v>9665.149495738282</v>
      </c>
      <c r="BX58" s="306" t="s">
        <v>111</v>
      </c>
      <c r="BY58" s="308">
        <v>100</v>
      </c>
      <c r="BZ58" s="310">
        <f>IF(BW59=0,"-",(BW58/BW59)*BY58)</f>
        <v>12.749406193864793</v>
      </c>
      <c r="CA58" s="304"/>
      <c r="CB58" s="10">
        <f>+CB12-BW12</f>
        <v>1481.3039455669204</v>
      </c>
      <c r="CC58" s="306" t="s">
        <v>111</v>
      </c>
      <c r="CD58" s="308">
        <v>100</v>
      </c>
      <c r="CE58" s="310">
        <f>IF(CB59=0,"-",(CB58/CB59)*CD58)</f>
        <v>1.7330508207119621</v>
      </c>
      <c r="CF58" s="304"/>
      <c r="CG58" s="10">
        <f>+CG12-CB12</f>
        <v>1415.9704878392367</v>
      </c>
      <c r="CH58" s="306" t="s">
        <v>155</v>
      </c>
      <c r="CI58" s="308">
        <v>100</v>
      </c>
      <c r="CJ58" s="310">
        <f>IF(CG59=0,"-",(CG58/CG59)*CI58)</f>
        <v>1.6283930941751796</v>
      </c>
      <c r="CK58" s="304"/>
      <c r="CL58" s="10">
        <f>+CL12-CG12</f>
        <v>-21700.083862798449</v>
      </c>
      <c r="CM58" s="306" t="s">
        <v>111</v>
      </c>
      <c r="CN58" s="308">
        <v>100</v>
      </c>
      <c r="CO58" s="310">
        <f>IF(CL59=0,"-",(CL58/CL59)*CN58)</f>
        <v>-24.555648251456812</v>
      </c>
      <c r="CP58" s="304"/>
      <c r="CQ58" s="10">
        <f>+CQ12-CL12</f>
        <v>13036.558754321624</v>
      </c>
      <c r="CR58" s="306" t="s">
        <v>111</v>
      </c>
      <c r="CS58" s="308">
        <v>100</v>
      </c>
      <c r="CT58" s="310">
        <f>IF(CQ59=0,"-",(CQ58/CQ59)*CS58)</f>
        <v>19.553577476773381</v>
      </c>
      <c r="CU58" s="304"/>
      <c r="CV58" s="10">
        <f>+CV12-CQ12</f>
        <v>26996.302994776357</v>
      </c>
      <c r="CW58" s="306" t="s">
        <v>111</v>
      </c>
      <c r="CX58" s="308">
        <v>100</v>
      </c>
      <c r="CY58" s="310">
        <f>IF(CV59=0,"-",(CV58/CV59)*CX58)</f>
        <v>33.86920305015321</v>
      </c>
    </row>
    <row r="59" spans="1:103" ht="18" customHeight="1" x14ac:dyDescent="0.2">
      <c r="A59" s="20"/>
      <c r="B59" s="321"/>
      <c r="C59" s="323"/>
      <c r="D59" s="333"/>
      <c r="E59" s="334"/>
      <c r="F59" s="334"/>
      <c r="G59" s="334"/>
      <c r="H59" s="335"/>
      <c r="I59" s="305"/>
      <c r="J59" s="12">
        <f>+E12</f>
        <v>107629.490764692</v>
      </c>
      <c r="K59" s="307"/>
      <c r="L59" s="309"/>
      <c r="M59" s="311"/>
      <c r="N59" s="305"/>
      <c r="O59" s="12">
        <f>+J12</f>
        <v>153443.90322522877</v>
      </c>
      <c r="P59" s="307"/>
      <c r="Q59" s="309"/>
      <c r="R59" s="311"/>
      <c r="S59" s="305"/>
      <c r="T59" s="12">
        <f>+O12</f>
        <v>122702.14935468711</v>
      </c>
      <c r="U59" s="307"/>
      <c r="V59" s="309"/>
      <c r="W59" s="311"/>
      <c r="X59" s="305"/>
      <c r="Y59" s="12">
        <f>+T12</f>
        <v>134643.77120936109</v>
      </c>
      <c r="Z59" s="307"/>
      <c r="AA59" s="309"/>
      <c r="AB59" s="311"/>
      <c r="AC59" s="305"/>
      <c r="AD59" s="12">
        <f>+Y12</f>
        <v>122190.1530570623</v>
      </c>
      <c r="AE59" s="307"/>
      <c r="AF59" s="309"/>
      <c r="AG59" s="311"/>
      <c r="AH59" s="305"/>
      <c r="AI59" s="12">
        <f>+AD12</f>
        <v>117117.86794373595</v>
      </c>
      <c r="AJ59" s="307"/>
      <c r="AK59" s="309"/>
      <c r="AL59" s="311"/>
      <c r="AM59" s="305"/>
      <c r="AN59" s="12">
        <f>+AI12</f>
        <v>128747.066465904</v>
      </c>
      <c r="AO59" s="307"/>
      <c r="AP59" s="309"/>
      <c r="AQ59" s="311"/>
      <c r="AR59" s="305"/>
      <c r="AS59" s="12">
        <f>+AN12</f>
        <v>89330.530343840102</v>
      </c>
      <c r="AT59" s="307"/>
      <c r="AU59" s="309"/>
      <c r="AV59" s="311"/>
      <c r="AW59" s="305"/>
      <c r="AX59" s="12">
        <f>+AS12</f>
        <v>77413.875779371112</v>
      </c>
      <c r="AY59" s="307"/>
      <c r="AZ59" s="309"/>
      <c r="BA59" s="311"/>
      <c r="BB59" s="305"/>
      <c r="BC59" s="12">
        <f>+AX12</f>
        <v>73200.946820408819</v>
      </c>
      <c r="BD59" s="307"/>
      <c r="BE59" s="309"/>
      <c r="BF59" s="311"/>
      <c r="BG59" s="305"/>
      <c r="BH59" s="12">
        <f>+BC12</f>
        <v>71135.359744677393</v>
      </c>
      <c r="BI59" s="307"/>
      <c r="BJ59" s="309"/>
      <c r="BK59" s="311"/>
      <c r="BL59" s="305"/>
      <c r="BM59" s="12">
        <f>+BH12</f>
        <v>80506.792831506449</v>
      </c>
      <c r="BN59" s="307"/>
      <c r="BO59" s="309"/>
      <c r="BP59" s="311"/>
      <c r="BQ59" s="305"/>
      <c r="BR59" s="12">
        <f>+BM12</f>
        <v>80809.01291244899</v>
      </c>
      <c r="BS59" s="307"/>
      <c r="BT59" s="309"/>
      <c r="BU59" s="311"/>
      <c r="BV59" s="305"/>
      <c r="BW59" s="12">
        <f>+BR12</f>
        <v>75808.624721591332</v>
      </c>
      <c r="BX59" s="307"/>
      <c r="BY59" s="309"/>
      <c r="BZ59" s="311"/>
      <c r="CA59" s="305"/>
      <c r="CB59" s="12">
        <f>+BW12</f>
        <v>85473.774217329614</v>
      </c>
      <c r="CC59" s="307"/>
      <c r="CD59" s="309"/>
      <c r="CE59" s="311"/>
      <c r="CF59" s="305"/>
      <c r="CG59" s="12">
        <f>+CB12</f>
        <v>86955.078162896534</v>
      </c>
      <c r="CH59" s="307"/>
      <c r="CI59" s="309"/>
      <c r="CJ59" s="311"/>
      <c r="CK59" s="305"/>
      <c r="CL59" s="12">
        <f>+CG12</f>
        <v>88371.048650735771</v>
      </c>
      <c r="CM59" s="307"/>
      <c r="CN59" s="309"/>
      <c r="CO59" s="311"/>
      <c r="CP59" s="305"/>
      <c r="CQ59" s="12">
        <f>+CL12</f>
        <v>66670.964787937322</v>
      </c>
      <c r="CR59" s="307"/>
      <c r="CS59" s="309"/>
      <c r="CT59" s="311"/>
      <c r="CU59" s="305"/>
      <c r="CV59" s="12">
        <f>+CQ12</f>
        <v>79707.523542258947</v>
      </c>
      <c r="CW59" s="307"/>
      <c r="CX59" s="309"/>
      <c r="CY59" s="311"/>
    </row>
    <row r="60" spans="1:103" ht="18" customHeight="1" x14ac:dyDescent="0.2">
      <c r="A60" s="20"/>
      <c r="B60" s="320" t="s">
        <v>163</v>
      </c>
      <c r="C60" s="322" t="s">
        <v>164</v>
      </c>
      <c r="D60" s="330"/>
      <c r="E60" s="331"/>
      <c r="F60" s="331"/>
      <c r="G60" s="331"/>
      <c r="H60" s="332"/>
      <c r="I60" s="304"/>
      <c r="J60" s="10">
        <f>+J15-E15</f>
        <v>4506.9040990799895</v>
      </c>
      <c r="K60" s="306" t="s">
        <v>111</v>
      </c>
      <c r="L60" s="308">
        <v>100</v>
      </c>
      <c r="M60" s="310">
        <f>IF(J61=0,"-",(J60/J61)*L60)</f>
        <v>40.431520845134699</v>
      </c>
      <c r="N60" s="304"/>
      <c r="O60" s="10">
        <f>+O15-J15</f>
        <v>-2819.1521100543941</v>
      </c>
      <c r="P60" s="306" t="s">
        <v>111</v>
      </c>
      <c r="Q60" s="308">
        <v>100</v>
      </c>
      <c r="R60" s="310">
        <f>IF(O61=0,"-",(O60/O61)*Q60)</f>
        <v>-18.00925182496281</v>
      </c>
      <c r="S60" s="304"/>
      <c r="T60" s="10">
        <f>+T15-O15</f>
        <v>964.78041462608599</v>
      </c>
      <c r="U60" s="306" t="s">
        <v>111</v>
      </c>
      <c r="V60" s="308">
        <v>100</v>
      </c>
      <c r="W60" s="310">
        <f>IF(T61=0,"-",(T60/T61)*V60)</f>
        <v>7.5169349290615504</v>
      </c>
      <c r="X60" s="304"/>
      <c r="Y60" s="10">
        <f>+Y15-T15</f>
        <v>1336.0373692816393</v>
      </c>
      <c r="Z60" s="306" t="s">
        <v>111</v>
      </c>
      <c r="AA60" s="308">
        <v>100</v>
      </c>
      <c r="AB60" s="310">
        <f>IF(Y61=0,"-",(Y60/Y61)*AA60)</f>
        <v>9.6817539799198258</v>
      </c>
      <c r="AC60" s="304"/>
      <c r="AD60" s="10">
        <f>+AD15-Y15</f>
        <v>-1026.3522315430437</v>
      </c>
      <c r="AE60" s="306" t="s">
        <v>111</v>
      </c>
      <c r="AF60" s="308">
        <v>100</v>
      </c>
      <c r="AG60" s="310">
        <f>IF(AD61=0,"-",(AD60/AD61)*AF60)</f>
        <v>-6.7810583453412967</v>
      </c>
      <c r="AH60" s="304"/>
      <c r="AI60" s="10">
        <f>+AI15-AD15</f>
        <v>-903.61443474410771</v>
      </c>
      <c r="AJ60" s="306" t="s">
        <v>111</v>
      </c>
      <c r="AK60" s="308">
        <v>100</v>
      </c>
      <c r="AL60" s="310">
        <f>IF(AI61=0,"-",(AI60/AI61)*AK60)</f>
        <v>-6.4044234966686862</v>
      </c>
      <c r="AM60" s="304"/>
      <c r="AN60" s="10">
        <f>+AN15-AI15</f>
        <v>-4302.3200990388195</v>
      </c>
      <c r="AO60" s="306" t="s">
        <v>111</v>
      </c>
      <c r="AP60" s="308">
        <v>100</v>
      </c>
      <c r="AQ60" s="310">
        <f>IF(AN61=0,"-",(AN60/AN61)*AP60)</f>
        <v>-32.579489733267607</v>
      </c>
      <c r="AR60" s="304"/>
      <c r="AS60" s="10">
        <f>+AS15-AN15</f>
        <v>-1398.9277086863167</v>
      </c>
      <c r="AT60" s="306" t="s">
        <v>111</v>
      </c>
      <c r="AU60" s="308">
        <v>100</v>
      </c>
      <c r="AV60" s="310">
        <f>IF(AS61=0,"-",(AS60/AS61)*AU60)</f>
        <v>-15.712482096961464</v>
      </c>
      <c r="AW60" s="304"/>
      <c r="AX60" s="10">
        <f>+AX15-AN15</f>
        <v>-923.54914924100012</v>
      </c>
      <c r="AY60" s="306" t="s">
        <v>111</v>
      </c>
      <c r="AZ60" s="308">
        <v>100</v>
      </c>
      <c r="BA60" s="310">
        <f>IF(AX61=0,"-",(AX60/AX61)*AZ60)</f>
        <v>-10.373123202156172</v>
      </c>
      <c r="BB60" s="304"/>
      <c r="BC60" s="10">
        <f>+BC15-AX15</f>
        <v>2031.6788230096754</v>
      </c>
      <c r="BD60" s="306" t="s">
        <v>111</v>
      </c>
      <c r="BE60" s="308">
        <v>100</v>
      </c>
      <c r="BF60" s="310">
        <f>IF(BC61=0,"-",(BC60/BC61)*BE60)</f>
        <v>25.460464012567229</v>
      </c>
      <c r="BG60" s="304"/>
      <c r="BH60" s="10">
        <f>+BH15-BC15</f>
        <v>2350.7447680925161</v>
      </c>
      <c r="BI60" s="306" t="s">
        <v>111</v>
      </c>
      <c r="BJ60" s="308">
        <v>100</v>
      </c>
      <c r="BK60" s="310">
        <f>IF(BH61=0,"-",(BH60/BH61)*BJ60)</f>
        <v>23.480635632338121</v>
      </c>
      <c r="BL60" s="304"/>
      <c r="BM60" s="10">
        <f>+BM15-BH15</f>
        <v>-1329.5350114181219</v>
      </c>
      <c r="BN60" s="306" t="s">
        <v>111</v>
      </c>
      <c r="BO60" s="308">
        <v>100</v>
      </c>
      <c r="BP60" s="310">
        <f>IF(BM61=0,"-",(BM60/BM61)*BO60)</f>
        <v>-10.754873165962575</v>
      </c>
      <c r="BQ60" s="304"/>
      <c r="BR60" s="10">
        <f>+BR15-BM15</f>
        <v>-1228.9453198080173</v>
      </c>
      <c r="BS60" s="306" t="s">
        <v>111</v>
      </c>
      <c r="BT60" s="308">
        <v>100</v>
      </c>
      <c r="BU60" s="310">
        <f>IF(BR61=0,"-",(BR60/BR61)*BT60)</f>
        <v>-11.139188765634032</v>
      </c>
      <c r="BV60" s="304"/>
      <c r="BW60" s="10">
        <f>+BW15-BR15</f>
        <v>2120.2050908792917</v>
      </c>
      <c r="BX60" s="306" t="s">
        <v>111</v>
      </c>
      <c r="BY60" s="308">
        <v>100</v>
      </c>
      <c r="BZ60" s="310">
        <f>IF(BW61=0,"-",(BW60/BW61)*BY60)</f>
        <v>21.626617685016942</v>
      </c>
      <c r="CA60" s="304"/>
      <c r="CB60" s="10">
        <f>+CB15-BW15</f>
        <v>104.63622937833497</v>
      </c>
      <c r="CC60" s="306" t="s">
        <v>111</v>
      </c>
      <c r="CD60" s="308">
        <v>100</v>
      </c>
      <c r="CE60" s="310">
        <f>IF(CB61=0,"-",(CB60/CB61)*CD60)</f>
        <v>0.87753446338653918</v>
      </c>
      <c r="CF60" s="304"/>
      <c r="CG60" s="10">
        <f>+CG15-CB15</f>
        <v>-1667.8997600562016</v>
      </c>
      <c r="CH60" s="306" t="s">
        <v>111</v>
      </c>
      <c r="CI60" s="308">
        <v>100</v>
      </c>
      <c r="CJ60" s="310">
        <f>IF(CG61=0,"-",(CG60/CG61)*CI60)</f>
        <v>-13.866204065963588</v>
      </c>
      <c r="CK60" s="304"/>
      <c r="CL60" s="10">
        <f>+CL15-CG15</f>
        <v>-3104.2874077229908</v>
      </c>
      <c r="CM60" s="306" t="s">
        <v>111</v>
      </c>
      <c r="CN60" s="308">
        <v>100</v>
      </c>
      <c r="CO60" s="310">
        <f>IF(CL61=0,"-",(CL60/CL61)*CN60)</f>
        <v>-29.962357203653127</v>
      </c>
      <c r="CP60" s="304"/>
      <c r="CQ60" s="10">
        <f>+CQ15-CL15</f>
        <v>3729.3998046807674</v>
      </c>
      <c r="CR60" s="306" t="s">
        <v>111</v>
      </c>
      <c r="CS60" s="308">
        <v>100</v>
      </c>
      <c r="CT60" s="310">
        <f>IF(CQ61=0,"-",(CQ60/CQ61)*CS60)</f>
        <v>51.395071767933764</v>
      </c>
      <c r="CU60" s="304"/>
      <c r="CV60" s="10">
        <f>+CV15-CQ15</f>
        <v>4750.9826610199834</v>
      </c>
      <c r="CW60" s="306" t="s">
        <v>111</v>
      </c>
      <c r="CX60" s="308">
        <v>100</v>
      </c>
      <c r="CY60" s="310">
        <f>IF(CV61=0,"-",(CV60/CV61)*CX60)</f>
        <v>43.246826141253244</v>
      </c>
    </row>
    <row r="61" spans="1:103" ht="18" customHeight="1" x14ac:dyDescent="0.2">
      <c r="A61" s="20"/>
      <c r="B61" s="321"/>
      <c r="C61" s="323"/>
      <c r="D61" s="333"/>
      <c r="E61" s="334"/>
      <c r="F61" s="334"/>
      <c r="G61" s="334"/>
      <c r="H61" s="335"/>
      <c r="I61" s="305"/>
      <c r="J61" s="12">
        <f>+E15</f>
        <v>11147.006110264399</v>
      </c>
      <c r="K61" s="307"/>
      <c r="L61" s="309"/>
      <c r="M61" s="311"/>
      <c r="N61" s="305"/>
      <c r="O61" s="12">
        <f>+J15</f>
        <v>15653.910209344389</v>
      </c>
      <c r="P61" s="307"/>
      <c r="Q61" s="309"/>
      <c r="R61" s="311"/>
      <c r="S61" s="305"/>
      <c r="T61" s="12">
        <f>+O15</f>
        <v>12834.758099289995</v>
      </c>
      <c r="U61" s="307"/>
      <c r="V61" s="309"/>
      <c r="W61" s="311"/>
      <c r="X61" s="305"/>
      <c r="Y61" s="12">
        <f>+T15</f>
        <v>13799.538513916081</v>
      </c>
      <c r="Z61" s="307"/>
      <c r="AA61" s="309"/>
      <c r="AB61" s="311"/>
      <c r="AC61" s="305"/>
      <c r="AD61" s="12">
        <f>+Y15</f>
        <v>15135.57588319772</v>
      </c>
      <c r="AE61" s="307"/>
      <c r="AF61" s="309"/>
      <c r="AG61" s="311"/>
      <c r="AH61" s="305"/>
      <c r="AI61" s="12">
        <f>+AD15</f>
        <v>14109.223651654676</v>
      </c>
      <c r="AJ61" s="307"/>
      <c r="AK61" s="309"/>
      <c r="AL61" s="311"/>
      <c r="AM61" s="305"/>
      <c r="AN61" s="12">
        <f>+AI15</f>
        <v>13205.609216910569</v>
      </c>
      <c r="AO61" s="307"/>
      <c r="AP61" s="309"/>
      <c r="AQ61" s="311"/>
      <c r="AR61" s="305"/>
      <c r="AS61" s="12">
        <f>+AN15</f>
        <v>8903.2891178717491</v>
      </c>
      <c r="AT61" s="307"/>
      <c r="AU61" s="309"/>
      <c r="AV61" s="311"/>
      <c r="AW61" s="305"/>
      <c r="AX61" s="12">
        <f>+AN15</f>
        <v>8903.2891178717491</v>
      </c>
      <c r="AY61" s="307"/>
      <c r="AZ61" s="309"/>
      <c r="BA61" s="311"/>
      <c r="BB61" s="305"/>
      <c r="BC61" s="12">
        <f>+AX15</f>
        <v>7979.739968630749</v>
      </c>
      <c r="BD61" s="307"/>
      <c r="BE61" s="309"/>
      <c r="BF61" s="311"/>
      <c r="BG61" s="305"/>
      <c r="BH61" s="12">
        <f>+BC15</f>
        <v>10011.418791640424</v>
      </c>
      <c r="BI61" s="307"/>
      <c r="BJ61" s="309"/>
      <c r="BK61" s="311"/>
      <c r="BL61" s="305"/>
      <c r="BM61" s="12">
        <f>+BH15</f>
        <v>12362.16355973294</v>
      </c>
      <c r="BN61" s="307"/>
      <c r="BO61" s="309"/>
      <c r="BP61" s="311"/>
      <c r="BQ61" s="305"/>
      <c r="BR61" s="12">
        <f>+BM15</f>
        <v>11032.628548314819</v>
      </c>
      <c r="BS61" s="307"/>
      <c r="BT61" s="309"/>
      <c r="BU61" s="311"/>
      <c r="BV61" s="305"/>
      <c r="BW61" s="12">
        <f>+BR15</f>
        <v>9803.6832285068012</v>
      </c>
      <c r="BX61" s="307"/>
      <c r="BY61" s="309"/>
      <c r="BZ61" s="311"/>
      <c r="CA61" s="305"/>
      <c r="CB61" s="12">
        <f>+BW15</f>
        <v>11923.888319386093</v>
      </c>
      <c r="CC61" s="307"/>
      <c r="CD61" s="309"/>
      <c r="CE61" s="311"/>
      <c r="CF61" s="305"/>
      <c r="CG61" s="12">
        <f>+CB15</f>
        <v>12028.524548764428</v>
      </c>
      <c r="CH61" s="307"/>
      <c r="CI61" s="309"/>
      <c r="CJ61" s="311"/>
      <c r="CK61" s="305"/>
      <c r="CL61" s="12">
        <f>+CG15</f>
        <v>10360.624788708226</v>
      </c>
      <c r="CM61" s="307"/>
      <c r="CN61" s="309"/>
      <c r="CO61" s="311"/>
      <c r="CP61" s="305"/>
      <c r="CQ61" s="12">
        <f>+CL15</f>
        <v>7256.3373809852355</v>
      </c>
      <c r="CR61" s="307"/>
      <c r="CS61" s="309"/>
      <c r="CT61" s="311"/>
      <c r="CU61" s="305"/>
      <c r="CV61" s="12">
        <f>+CQ15</f>
        <v>10985.737185666003</v>
      </c>
      <c r="CW61" s="307"/>
      <c r="CX61" s="309"/>
      <c r="CY61" s="311"/>
    </row>
    <row r="62" spans="1:103" ht="18" customHeight="1" x14ac:dyDescent="0.2">
      <c r="A62" s="20"/>
      <c r="B62" s="320" t="s">
        <v>165</v>
      </c>
      <c r="C62" s="322" t="s">
        <v>149</v>
      </c>
      <c r="D62" s="330"/>
      <c r="E62" s="331"/>
      <c r="F62" s="331"/>
      <c r="G62" s="331"/>
      <c r="H62" s="332"/>
      <c r="I62" s="304"/>
      <c r="J62" s="10">
        <f>+J19-E19</f>
        <v>11955.406595305896</v>
      </c>
      <c r="K62" s="306" t="s">
        <v>111</v>
      </c>
      <c r="L62" s="308">
        <v>100</v>
      </c>
      <c r="M62" s="310">
        <f>IF(J63=0,"-",(J62/J63)*L62)</f>
        <v>20.989636324346151</v>
      </c>
      <c r="N62" s="304"/>
      <c r="O62" s="10">
        <f>+O19-J19</f>
        <v>-6925.5975225139118</v>
      </c>
      <c r="P62" s="306" t="s">
        <v>111</v>
      </c>
      <c r="Q62" s="308">
        <v>100</v>
      </c>
      <c r="R62" s="310">
        <f>IF(O63=0,"-",(O62/O63)*Q62)</f>
        <v>-10.049620013541279</v>
      </c>
      <c r="S62" s="304"/>
      <c r="T62" s="10">
        <f>+T19-O19</f>
        <v>-3910.7727346129614</v>
      </c>
      <c r="U62" s="306" t="s">
        <v>111</v>
      </c>
      <c r="V62" s="308">
        <v>100</v>
      </c>
      <c r="W62" s="310">
        <f>IF(T63=0,"-",(T62/T63)*V62)</f>
        <v>-6.3088756609402177</v>
      </c>
      <c r="X62" s="304"/>
      <c r="Y62" s="10">
        <f>+Y19-T19</f>
        <v>967.02485973688454</v>
      </c>
      <c r="Z62" s="306" t="s">
        <v>111</v>
      </c>
      <c r="AA62" s="308">
        <v>100</v>
      </c>
      <c r="AB62" s="310">
        <f>IF(Y63=0,"-",(Y62/Y63)*AA62)</f>
        <v>1.6650549766482354</v>
      </c>
      <c r="AC62" s="304"/>
      <c r="AD62" s="10">
        <f>+AD19-Y19</f>
        <v>-2350.1700029368658</v>
      </c>
      <c r="AE62" s="306" t="s">
        <v>111</v>
      </c>
      <c r="AF62" s="308">
        <v>100</v>
      </c>
      <c r="AG62" s="310">
        <f>IF(AD63=0,"-",(AD62/AD63)*AF62)</f>
        <v>-3.980324846654816</v>
      </c>
      <c r="AH62" s="304"/>
      <c r="AI62" s="10">
        <f>+AI19-AD19</f>
        <v>1058.9847251876708</v>
      </c>
      <c r="AJ62" s="306" t="s">
        <v>150</v>
      </c>
      <c r="AK62" s="308">
        <v>100</v>
      </c>
      <c r="AL62" s="310">
        <f>IF(AI63=0,"-",(AI62/AI63)*AK62)</f>
        <v>1.8678788406295797</v>
      </c>
      <c r="AM62" s="304"/>
      <c r="AN62" s="10">
        <f>+AN19-AI19</f>
        <v>-9173.9549168177109</v>
      </c>
      <c r="AO62" s="306" t="s">
        <v>150</v>
      </c>
      <c r="AP62" s="308">
        <v>100</v>
      </c>
      <c r="AQ62" s="310">
        <f>IF(AN63=0,"-",(AN62/AN63)*AP62)</f>
        <v>-15.884675417922855</v>
      </c>
      <c r="AR62" s="304"/>
      <c r="AS62" s="10">
        <f>+AS19-AN19</f>
        <v>-4818.3258675195175</v>
      </c>
      <c r="AT62" s="306" t="s">
        <v>111</v>
      </c>
      <c r="AU62" s="308">
        <v>100</v>
      </c>
      <c r="AV62" s="310">
        <f>IF(AS63=0,"-",(AS62/AS63)*AU62)</f>
        <v>-9.9184266681201247</v>
      </c>
      <c r="AW62" s="304"/>
      <c r="AX62" s="10">
        <f>+AX19-AS19</f>
        <v>-1636.8067908927769</v>
      </c>
      <c r="AY62" s="306" t="s">
        <v>111</v>
      </c>
      <c r="AZ62" s="308">
        <v>100</v>
      </c>
      <c r="BA62" s="310">
        <f>IF(AX63=0,"-",(AX62/AX63)*AZ62)</f>
        <v>-3.7403140940798281</v>
      </c>
      <c r="BB62" s="304"/>
      <c r="BC62" s="10">
        <f>+BC19-AX19</f>
        <v>-3480.5350205681534</v>
      </c>
      <c r="BD62" s="306" t="s">
        <v>111</v>
      </c>
      <c r="BE62" s="308">
        <v>100</v>
      </c>
      <c r="BF62" s="310">
        <f>IF(BC63=0,"-",(BC62/BC63)*BE62)</f>
        <v>-8.2625142826757028</v>
      </c>
      <c r="BG62" s="304"/>
      <c r="BH62" s="10">
        <f>+BH19-BC19</f>
        <v>6834.1509251723546</v>
      </c>
      <c r="BI62" s="306" t="s">
        <v>111</v>
      </c>
      <c r="BJ62" s="308">
        <v>100</v>
      </c>
      <c r="BK62" s="310">
        <f>IF(BH63=0,"-",(BH62/BH63)*BJ62)</f>
        <v>17.684954537832159</v>
      </c>
      <c r="BL62" s="304"/>
      <c r="BM62" s="10">
        <f>+BM19-BH19</f>
        <v>-1934.5920660021002</v>
      </c>
      <c r="BN62" s="306" t="s">
        <v>111</v>
      </c>
      <c r="BO62" s="308">
        <v>100</v>
      </c>
      <c r="BP62" s="310">
        <f>IF(BM63=0,"-",(BM62/BM63)*BO62)</f>
        <v>-4.2539055271925186</v>
      </c>
      <c r="BQ62" s="304"/>
      <c r="BR62" s="10">
        <f>+BR19-BM19</f>
        <v>-2917.911395197174</v>
      </c>
      <c r="BS62" s="306" t="s">
        <v>111</v>
      </c>
      <c r="BT62" s="308">
        <v>100</v>
      </c>
      <c r="BU62" s="310">
        <f>IF(BR63=0,"-",(BR62/BR63)*BT62)</f>
        <v>-6.7011520218129377</v>
      </c>
      <c r="BV62" s="304"/>
      <c r="BW62" s="10">
        <f>+BW19-BR19</f>
        <v>1977.0905867627152</v>
      </c>
      <c r="BX62" s="306" t="s">
        <v>111</v>
      </c>
      <c r="BY62" s="308">
        <v>100</v>
      </c>
      <c r="BZ62" s="310">
        <f>IF(BW63=0,"-",(BW62/BW63)*BY62)</f>
        <v>4.8666224753859186</v>
      </c>
      <c r="CA62" s="304"/>
      <c r="CB62" s="10">
        <f>+CB19-BW19</f>
        <v>784.74932019990956</v>
      </c>
      <c r="CC62" s="306" t="s">
        <v>111</v>
      </c>
      <c r="CD62" s="308">
        <v>100</v>
      </c>
      <c r="CE62" s="310">
        <f>IF(CB63=0,"-",(CB62/CB63)*CD62)</f>
        <v>1.8420217619416983</v>
      </c>
      <c r="CF62" s="304"/>
      <c r="CG62" s="10">
        <f>+CG19-CB19</f>
        <v>891.83256114742107</v>
      </c>
      <c r="CH62" s="306" t="s">
        <v>150</v>
      </c>
      <c r="CI62" s="308">
        <v>100</v>
      </c>
      <c r="CJ62" s="310">
        <f>IF(CG63=0,"-",(CG62/CG63)*CI62)</f>
        <v>2.055512493554196</v>
      </c>
      <c r="CK62" s="304"/>
      <c r="CL62" s="10">
        <f>+CL19-CG19</f>
        <v>-4573.2148498549868</v>
      </c>
      <c r="CM62" s="306" t="s">
        <v>111</v>
      </c>
      <c r="CN62" s="308">
        <v>100</v>
      </c>
      <c r="CO62" s="310">
        <f>IF(CL63=0,"-",(CL62/CL63)*CN62)</f>
        <v>-10.328135649737792</v>
      </c>
      <c r="CP62" s="304"/>
      <c r="CQ62" s="10">
        <f>+CQ19-CL19</f>
        <v>-41.828782677075651</v>
      </c>
      <c r="CR62" s="306" t="s">
        <v>111</v>
      </c>
      <c r="CS62" s="308">
        <v>100</v>
      </c>
      <c r="CT62" s="310">
        <f>IF(CQ63=0,"-",(CQ62/CQ63)*CS62)</f>
        <v>-0.10534631649266286</v>
      </c>
      <c r="CU62" s="304"/>
      <c r="CV62" s="10">
        <f>+CV19-CQ19</f>
        <v>11517.813912190104</v>
      </c>
      <c r="CW62" s="306" t="s">
        <v>111</v>
      </c>
      <c r="CX62" s="308">
        <v>100</v>
      </c>
      <c r="CY62" s="310">
        <f>IF(CV63=0,"-",(CV62/CV63)*CX62)</f>
        <v>29.038350371282572</v>
      </c>
    </row>
    <row r="63" spans="1:103" ht="18" customHeight="1" x14ac:dyDescent="0.2">
      <c r="A63" s="20"/>
      <c r="B63" s="321"/>
      <c r="C63" s="323"/>
      <c r="D63" s="333"/>
      <c r="E63" s="334"/>
      <c r="F63" s="334"/>
      <c r="G63" s="334"/>
      <c r="H63" s="335"/>
      <c r="I63" s="305"/>
      <c r="J63" s="12">
        <f>+E19</f>
        <v>56958.617150687198</v>
      </c>
      <c r="K63" s="307"/>
      <c r="L63" s="309"/>
      <c r="M63" s="311"/>
      <c r="N63" s="305"/>
      <c r="O63" s="12">
        <f>+J19</f>
        <v>68914.023745993094</v>
      </c>
      <c r="P63" s="307"/>
      <c r="Q63" s="309"/>
      <c r="R63" s="311"/>
      <c r="S63" s="305"/>
      <c r="T63" s="12">
        <f>+O19</f>
        <v>61988.426223479182</v>
      </c>
      <c r="U63" s="307"/>
      <c r="V63" s="309"/>
      <c r="W63" s="311"/>
      <c r="X63" s="305"/>
      <c r="Y63" s="12">
        <f>+T19</f>
        <v>58077.653488866221</v>
      </c>
      <c r="Z63" s="307"/>
      <c r="AA63" s="309"/>
      <c r="AB63" s="311"/>
      <c r="AC63" s="305"/>
      <c r="AD63" s="12">
        <f>+Y19</f>
        <v>59044.678348603105</v>
      </c>
      <c r="AE63" s="307"/>
      <c r="AF63" s="309"/>
      <c r="AG63" s="311"/>
      <c r="AH63" s="305"/>
      <c r="AI63" s="12">
        <f>+AD19</f>
        <v>56694.50834566624</v>
      </c>
      <c r="AJ63" s="307"/>
      <c r="AK63" s="309"/>
      <c r="AL63" s="311"/>
      <c r="AM63" s="305"/>
      <c r="AN63" s="12">
        <f>+AI19</f>
        <v>57753.49307085391</v>
      </c>
      <c r="AO63" s="307"/>
      <c r="AP63" s="309"/>
      <c r="AQ63" s="311"/>
      <c r="AR63" s="305"/>
      <c r="AS63" s="12">
        <f>+AN19</f>
        <v>48579.5381540362</v>
      </c>
      <c r="AT63" s="307"/>
      <c r="AU63" s="309"/>
      <c r="AV63" s="311"/>
      <c r="AW63" s="305"/>
      <c r="AX63" s="12">
        <f>+AS19</f>
        <v>43761.212286516682</v>
      </c>
      <c r="AY63" s="307"/>
      <c r="AZ63" s="309"/>
      <c r="BA63" s="311"/>
      <c r="BB63" s="305"/>
      <c r="BC63" s="12">
        <f>+AX19</f>
        <v>42124.405495623905</v>
      </c>
      <c r="BD63" s="307"/>
      <c r="BE63" s="309"/>
      <c r="BF63" s="311"/>
      <c r="BG63" s="305"/>
      <c r="BH63" s="12">
        <f>+BC19</f>
        <v>38643.870475055752</v>
      </c>
      <c r="BI63" s="307"/>
      <c r="BJ63" s="309"/>
      <c r="BK63" s="311"/>
      <c r="BL63" s="305"/>
      <c r="BM63" s="12">
        <f>+BH19</f>
        <v>45478.021400228106</v>
      </c>
      <c r="BN63" s="307"/>
      <c r="BO63" s="309"/>
      <c r="BP63" s="311"/>
      <c r="BQ63" s="305"/>
      <c r="BR63" s="12">
        <f>+BM19</f>
        <v>43543.429334226006</v>
      </c>
      <c r="BS63" s="307"/>
      <c r="BT63" s="309"/>
      <c r="BU63" s="311"/>
      <c r="BV63" s="305"/>
      <c r="BW63" s="12">
        <f>+BR19</f>
        <v>40625.517939028832</v>
      </c>
      <c r="BX63" s="307"/>
      <c r="BY63" s="309"/>
      <c r="BZ63" s="311"/>
      <c r="CA63" s="305"/>
      <c r="CB63" s="12">
        <f>+BW19</f>
        <v>42602.608525791547</v>
      </c>
      <c r="CC63" s="307"/>
      <c r="CD63" s="309"/>
      <c r="CE63" s="311"/>
      <c r="CF63" s="305"/>
      <c r="CG63" s="12">
        <f>+CB19</f>
        <v>43387.357845991457</v>
      </c>
      <c r="CH63" s="307"/>
      <c r="CI63" s="309"/>
      <c r="CJ63" s="311"/>
      <c r="CK63" s="305"/>
      <c r="CL63" s="12">
        <f>+CG19</f>
        <v>44279.190407138878</v>
      </c>
      <c r="CM63" s="307"/>
      <c r="CN63" s="309"/>
      <c r="CO63" s="311"/>
      <c r="CP63" s="305"/>
      <c r="CQ63" s="12">
        <f>+CL19</f>
        <v>39705.975557283891</v>
      </c>
      <c r="CR63" s="307"/>
      <c r="CS63" s="309"/>
      <c r="CT63" s="311"/>
      <c r="CU63" s="305"/>
      <c r="CV63" s="12">
        <f>+CQ19</f>
        <v>39664.146774606816</v>
      </c>
      <c r="CW63" s="307"/>
      <c r="CX63" s="309"/>
      <c r="CY63" s="311"/>
    </row>
    <row r="64" spans="1:103" ht="18" customHeight="1" x14ac:dyDescent="0.2">
      <c r="A64" s="20"/>
      <c r="B64" s="320" t="s">
        <v>166</v>
      </c>
      <c r="C64" s="322" t="s">
        <v>167</v>
      </c>
      <c r="D64" s="330"/>
      <c r="E64" s="331"/>
      <c r="F64" s="331"/>
      <c r="G64" s="331"/>
      <c r="H64" s="332"/>
      <c r="I64" s="304"/>
      <c r="J64" s="237">
        <f>+BS!L5-BS!K5</f>
        <v>1.3748582197733104</v>
      </c>
      <c r="K64" s="306" t="s">
        <v>111</v>
      </c>
      <c r="L64" s="308">
        <v>100</v>
      </c>
      <c r="M64" s="310">
        <f>IF(J65=0,"-",(J64/J65)*L64)</f>
        <v>24.915806189383158</v>
      </c>
      <c r="N64" s="304"/>
      <c r="O64" s="237">
        <f>+BS!M5-BS!L5</f>
        <v>-0.37639693939224639</v>
      </c>
      <c r="P64" s="306" t="s">
        <v>111</v>
      </c>
      <c r="Q64" s="308">
        <v>100</v>
      </c>
      <c r="R64" s="310">
        <f>IF(O65=0,"-",(O64/O65)*Q64)</f>
        <v>-5.4606673055955177</v>
      </c>
      <c r="S64" s="304"/>
      <c r="T64" s="237">
        <f>+BS!N5-BS!M5</f>
        <v>0.53739826918064715</v>
      </c>
      <c r="U64" s="306" t="s">
        <v>111</v>
      </c>
      <c r="V64" s="308">
        <v>100</v>
      </c>
      <c r="W64" s="310">
        <f>IF(T65=0,"-",(T64/T65)*V64)</f>
        <v>8.2467601783236386</v>
      </c>
      <c r="X64" s="304"/>
      <c r="Y64" s="237">
        <f>+BS!O5-BS!N5</f>
        <v>0.47053411096452447</v>
      </c>
      <c r="Z64" s="306" t="s">
        <v>111</v>
      </c>
      <c r="AA64" s="308">
        <v>100</v>
      </c>
      <c r="AB64" s="310">
        <f>IF(Y65=0,"-",(Y64/Y65)*AA64)</f>
        <v>6.6705755564330111</v>
      </c>
      <c r="AC64" s="304"/>
      <c r="AD64" s="237">
        <f>+BS!P5-BS!O5</f>
        <v>-1.0688405362446405</v>
      </c>
      <c r="AE64" s="306" t="s">
        <v>111</v>
      </c>
      <c r="AF64" s="308">
        <v>100</v>
      </c>
      <c r="AG64" s="310">
        <f>IF(AD65=0,"-",(AD64/AD65)*AF64)</f>
        <v>-14.204974971646351</v>
      </c>
      <c r="AH64" s="304"/>
      <c r="AI64" s="237">
        <f>+BS!Q5-BS!P5</f>
        <v>3.5724180070273448E-2</v>
      </c>
      <c r="AJ64" s="306" t="s">
        <v>168</v>
      </c>
      <c r="AK64" s="308">
        <v>100</v>
      </c>
      <c r="AL64" s="310">
        <f>IF(AI65=0,"-",(AI64/AI65)*AK64)</f>
        <v>0.5533854308237659</v>
      </c>
      <c r="AM64" s="304"/>
      <c r="AN64" s="237">
        <f>+BS!R5-BS!Q5</f>
        <v>-1.6174184676415573</v>
      </c>
      <c r="AO64" s="306" t="s">
        <v>168</v>
      </c>
      <c r="AP64" s="308">
        <v>100</v>
      </c>
      <c r="AQ64" s="310">
        <f>IF(AN65=0,"-",(AN64/AN65)*AP64)</f>
        <v>-24.916736066159196</v>
      </c>
      <c r="AR64" s="304"/>
      <c r="AS64" s="237">
        <f>+BS!S5-BS!R5</f>
        <v>-0.41052251717843902</v>
      </c>
      <c r="AT64" s="306" t="s">
        <v>111</v>
      </c>
      <c r="AU64" s="308">
        <v>100</v>
      </c>
      <c r="AV64" s="310">
        <f>IF(AS65=0,"-",(AS64/AS65)*AU64)</f>
        <v>-8.4229184130117449</v>
      </c>
      <c r="AW64" s="304"/>
      <c r="AX64" s="237">
        <f>+BS!T5-BS!S5</f>
        <v>0.25456836336765676</v>
      </c>
      <c r="AY64" s="306" t="s">
        <v>111</v>
      </c>
      <c r="AZ64" s="308">
        <v>100</v>
      </c>
      <c r="BA64" s="310">
        <f>IF(AX65=0,"-",(AX64/AX65)*AZ64)</f>
        <v>5.7035235899105512</v>
      </c>
      <c r="BB64" s="304"/>
      <c r="BC64" s="237">
        <f>+BS!U5-BS!T5</f>
        <v>-0.24718077462762178</v>
      </c>
      <c r="BD64" s="306" t="s">
        <v>111</v>
      </c>
      <c r="BE64" s="308">
        <v>100</v>
      </c>
      <c r="BF64" s="310">
        <f>IF(BC65=0,"-",(BC64/BC65)*BE64)</f>
        <v>-5.2391886427938426</v>
      </c>
      <c r="BG64" s="304"/>
      <c r="BH64" s="237">
        <f>+BS!V5-BS!U5</f>
        <v>-9.5397893100527931E-2</v>
      </c>
      <c r="BI64" s="306" t="s">
        <v>111</v>
      </c>
      <c r="BJ64" s="308">
        <v>100</v>
      </c>
      <c r="BK64" s="310">
        <f>IF(BH65=0,"-",(BH64/BH65)*BJ64)</f>
        <v>-2.1338277549473688</v>
      </c>
      <c r="BL64" s="304"/>
      <c r="BM64" s="237">
        <f>+BS!W5-BS!V5</f>
        <v>0.25958152129598577</v>
      </c>
      <c r="BN64" s="306" t="s">
        <v>111</v>
      </c>
      <c r="BO64" s="308">
        <v>100</v>
      </c>
      <c r="BP64" s="310">
        <f>IF(BM65=0,"-",(BM64/BM65)*BO64)</f>
        <v>5.9328278574437396</v>
      </c>
      <c r="BQ64" s="304"/>
      <c r="BR64" s="237">
        <f>+BS!X5-BS!W5</f>
        <v>-0.3267527204664562</v>
      </c>
      <c r="BS64" s="306" t="s">
        <v>111</v>
      </c>
      <c r="BT64" s="308">
        <v>100</v>
      </c>
      <c r="BU64" s="310">
        <f>IF(BR65=0,"-",(BR64/BR65)*BT64)</f>
        <v>-7.0497971410986491</v>
      </c>
      <c r="BV64" s="304"/>
      <c r="BW64" s="237">
        <f>+BS!Y5-BS!X5</f>
        <v>0.44932307888695711</v>
      </c>
      <c r="BX64" s="306" t="s">
        <v>111</v>
      </c>
      <c r="BY64" s="308">
        <v>100</v>
      </c>
      <c r="BZ64" s="310">
        <f>IF(BW65=0,"-",(BW64/BW65)*BY64)</f>
        <v>10.42955532880387</v>
      </c>
      <c r="CA64" s="304"/>
      <c r="CB64" s="237">
        <f>+BS!Z5-BS!Y5</f>
        <v>-0.13367645466344946</v>
      </c>
      <c r="CC64" s="306" t="s">
        <v>111</v>
      </c>
      <c r="CD64" s="308">
        <v>100</v>
      </c>
      <c r="CE64" s="310">
        <f>IF(CB65=0,"-",(CB64/CB65)*CD64)</f>
        <v>-2.8098081098173191</v>
      </c>
      <c r="CF64" s="304"/>
      <c r="CG64" s="237">
        <f>+BS!AA5-BS!Z5</f>
        <v>0.20581040894500902</v>
      </c>
      <c r="CH64" s="306" t="s">
        <v>169</v>
      </c>
      <c r="CI64" s="308">
        <v>100</v>
      </c>
      <c r="CJ64" s="310">
        <f>IF(CG65=0,"-",(CG64/CG65)*CI64)</f>
        <v>4.4510926973602167</v>
      </c>
      <c r="CK64" s="304"/>
      <c r="CL64" s="237">
        <f>+BS!AB5-BS!AA5</f>
        <v>-0.76707551109761951</v>
      </c>
      <c r="CM64" s="306" t="s">
        <v>111</v>
      </c>
      <c r="CN64" s="308">
        <v>100</v>
      </c>
      <c r="CO64" s="310">
        <f>IF(CL65=0,"-",(CL64/CL65)*CN64)</f>
        <v>-15.88270369142235</v>
      </c>
      <c r="CP64" s="304"/>
      <c r="CQ64" s="237">
        <f>+BS!AC5-BS!AB5</f>
        <v>-8.2440522350241796E-2</v>
      </c>
      <c r="CR64" s="306" t="s">
        <v>111</v>
      </c>
      <c r="CS64" s="308">
        <v>100</v>
      </c>
      <c r="CT64" s="310">
        <f>IF(CQ65=0,"-",(CQ64/CQ65)*CS64)</f>
        <v>-2.0292789262444169</v>
      </c>
      <c r="CU64" s="304"/>
      <c r="CV64" s="237">
        <f>+BS!AD5-BS!AC5</f>
        <v>0.30250305619029438</v>
      </c>
      <c r="CW64" s="306" t="s">
        <v>111</v>
      </c>
      <c r="CX64" s="308">
        <v>100</v>
      </c>
      <c r="CY64" s="310">
        <f>IF(CV65=0,"-",(CV64/CV65)*CX64)</f>
        <v>7.600365407840548</v>
      </c>
    </row>
    <row r="65" spans="1:103" ht="18" customHeight="1" x14ac:dyDescent="0.2">
      <c r="A65" s="20"/>
      <c r="B65" s="321"/>
      <c r="C65" s="323"/>
      <c r="D65" s="333"/>
      <c r="E65" s="334"/>
      <c r="F65" s="334"/>
      <c r="G65" s="334"/>
      <c r="H65" s="335"/>
      <c r="I65" s="305"/>
      <c r="J65" s="238">
        <f>+BS!K5</f>
        <v>5.5180161915015598</v>
      </c>
      <c r="K65" s="307"/>
      <c r="L65" s="309"/>
      <c r="M65" s="311"/>
      <c r="N65" s="305"/>
      <c r="O65" s="238">
        <f>+BS!L5</f>
        <v>6.8928744112748701</v>
      </c>
      <c r="P65" s="307"/>
      <c r="Q65" s="309"/>
      <c r="R65" s="311"/>
      <c r="S65" s="305"/>
      <c r="T65" s="238">
        <f>+BS!M5</f>
        <v>6.5164774718826237</v>
      </c>
      <c r="U65" s="307"/>
      <c r="V65" s="309"/>
      <c r="W65" s="311"/>
      <c r="X65" s="305"/>
      <c r="Y65" s="238">
        <f>+BS!N5</f>
        <v>7.0538757410632709</v>
      </c>
      <c r="Z65" s="307"/>
      <c r="AA65" s="309"/>
      <c r="AB65" s="311"/>
      <c r="AC65" s="305"/>
      <c r="AD65" s="238">
        <f>+BS!O5</f>
        <v>7.5244098520277953</v>
      </c>
      <c r="AE65" s="307"/>
      <c r="AF65" s="309"/>
      <c r="AG65" s="311"/>
      <c r="AH65" s="305"/>
      <c r="AI65" s="238">
        <f>+BS!P5</f>
        <v>6.4555693157831548</v>
      </c>
      <c r="AJ65" s="307"/>
      <c r="AK65" s="309"/>
      <c r="AL65" s="311"/>
      <c r="AM65" s="305"/>
      <c r="AN65" s="238">
        <f>+BS!Q5</f>
        <v>6.4912934958534283</v>
      </c>
      <c r="AO65" s="307"/>
      <c r="AP65" s="309"/>
      <c r="AQ65" s="311"/>
      <c r="AR65" s="305"/>
      <c r="AS65" s="238">
        <f>+BS!R5</f>
        <v>4.873875028211871</v>
      </c>
      <c r="AT65" s="307"/>
      <c r="AU65" s="309"/>
      <c r="AV65" s="311"/>
      <c r="AW65" s="305"/>
      <c r="AX65" s="238">
        <f>+BS!S5</f>
        <v>4.463352511033432</v>
      </c>
      <c r="AY65" s="307"/>
      <c r="AZ65" s="309"/>
      <c r="BA65" s="311"/>
      <c r="BB65" s="305"/>
      <c r="BC65" s="238">
        <f>+BS!T5</f>
        <v>4.7179208744010888</v>
      </c>
      <c r="BD65" s="307"/>
      <c r="BE65" s="309"/>
      <c r="BF65" s="311"/>
      <c r="BG65" s="305"/>
      <c r="BH65" s="238">
        <f>+BS!U5</f>
        <v>4.470740099773467</v>
      </c>
      <c r="BI65" s="307"/>
      <c r="BJ65" s="309"/>
      <c r="BK65" s="311"/>
      <c r="BL65" s="305"/>
      <c r="BM65" s="238">
        <f>+BS!V5</f>
        <v>4.375342206672939</v>
      </c>
      <c r="BN65" s="307"/>
      <c r="BO65" s="309"/>
      <c r="BP65" s="311"/>
      <c r="BQ65" s="305"/>
      <c r="BR65" s="238">
        <f>+BS!W5</f>
        <v>4.6349237279689248</v>
      </c>
      <c r="BS65" s="307"/>
      <c r="BT65" s="309"/>
      <c r="BU65" s="311"/>
      <c r="BV65" s="305"/>
      <c r="BW65" s="238">
        <f>+BS!X5</f>
        <v>4.3081710075024686</v>
      </c>
      <c r="BX65" s="307"/>
      <c r="BY65" s="309"/>
      <c r="BZ65" s="311"/>
      <c r="CA65" s="305"/>
      <c r="CB65" s="238">
        <f>+BS!Y5</f>
        <v>4.7574940863894257</v>
      </c>
      <c r="CC65" s="307"/>
      <c r="CD65" s="309"/>
      <c r="CE65" s="311"/>
      <c r="CF65" s="305"/>
      <c r="CG65" s="238">
        <f>+BS!Z5</f>
        <v>4.6238176317259763</v>
      </c>
      <c r="CH65" s="307"/>
      <c r="CI65" s="309"/>
      <c r="CJ65" s="311"/>
      <c r="CK65" s="305"/>
      <c r="CL65" s="238">
        <f>+BS!AA5</f>
        <v>4.8296280406709853</v>
      </c>
      <c r="CM65" s="307"/>
      <c r="CN65" s="309"/>
      <c r="CO65" s="311"/>
      <c r="CP65" s="305"/>
      <c r="CQ65" s="238">
        <f>+BS!AB5</f>
        <v>4.0625525295733658</v>
      </c>
      <c r="CR65" s="307"/>
      <c r="CS65" s="309"/>
      <c r="CT65" s="311"/>
      <c r="CU65" s="305"/>
      <c r="CV65" s="238">
        <f>+BS!AC5</f>
        <v>3.980112007223124</v>
      </c>
      <c r="CW65" s="307"/>
      <c r="CX65" s="309"/>
      <c r="CY65" s="311"/>
    </row>
    <row r="66" spans="1:103" ht="18" customHeight="1" x14ac:dyDescent="0.2">
      <c r="A66" s="20"/>
      <c r="B66" s="320" t="s">
        <v>303</v>
      </c>
      <c r="C66" s="322" t="s">
        <v>149</v>
      </c>
      <c r="D66" s="330"/>
      <c r="E66" s="331"/>
      <c r="F66" s="331"/>
      <c r="G66" s="331"/>
      <c r="H66" s="332"/>
      <c r="I66" s="304"/>
      <c r="J66" s="10">
        <f>+J7-E7</f>
        <v>155135.33306002954</v>
      </c>
      <c r="K66" s="306" t="s">
        <v>111</v>
      </c>
      <c r="L66" s="308">
        <v>100</v>
      </c>
      <c r="M66" s="310">
        <f>IF(J67=0,"-",(J66/J67)*L66)</f>
        <v>28.254351529306689</v>
      </c>
      <c r="N66" s="304"/>
      <c r="O66" s="10">
        <f>+O7-J7</f>
        <v>-208660.13168831752</v>
      </c>
      <c r="P66" s="306" t="s">
        <v>111</v>
      </c>
      <c r="Q66" s="308">
        <v>100</v>
      </c>
      <c r="R66" s="310">
        <f>IF(O67=0,"-",(O66/O67)*Q66)</f>
        <v>-29.63070534174107</v>
      </c>
      <c r="S66" s="304"/>
      <c r="T66" s="10">
        <f>+T7-O7</f>
        <v>30263.366162876831</v>
      </c>
      <c r="U66" s="306" t="s">
        <v>111</v>
      </c>
      <c r="V66" s="308">
        <v>100</v>
      </c>
      <c r="W66" s="310">
        <f>IF(T67=0,"-",(T66/T67)*V66)</f>
        <v>6.107121315504112</v>
      </c>
      <c r="X66" s="304"/>
      <c r="Y66" s="10">
        <f>+Y7-T7</f>
        <v>-60905.814303635678</v>
      </c>
      <c r="Z66" s="306" t="s">
        <v>111</v>
      </c>
      <c r="AA66" s="308">
        <v>100</v>
      </c>
      <c r="AB66" s="310">
        <f>IF(Y67=0,"-",(Y66/Y67)*AA66)</f>
        <v>-11.583332858704994</v>
      </c>
      <c r="AC66" s="304"/>
      <c r="AD66" s="10">
        <f>+AD7-Y7</f>
        <v>32632.801179540053</v>
      </c>
      <c r="AE66" s="306" t="s">
        <v>111</v>
      </c>
      <c r="AF66" s="308">
        <v>100</v>
      </c>
      <c r="AG66" s="310">
        <f>IF(AD67=0,"-",(AD66/AD67)*AF66)</f>
        <v>7.0193192802471316</v>
      </c>
      <c r="AH66" s="304"/>
      <c r="AI66" s="10">
        <f>+AI7-AD7</f>
        <v>81049.518368435092</v>
      </c>
      <c r="AJ66" s="306" t="s">
        <v>150</v>
      </c>
      <c r="AK66" s="308">
        <v>100</v>
      </c>
      <c r="AL66" s="310">
        <f>IF(AI67=0,"-",(AI66/AI67)*AK66)</f>
        <v>16.290293026984816</v>
      </c>
      <c r="AM66" s="304"/>
      <c r="AN66" s="10">
        <f>+AN7-AI7</f>
        <v>-155046.33372475574</v>
      </c>
      <c r="AO66" s="306" t="s">
        <v>150</v>
      </c>
      <c r="AP66" s="308">
        <v>100</v>
      </c>
      <c r="AQ66" s="310">
        <f>IF(AN67=0,"-",(AN66/AN67)*AP66)</f>
        <v>-26.797636658311923</v>
      </c>
      <c r="AR66" s="304"/>
      <c r="AS66" s="10">
        <f>+AS7-AN7</f>
        <v>-59277.328572748229</v>
      </c>
      <c r="AT66" s="306" t="s">
        <v>111</v>
      </c>
      <c r="AU66" s="308">
        <v>100</v>
      </c>
      <c r="AV66" s="310">
        <f>IF(AS67=0,"-",(AS66/AS67)*AU66)</f>
        <v>-13.99582533225778</v>
      </c>
      <c r="AW66" s="304"/>
      <c r="AX66" s="10">
        <f>+AX7-AS7</f>
        <v>-47169.938754623639</v>
      </c>
      <c r="AY66" s="306" t="s">
        <v>111</v>
      </c>
      <c r="AZ66" s="308">
        <v>100</v>
      </c>
      <c r="BA66" s="310">
        <f>IF(AX67=0,"-",(AX66/AX67)*AZ66)</f>
        <v>-12.949579626539665</v>
      </c>
      <c r="BB66" s="304"/>
      <c r="BC66" s="10">
        <f>+BC7-AX7</f>
        <v>54306.147269859444</v>
      </c>
      <c r="BD66" s="306" t="s">
        <v>111</v>
      </c>
      <c r="BE66" s="308">
        <v>100</v>
      </c>
      <c r="BF66" s="310">
        <f>IF(BC67=0,"-",(BC66/BC67)*BE66)</f>
        <v>17.126494459572914</v>
      </c>
      <c r="BG66" s="304"/>
      <c r="BH66" s="10">
        <f>+BH7-BC7</f>
        <v>140590.225086622</v>
      </c>
      <c r="BI66" s="306" t="s">
        <v>111</v>
      </c>
      <c r="BJ66" s="308">
        <v>100</v>
      </c>
      <c r="BK66" s="310">
        <f>IF(BH67=0,"-",(BH66/BH67)*BJ66)</f>
        <v>37.854670158139022</v>
      </c>
      <c r="BL66" s="304"/>
      <c r="BM66" s="10">
        <f>+BM7-BH7</f>
        <v>-69548.220275841653</v>
      </c>
      <c r="BN66" s="306" t="s">
        <v>111</v>
      </c>
      <c r="BO66" s="308">
        <v>100</v>
      </c>
      <c r="BP66" s="310">
        <f>IF(BM67=0,"-",(BM66/BM67)*BO66)</f>
        <v>-13.584037682039597</v>
      </c>
      <c r="BQ66" s="304"/>
      <c r="BR66" s="10">
        <f>+BR7-BM7</f>
        <v>-56862.871370419918</v>
      </c>
      <c r="BS66" s="306" t="s">
        <v>111</v>
      </c>
      <c r="BT66" s="308">
        <v>100</v>
      </c>
      <c r="BU66" s="310">
        <f>IF(BR67=0,"-",(BR66/BR67)*BT66)</f>
        <v>-12.852205832792919</v>
      </c>
      <c r="BV66" s="304"/>
      <c r="BW66" s="10">
        <f>+BW7-BR7</f>
        <v>101964.41484603338</v>
      </c>
      <c r="BX66" s="306" t="s">
        <v>111</v>
      </c>
      <c r="BY66" s="308">
        <v>100</v>
      </c>
      <c r="BZ66" s="310">
        <f>IF(BW67=0,"-",(BW66/BW67)*BY66)</f>
        <v>26.444850633482801</v>
      </c>
      <c r="CA66" s="304"/>
      <c r="CB66" s="10">
        <f>+CB7-BW7</f>
        <v>-37278.408573024382</v>
      </c>
      <c r="CC66" s="306" t="s">
        <v>111</v>
      </c>
      <c r="CD66" s="308">
        <v>100</v>
      </c>
      <c r="CE66" s="310">
        <f>IF(CB67=0,"-",(CB66/CB67)*CD66)</f>
        <v>-7.6462536934722962</v>
      </c>
      <c r="CF66" s="304"/>
      <c r="CG66" s="10">
        <f>+CG7-CB7</f>
        <v>13047.542515998066</v>
      </c>
      <c r="CH66" s="306" t="s">
        <v>170</v>
      </c>
      <c r="CI66" s="308">
        <v>100</v>
      </c>
      <c r="CJ66" s="310">
        <f>IF(CG67=0,"-",(CG66/CG67)*CI66)</f>
        <v>2.897780882278806</v>
      </c>
      <c r="CK66" s="304"/>
      <c r="CL66" s="10">
        <f>+CL7-CG7</f>
        <v>42312.294896493899</v>
      </c>
      <c r="CM66" s="306" t="s">
        <v>111</v>
      </c>
      <c r="CN66" s="308">
        <v>100</v>
      </c>
      <c r="CO66" s="310">
        <f>IF(CL67=0,"-",(CL66/CL67)*CN66)</f>
        <v>9.1326622014778653</v>
      </c>
      <c r="CP66" s="304"/>
      <c r="CQ66" s="10">
        <f>+CQ7-CL7</f>
        <v>-84286.830130525108</v>
      </c>
      <c r="CR66" s="306" t="s">
        <v>111</v>
      </c>
      <c r="CS66" s="308">
        <v>100</v>
      </c>
      <c r="CT66" s="310">
        <f>IF(CQ67=0,"-",(CQ66/CQ67)*CS66)</f>
        <v>-16.670007107170619</v>
      </c>
      <c r="CU66" s="304"/>
      <c r="CV66" s="10">
        <f>+CV7-CQ7</f>
        <v>184409.37374892581</v>
      </c>
      <c r="CW66" s="306" t="s">
        <v>111</v>
      </c>
      <c r="CX66" s="308">
        <v>100</v>
      </c>
      <c r="CY66" s="310">
        <f>IF(CV67=0,"-",(CV66/CV67)*CX66)</f>
        <v>43.768101815247249</v>
      </c>
    </row>
    <row r="67" spans="1:103" ht="18" customHeight="1" x14ac:dyDescent="0.2">
      <c r="A67" s="22"/>
      <c r="B67" s="321"/>
      <c r="C67" s="323"/>
      <c r="D67" s="333"/>
      <c r="E67" s="334"/>
      <c r="F67" s="334"/>
      <c r="G67" s="334"/>
      <c r="H67" s="335"/>
      <c r="I67" s="305"/>
      <c r="J67" s="12">
        <f>+E7</f>
        <v>549067.04512087698</v>
      </c>
      <c r="K67" s="307"/>
      <c r="L67" s="309"/>
      <c r="M67" s="311"/>
      <c r="N67" s="305"/>
      <c r="O67" s="12">
        <f>+J7</f>
        <v>704202.37818090653</v>
      </c>
      <c r="P67" s="307"/>
      <c r="Q67" s="309"/>
      <c r="R67" s="311"/>
      <c r="S67" s="305"/>
      <c r="T67" s="12">
        <f>+O7</f>
        <v>495542.24649258901</v>
      </c>
      <c r="U67" s="307"/>
      <c r="V67" s="309"/>
      <c r="W67" s="311"/>
      <c r="X67" s="305"/>
      <c r="Y67" s="12">
        <f>+T7</f>
        <v>525805.61265546584</v>
      </c>
      <c r="Z67" s="307"/>
      <c r="AA67" s="309"/>
      <c r="AB67" s="311"/>
      <c r="AC67" s="305"/>
      <c r="AD67" s="12">
        <f>+Y7</f>
        <v>464899.79835183016</v>
      </c>
      <c r="AE67" s="307"/>
      <c r="AF67" s="309"/>
      <c r="AG67" s="311"/>
      <c r="AH67" s="305"/>
      <c r="AI67" s="12">
        <f>+AD7</f>
        <v>497532.59953137022</v>
      </c>
      <c r="AJ67" s="307"/>
      <c r="AK67" s="309"/>
      <c r="AL67" s="311"/>
      <c r="AM67" s="305"/>
      <c r="AN67" s="12">
        <f>+AI7</f>
        <v>578582.11789980531</v>
      </c>
      <c r="AO67" s="307"/>
      <c r="AP67" s="309"/>
      <c r="AQ67" s="311"/>
      <c r="AR67" s="305"/>
      <c r="AS67" s="12">
        <f>+AN7</f>
        <v>423535.78417504957</v>
      </c>
      <c r="AT67" s="307"/>
      <c r="AU67" s="309"/>
      <c r="AV67" s="311"/>
      <c r="AW67" s="305"/>
      <c r="AX67" s="12">
        <f>+AS7</f>
        <v>364258.45560230134</v>
      </c>
      <c r="AY67" s="307"/>
      <c r="AZ67" s="309"/>
      <c r="BA67" s="311"/>
      <c r="BB67" s="305"/>
      <c r="BC67" s="12">
        <f>+AX7</f>
        <v>317088.5168476777</v>
      </c>
      <c r="BD67" s="307"/>
      <c r="BE67" s="309"/>
      <c r="BF67" s="311"/>
      <c r="BG67" s="305"/>
      <c r="BH67" s="12">
        <f>+BC7</f>
        <v>371394.66411753715</v>
      </c>
      <c r="BI67" s="307"/>
      <c r="BJ67" s="309"/>
      <c r="BK67" s="311"/>
      <c r="BL67" s="305"/>
      <c r="BM67" s="12">
        <f>+BH7</f>
        <v>511984.88920415915</v>
      </c>
      <c r="BN67" s="307"/>
      <c r="BO67" s="309"/>
      <c r="BP67" s="311"/>
      <c r="BQ67" s="305"/>
      <c r="BR67" s="12">
        <f>+BM7</f>
        <v>442436.66892831749</v>
      </c>
      <c r="BS67" s="307"/>
      <c r="BT67" s="309"/>
      <c r="BU67" s="311"/>
      <c r="BV67" s="305"/>
      <c r="BW67" s="12">
        <f>+BR7</f>
        <v>385573.79755789757</v>
      </c>
      <c r="BX67" s="307"/>
      <c r="BY67" s="309"/>
      <c r="BZ67" s="311"/>
      <c r="CA67" s="305"/>
      <c r="CB67" s="12">
        <f>+BW7</f>
        <v>487538.21240393096</v>
      </c>
      <c r="CC67" s="307"/>
      <c r="CD67" s="309"/>
      <c r="CE67" s="311"/>
      <c r="CF67" s="305"/>
      <c r="CG67" s="12">
        <f>+CB7</f>
        <v>450259.80383090657</v>
      </c>
      <c r="CH67" s="307"/>
      <c r="CI67" s="309"/>
      <c r="CJ67" s="311"/>
      <c r="CK67" s="305"/>
      <c r="CL67" s="12">
        <f>+CG7</f>
        <v>463307.34634690464</v>
      </c>
      <c r="CM67" s="307"/>
      <c r="CN67" s="309"/>
      <c r="CO67" s="311"/>
      <c r="CP67" s="305"/>
      <c r="CQ67" s="12">
        <f>+CL7</f>
        <v>505619.64124339854</v>
      </c>
      <c r="CR67" s="307"/>
      <c r="CS67" s="309"/>
      <c r="CT67" s="311"/>
      <c r="CU67" s="305"/>
      <c r="CV67" s="12">
        <f>+CQ7</f>
        <v>421332.81111287343</v>
      </c>
      <c r="CW67" s="307"/>
      <c r="CX67" s="309"/>
      <c r="CY67" s="311"/>
    </row>
    <row r="68" spans="1:103"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c r="CU68" s="13"/>
      <c r="CV68" s="14"/>
      <c r="CW68" s="13"/>
      <c r="CX68" s="13"/>
      <c r="CY68" s="15"/>
    </row>
    <row r="69" spans="1:103" ht="18" customHeight="1" x14ac:dyDescent="0.2">
      <c r="A69" s="17"/>
      <c r="B69" s="320" t="s">
        <v>172</v>
      </c>
      <c r="C69" s="322" t="s">
        <v>149</v>
      </c>
      <c r="D69" s="304"/>
      <c r="E69" s="24">
        <f>+PL!K47</f>
        <v>82543.640850683121</v>
      </c>
      <c r="F69" s="306" t="s">
        <v>118</v>
      </c>
      <c r="G69" s="308">
        <v>100</v>
      </c>
      <c r="H69" s="310">
        <f>IF(E70=0,"-",(E69/E70)*G69)</f>
        <v>76.692401185049249</v>
      </c>
      <c r="I69" s="304"/>
      <c r="J69" s="24">
        <f>+PL!L47</f>
        <v>125422.59271861181</v>
      </c>
      <c r="K69" s="306" t="s">
        <v>111</v>
      </c>
      <c r="L69" s="308">
        <v>100</v>
      </c>
      <c r="M69" s="310">
        <f>IF(J70=0,"-",(J69/J70)*L69)</f>
        <v>81.738400863352268</v>
      </c>
      <c r="N69" s="304"/>
      <c r="O69" s="24">
        <f>+PL!M47</f>
        <v>107015.27569274588</v>
      </c>
      <c r="P69" s="306" t="s">
        <v>111</v>
      </c>
      <c r="Q69" s="308">
        <v>100</v>
      </c>
      <c r="R69" s="310">
        <f>IF(O70=0,"-",(O69/O70)*Q69)</f>
        <v>87.215485837500523</v>
      </c>
      <c r="S69" s="304"/>
      <c r="T69" s="24">
        <f>+PL!N47</f>
        <v>109503.11195975177</v>
      </c>
      <c r="U69" s="306" t="s">
        <v>111</v>
      </c>
      <c r="V69" s="308">
        <v>100</v>
      </c>
      <c r="W69" s="310">
        <f>IF(T70=0,"-",(T69/T70)*V69)</f>
        <v>81.328019095278108</v>
      </c>
      <c r="X69" s="304"/>
      <c r="Y69" s="24">
        <f>+PL!O47</f>
        <v>100082.58419085346</v>
      </c>
      <c r="Z69" s="306" t="s">
        <v>111</v>
      </c>
      <c r="AA69" s="308">
        <v>100</v>
      </c>
      <c r="AB69" s="310">
        <f>IF(Y70=0,"-",(Y69/Y70)*AA69)</f>
        <v>81.907241857791362</v>
      </c>
      <c r="AC69" s="304"/>
      <c r="AD69" s="24">
        <f>+PL!P47</f>
        <v>103701.31280092319</v>
      </c>
      <c r="AE69" s="306" t="s">
        <v>111</v>
      </c>
      <c r="AF69" s="308">
        <v>100</v>
      </c>
      <c r="AG69" s="310">
        <f>IF(AD70=0,"-",(AD69/AD70)*AF69)</f>
        <v>88.544399434202347</v>
      </c>
      <c r="AH69" s="304"/>
      <c r="AI69" s="24">
        <f>+PL!Q47</f>
        <v>115836.21682537267</v>
      </c>
      <c r="AJ69" s="306" t="s">
        <v>118</v>
      </c>
      <c r="AK69" s="308">
        <v>100</v>
      </c>
      <c r="AL69" s="310">
        <f>IF(AI70=0,"-",(AI69/AI70)*AK69)</f>
        <v>89.971927132063627</v>
      </c>
      <c r="AM69" s="304"/>
      <c r="AN69" s="24">
        <f>+PL!R47</f>
        <v>73812.68005770749</v>
      </c>
      <c r="AO69" s="306" t="s">
        <v>173</v>
      </c>
      <c r="AP69" s="308">
        <v>100</v>
      </c>
      <c r="AQ69" s="310">
        <f>IF(AN70=0,"-",(AN69/AN70)*AP69)</f>
        <v>82.628727013706055</v>
      </c>
      <c r="AR69" s="304"/>
      <c r="AS69" s="24">
        <f>+PL!S47</f>
        <v>67705.721421713301</v>
      </c>
      <c r="AT69" s="306" t="s">
        <v>111</v>
      </c>
      <c r="AU69" s="308">
        <v>100</v>
      </c>
      <c r="AV69" s="310">
        <f>IF(AS70=0,"-",(AS69/AS70)*AU69)</f>
        <v>87.459413109187338</v>
      </c>
      <c r="AW69" s="304"/>
      <c r="AX69" s="24">
        <f>+PL!T47</f>
        <v>64290.527518280389</v>
      </c>
      <c r="AY69" s="306" t="s">
        <v>111</v>
      </c>
      <c r="AZ69" s="308">
        <v>100</v>
      </c>
      <c r="BA69" s="310">
        <f>IF(AX70=0,"-",(AX69/AX70)*AZ69)</f>
        <v>87.827453483642444</v>
      </c>
      <c r="BB69" s="304"/>
      <c r="BC69" s="24">
        <f>+PL!U47</f>
        <v>63812.729567023736</v>
      </c>
      <c r="BD69" s="306" t="s">
        <v>111</v>
      </c>
      <c r="BE69" s="308">
        <v>100</v>
      </c>
      <c r="BF69" s="310">
        <f>IF(BC70=0,"-",(BC69/BC70)*BE69)</f>
        <v>89.706061508739936</v>
      </c>
      <c r="BG69" s="304"/>
      <c r="BH69" s="24">
        <f>+PL!V47</f>
        <v>71893.163624242996</v>
      </c>
      <c r="BI69" s="306" t="s">
        <v>111</v>
      </c>
      <c r="BJ69" s="308">
        <v>100</v>
      </c>
      <c r="BK69" s="310">
        <f>IF(BH70=0,"-",(BH69/BH70)*BJ69)</f>
        <v>89.300742329543525</v>
      </c>
      <c r="BL69" s="304"/>
      <c r="BM69" s="24">
        <f>+PL!W47</f>
        <v>71503.856638060795</v>
      </c>
      <c r="BN69" s="306" t="s">
        <v>111</v>
      </c>
      <c r="BO69" s="308">
        <v>100</v>
      </c>
      <c r="BP69" s="310">
        <f>IF(BM70=0,"-",(BM69/BM70)*BO69)</f>
        <v>88.485001933547082</v>
      </c>
      <c r="BQ69" s="304"/>
      <c r="BR69" s="24">
        <f>+PL!X47</f>
        <v>68021.391371885038</v>
      </c>
      <c r="BS69" s="306" t="s">
        <v>111</v>
      </c>
      <c r="BT69" s="308">
        <v>100</v>
      </c>
      <c r="BU69" s="310">
        <f>IF(BR70=0,"-",(BR69/BR70)*BT69)</f>
        <v>89.727773880208133</v>
      </c>
      <c r="BV69" s="304"/>
      <c r="BW69" s="24">
        <f>+PL!Y47</f>
        <v>74384.335756773944</v>
      </c>
      <c r="BX69" s="306" t="s">
        <v>111</v>
      </c>
      <c r="BY69" s="308">
        <v>100</v>
      </c>
      <c r="BZ69" s="310">
        <f>IF(BW70=0,"-",(BW69/BW70)*BY69)</f>
        <v>87.025916941073476</v>
      </c>
      <c r="CA69" s="304"/>
      <c r="CB69" s="24">
        <f>+PL!Z47</f>
        <v>74663.565571423242</v>
      </c>
      <c r="CC69" s="306" t="s">
        <v>111</v>
      </c>
      <c r="CD69" s="308">
        <v>100</v>
      </c>
      <c r="CE69" s="310">
        <f>IF(CB70=0,"-",(CB69/CB70)*CD69)</f>
        <v>85.864525855008608</v>
      </c>
      <c r="CF69" s="304"/>
      <c r="CG69" s="24">
        <f>+PL!AA47</f>
        <v>77500.392569393793</v>
      </c>
      <c r="CH69" s="306" t="s">
        <v>173</v>
      </c>
      <c r="CI69" s="308">
        <v>100</v>
      </c>
      <c r="CJ69" s="310">
        <f>IF(CG70=0,"-",(CG69/CG70)*CI69)</f>
        <v>87.698849060504529</v>
      </c>
      <c r="CK69" s="304"/>
      <c r="CL69" s="24">
        <f>+PL!AB47</f>
        <v>58607.422801911758</v>
      </c>
      <c r="CM69" s="306" t="s">
        <v>111</v>
      </c>
      <c r="CN69" s="308">
        <v>100</v>
      </c>
      <c r="CO69" s="310">
        <f>IF(CL70=0,"-",(CL69/CL70)*CN69)</f>
        <v>87.90546677751918</v>
      </c>
      <c r="CP69" s="304"/>
      <c r="CQ69" s="24">
        <f>+PL!AC47</f>
        <v>68834.017960199621</v>
      </c>
      <c r="CR69" s="306" t="s">
        <v>111</v>
      </c>
      <c r="CS69" s="308">
        <v>100</v>
      </c>
      <c r="CT69" s="310">
        <f>IF(CQ70=0,"-",(CQ69/CQ70)*CS69)</f>
        <v>86.358244367867655</v>
      </c>
      <c r="CU69" s="304"/>
      <c r="CV69" s="24">
        <f>+PL!AD47</f>
        <v>98303.846617431671</v>
      </c>
      <c r="CW69" s="306" t="s">
        <v>111</v>
      </c>
      <c r="CX69" s="308">
        <v>100</v>
      </c>
      <c r="CY69" s="310">
        <f>IF(CV70=0,"-",(CV69/CV70)*CX69)</f>
        <v>92.127761306959201</v>
      </c>
    </row>
    <row r="70" spans="1:103" ht="18" customHeight="1" x14ac:dyDescent="0.2">
      <c r="A70" s="17"/>
      <c r="B70" s="321"/>
      <c r="C70" s="323"/>
      <c r="D70" s="305"/>
      <c r="E70" s="25">
        <f>+E12</f>
        <v>107629.490764692</v>
      </c>
      <c r="F70" s="307"/>
      <c r="G70" s="309"/>
      <c r="H70" s="311"/>
      <c r="I70" s="305"/>
      <c r="J70" s="25">
        <f>+J12</f>
        <v>153443.90322522877</v>
      </c>
      <c r="K70" s="307"/>
      <c r="L70" s="309"/>
      <c r="M70" s="311"/>
      <c r="N70" s="305"/>
      <c r="O70" s="25">
        <f>+O12</f>
        <v>122702.14935468711</v>
      </c>
      <c r="P70" s="307"/>
      <c r="Q70" s="309"/>
      <c r="R70" s="311"/>
      <c r="S70" s="305"/>
      <c r="T70" s="25">
        <f>+T12</f>
        <v>134643.77120936109</v>
      </c>
      <c r="U70" s="307"/>
      <c r="V70" s="309"/>
      <c r="W70" s="311"/>
      <c r="X70" s="305"/>
      <c r="Y70" s="25">
        <f>+Y12</f>
        <v>122190.1530570623</v>
      </c>
      <c r="Z70" s="307"/>
      <c r="AA70" s="309"/>
      <c r="AB70" s="311"/>
      <c r="AC70" s="305"/>
      <c r="AD70" s="25">
        <f>+AD12</f>
        <v>117117.86794373595</v>
      </c>
      <c r="AE70" s="307"/>
      <c r="AF70" s="309"/>
      <c r="AG70" s="311"/>
      <c r="AH70" s="305"/>
      <c r="AI70" s="25">
        <f>+AI12</f>
        <v>128747.066465904</v>
      </c>
      <c r="AJ70" s="307"/>
      <c r="AK70" s="309"/>
      <c r="AL70" s="311"/>
      <c r="AM70" s="305"/>
      <c r="AN70" s="25">
        <f>+AN12</f>
        <v>89330.530343840102</v>
      </c>
      <c r="AO70" s="307"/>
      <c r="AP70" s="309"/>
      <c r="AQ70" s="311"/>
      <c r="AR70" s="305"/>
      <c r="AS70" s="25">
        <f>+AS12</f>
        <v>77413.875779371112</v>
      </c>
      <c r="AT70" s="307"/>
      <c r="AU70" s="309"/>
      <c r="AV70" s="311"/>
      <c r="AW70" s="305"/>
      <c r="AX70" s="25">
        <f>+AX12</f>
        <v>73200.946820408819</v>
      </c>
      <c r="AY70" s="307"/>
      <c r="AZ70" s="309"/>
      <c r="BA70" s="311"/>
      <c r="BB70" s="305"/>
      <c r="BC70" s="25">
        <f>+BC12</f>
        <v>71135.359744677393</v>
      </c>
      <c r="BD70" s="307"/>
      <c r="BE70" s="309"/>
      <c r="BF70" s="311"/>
      <c r="BG70" s="305"/>
      <c r="BH70" s="25">
        <f>+BH12</f>
        <v>80506.792831506449</v>
      </c>
      <c r="BI70" s="307"/>
      <c r="BJ70" s="309"/>
      <c r="BK70" s="311"/>
      <c r="BL70" s="305"/>
      <c r="BM70" s="25">
        <f>+BM12</f>
        <v>80809.01291244899</v>
      </c>
      <c r="BN70" s="307"/>
      <c r="BO70" s="309"/>
      <c r="BP70" s="311"/>
      <c r="BQ70" s="305"/>
      <c r="BR70" s="25">
        <f>+BR12</f>
        <v>75808.624721591332</v>
      </c>
      <c r="BS70" s="307"/>
      <c r="BT70" s="309"/>
      <c r="BU70" s="311"/>
      <c r="BV70" s="305"/>
      <c r="BW70" s="25">
        <f>+BW12</f>
        <v>85473.774217329614</v>
      </c>
      <c r="BX70" s="307"/>
      <c r="BY70" s="309"/>
      <c r="BZ70" s="311"/>
      <c r="CA70" s="305"/>
      <c r="CB70" s="25">
        <f>+CB12</f>
        <v>86955.078162896534</v>
      </c>
      <c r="CC70" s="307"/>
      <c r="CD70" s="309"/>
      <c r="CE70" s="311"/>
      <c r="CF70" s="305"/>
      <c r="CG70" s="25">
        <f>+CG12</f>
        <v>88371.048650735771</v>
      </c>
      <c r="CH70" s="307"/>
      <c r="CI70" s="309"/>
      <c r="CJ70" s="311"/>
      <c r="CK70" s="305"/>
      <c r="CL70" s="25">
        <f>+CL12</f>
        <v>66670.964787937322</v>
      </c>
      <c r="CM70" s="307"/>
      <c r="CN70" s="309"/>
      <c r="CO70" s="311"/>
      <c r="CP70" s="305"/>
      <c r="CQ70" s="25">
        <f>+CQ12</f>
        <v>79707.523542258947</v>
      </c>
      <c r="CR70" s="307"/>
      <c r="CS70" s="309"/>
      <c r="CT70" s="311"/>
      <c r="CU70" s="305"/>
      <c r="CV70" s="25">
        <f>+CV12</f>
        <v>106703.8265370353</v>
      </c>
      <c r="CW70" s="307"/>
      <c r="CX70" s="309"/>
      <c r="CY70" s="311"/>
    </row>
    <row r="71" spans="1:103" ht="18" customHeight="1" x14ac:dyDescent="0.2">
      <c r="A71" s="17"/>
      <c r="B71" s="320" t="s">
        <v>174</v>
      </c>
      <c r="C71" s="322" t="s">
        <v>175</v>
      </c>
      <c r="D71" s="304"/>
      <c r="E71" s="24">
        <f>+PL!K11+PL!K17</f>
        <v>18250.17421943818</v>
      </c>
      <c r="F71" s="306" t="s">
        <v>118</v>
      </c>
      <c r="G71" s="308">
        <v>100</v>
      </c>
      <c r="H71" s="310">
        <f>IF(E72=0,"-",(E71/E72)*G71)</f>
        <v>22.10972769235093</v>
      </c>
      <c r="I71" s="304"/>
      <c r="J71" s="24">
        <f>+PL!L11+PL!L17</f>
        <v>23577.693809208289</v>
      </c>
      <c r="K71" s="306" t="s">
        <v>111</v>
      </c>
      <c r="L71" s="308">
        <v>100</v>
      </c>
      <c r="M71" s="310">
        <f>IF(J72=0,"-",(J71/J72)*L71)</f>
        <v>18.798601829341333</v>
      </c>
      <c r="N71" s="304"/>
      <c r="O71" s="24">
        <f>+PL!M11+PL!M17</f>
        <v>22135.70033644704</v>
      </c>
      <c r="P71" s="306" t="s">
        <v>111</v>
      </c>
      <c r="Q71" s="308">
        <v>100</v>
      </c>
      <c r="R71" s="310">
        <f>IF(O72=0,"-",(O71/O72)*Q71)</f>
        <v>20.684617399857359</v>
      </c>
      <c r="S71" s="304"/>
      <c r="T71" s="24">
        <f>+PL!N11+PL!N17</f>
        <v>23946.214711327608</v>
      </c>
      <c r="U71" s="306" t="s">
        <v>111</v>
      </c>
      <c r="V71" s="308">
        <v>100</v>
      </c>
      <c r="W71" s="310">
        <f>IF(T72=0,"-",(T71/T72)*V71)</f>
        <v>21.868067749644521</v>
      </c>
      <c r="X71" s="304"/>
      <c r="Y71" s="24">
        <f>+PL!O11+PL!O17</f>
        <v>22553.008136327855</v>
      </c>
      <c r="Z71" s="306" t="s">
        <v>111</v>
      </c>
      <c r="AA71" s="308">
        <v>100</v>
      </c>
      <c r="AB71" s="310">
        <f>IF(Y72=0,"-",(Y71/Y72)*AA71)</f>
        <v>22.534398285839796</v>
      </c>
      <c r="AC71" s="304"/>
      <c r="AD71" s="24">
        <f>+PL!P11+PL!P17</f>
        <v>21280.054893148728</v>
      </c>
      <c r="AE71" s="306" t="s">
        <v>111</v>
      </c>
      <c r="AF71" s="308">
        <v>100</v>
      </c>
      <c r="AG71" s="310">
        <f>IF(AD72=0,"-",(AD71/AD72)*AF71)</f>
        <v>20.520526036155719</v>
      </c>
      <c r="AH71" s="304"/>
      <c r="AI71" s="24">
        <f>+PL!Q11+PL!Q17</f>
        <v>21396.769191150317</v>
      </c>
      <c r="AJ71" s="306" t="s">
        <v>118</v>
      </c>
      <c r="AK71" s="308">
        <v>100</v>
      </c>
      <c r="AL71" s="310">
        <f>IF(AI72=0,"-",(AI71/AI72)*AK71)</f>
        <v>18.471571135137062</v>
      </c>
      <c r="AM71" s="304"/>
      <c r="AN71" s="24">
        <f>+PL!R11+PL!R17</f>
        <v>16900.624091649559</v>
      </c>
      <c r="AO71" s="306" t="s">
        <v>112</v>
      </c>
      <c r="AP71" s="308">
        <v>100</v>
      </c>
      <c r="AQ71" s="310">
        <f>IF(AN72=0,"-",(AN71/AN72)*AP71)</f>
        <v>22.896640629274646</v>
      </c>
      <c r="AR71" s="304"/>
      <c r="AS71" s="24">
        <f>+PL!S11+PL!S17</f>
        <v>15623.503619373423</v>
      </c>
      <c r="AT71" s="306" t="s">
        <v>111</v>
      </c>
      <c r="AU71" s="308">
        <v>100</v>
      </c>
      <c r="AV71" s="310">
        <f>IF(AS72=0,"-",(AS71/AS72)*AU71)</f>
        <v>23.075603200592955</v>
      </c>
      <c r="AW71" s="304"/>
      <c r="AX71" s="24">
        <f>+PL!T11+PL!T17</f>
        <v>15231.860115620981</v>
      </c>
      <c r="AY71" s="306" t="s">
        <v>111</v>
      </c>
      <c r="AZ71" s="308">
        <v>100</v>
      </c>
      <c r="BA71" s="310">
        <f>IF(AX72=0,"-",(AX71/AX72)*AZ71)</f>
        <v>23.692230727598165</v>
      </c>
      <c r="BB71" s="304"/>
      <c r="BC71" s="24">
        <f>+PL!U11+PL!U17</f>
        <v>13149.341727988605</v>
      </c>
      <c r="BD71" s="306" t="s">
        <v>111</v>
      </c>
      <c r="BE71" s="308">
        <v>100</v>
      </c>
      <c r="BF71" s="310">
        <f>IF(BC72=0,"-",(BC71/BC72)*BE71)</f>
        <v>20.606142092977858</v>
      </c>
      <c r="BG71" s="304"/>
      <c r="BH71" s="24">
        <f>+PL!V11+PL!V17</f>
        <v>13595.580462722724</v>
      </c>
      <c r="BI71" s="306" t="s">
        <v>111</v>
      </c>
      <c r="BJ71" s="308">
        <v>100</v>
      </c>
      <c r="BK71" s="310">
        <f>IF(BH72=0,"-",(BH71/BH72)*BJ71)</f>
        <v>18.910811233431627</v>
      </c>
      <c r="BL71" s="304"/>
      <c r="BM71" s="24">
        <f>+PL!W11+PL!W17</f>
        <v>15171.861071209934</v>
      </c>
      <c r="BN71" s="306" t="s">
        <v>111</v>
      </c>
      <c r="BO71" s="308">
        <v>100</v>
      </c>
      <c r="BP71" s="310">
        <f>IF(BM72=0,"-",(BM71/BM72)*BO71)</f>
        <v>21.218241622975764</v>
      </c>
      <c r="BQ71" s="304"/>
      <c r="BR71" s="24">
        <f>+PL!X11+PL!X17</f>
        <v>13211.291222528978</v>
      </c>
      <c r="BS71" s="306" t="s">
        <v>111</v>
      </c>
      <c r="BT71" s="308">
        <v>100</v>
      </c>
      <c r="BU71" s="310">
        <f>IF(BR72=0,"-",(BR71/BR72)*BT71)</f>
        <v>19.422259609922563</v>
      </c>
      <c r="BV71" s="304"/>
      <c r="BW71" s="24">
        <f>+PL!Y11+PL!Y17</f>
        <v>15603.522888914489</v>
      </c>
      <c r="BX71" s="306" t="s">
        <v>111</v>
      </c>
      <c r="BY71" s="308">
        <v>100</v>
      </c>
      <c r="BZ71" s="310">
        <f>IF(BW72=0,"-",(BW71/BW72)*BY71)</f>
        <v>20.97689349533988</v>
      </c>
      <c r="CA71" s="304"/>
      <c r="CB71" s="24">
        <f>+PL!Z11+PL!Z17</f>
        <v>16452.87701190151</v>
      </c>
      <c r="CC71" s="306" t="s">
        <v>111</v>
      </c>
      <c r="CD71" s="308">
        <v>100</v>
      </c>
      <c r="CE71" s="310">
        <f>IF(CB72=0,"-",(CB71/CB72)*CD71)</f>
        <v>22.036018352435459</v>
      </c>
      <c r="CF71" s="304"/>
      <c r="CG71" s="24">
        <f>+PL!AA11+PL!AA17</f>
        <v>15915.289313140845</v>
      </c>
      <c r="CH71" s="306" t="s">
        <v>112</v>
      </c>
      <c r="CI71" s="308">
        <v>100</v>
      </c>
      <c r="CJ71" s="310">
        <f>IF(CG72=0,"-",(CG71/CG72)*CI71)</f>
        <v>20.535753156205381</v>
      </c>
      <c r="CK71" s="304"/>
      <c r="CL71" s="24">
        <f>+PL!AB11+PL!AB17</f>
        <v>13659.659470376457</v>
      </c>
      <c r="CM71" s="306" t="s">
        <v>111</v>
      </c>
      <c r="CN71" s="308">
        <v>100</v>
      </c>
      <c r="CO71" s="310">
        <f>IF(CL72=0,"-",(CL71/CL72)*CN71)</f>
        <v>23.307046816484281</v>
      </c>
      <c r="CP71" s="304"/>
      <c r="CQ71" s="24">
        <f>+PL!AC11+PL!AC17</f>
        <v>12414.586189436182</v>
      </c>
      <c r="CR71" s="306" t="s">
        <v>111</v>
      </c>
      <c r="CS71" s="308">
        <v>100</v>
      </c>
      <c r="CT71" s="310">
        <f>IF(CQ72=0,"-",(CQ71/CQ72)*CS71)</f>
        <v>18.03553905078503</v>
      </c>
      <c r="CU71" s="304"/>
      <c r="CV71" s="24">
        <f>+PL!AD11+PL!AD17</f>
        <v>14845.633884889845</v>
      </c>
      <c r="CW71" s="306" t="s">
        <v>111</v>
      </c>
      <c r="CX71" s="308">
        <v>100</v>
      </c>
      <c r="CY71" s="310">
        <f>IF(CV72=0,"-",(CV71/CV72)*CX71)</f>
        <v>15.101783293042931</v>
      </c>
    </row>
    <row r="72" spans="1:103" ht="18" customHeight="1" x14ac:dyDescent="0.2">
      <c r="A72" s="17"/>
      <c r="B72" s="321"/>
      <c r="C72" s="323"/>
      <c r="D72" s="305"/>
      <c r="E72" s="25">
        <f>+E69</f>
        <v>82543.640850683121</v>
      </c>
      <c r="F72" s="307"/>
      <c r="G72" s="309"/>
      <c r="H72" s="311"/>
      <c r="I72" s="305"/>
      <c r="J72" s="25">
        <f>+J69</f>
        <v>125422.59271861181</v>
      </c>
      <c r="K72" s="307"/>
      <c r="L72" s="309"/>
      <c r="M72" s="311"/>
      <c r="N72" s="305"/>
      <c r="O72" s="25">
        <f>+O69</f>
        <v>107015.27569274588</v>
      </c>
      <c r="P72" s="307"/>
      <c r="Q72" s="309"/>
      <c r="R72" s="311"/>
      <c r="S72" s="305"/>
      <c r="T72" s="25">
        <f>+T69</f>
        <v>109503.11195975177</v>
      </c>
      <c r="U72" s="307"/>
      <c r="V72" s="309"/>
      <c r="W72" s="311"/>
      <c r="X72" s="305"/>
      <c r="Y72" s="25">
        <f>+Y69</f>
        <v>100082.58419085346</v>
      </c>
      <c r="Z72" s="307"/>
      <c r="AA72" s="309"/>
      <c r="AB72" s="311"/>
      <c r="AC72" s="305"/>
      <c r="AD72" s="25">
        <f>+AD69</f>
        <v>103701.31280092319</v>
      </c>
      <c r="AE72" s="307"/>
      <c r="AF72" s="309"/>
      <c r="AG72" s="311"/>
      <c r="AH72" s="305"/>
      <c r="AI72" s="25">
        <f>+AI69</f>
        <v>115836.21682537267</v>
      </c>
      <c r="AJ72" s="307"/>
      <c r="AK72" s="309"/>
      <c r="AL72" s="311"/>
      <c r="AM72" s="305"/>
      <c r="AN72" s="25">
        <f>+AN69</f>
        <v>73812.68005770749</v>
      </c>
      <c r="AO72" s="307"/>
      <c r="AP72" s="309"/>
      <c r="AQ72" s="311"/>
      <c r="AR72" s="305"/>
      <c r="AS72" s="25">
        <f>+AS69</f>
        <v>67705.721421713301</v>
      </c>
      <c r="AT72" s="307"/>
      <c r="AU72" s="309"/>
      <c r="AV72" s="311"/>
      <c r="AW72" s="305"/>
      <c r="AX72" s="25">
        <f>+AX69</f>
        <v>64290.527518280389</v>
      </c>
      <c r="AY72" s="307"/>
      <c r="AZ72" s="309"/>
      <c r="BA72" s="311"/>
      <c r="BB72" s="305"/>
      <c r="BC72" s="25">
        <f>+BC69</f>
        <v>63812.729567023736</v>
      </c>
      <c r="BD72" s="307"/>
      <c r="BE72" s="309"/>
      <c r="BF72" s="311"/>
      <c r="BG72" s="305"/>
      <c r="BH72" s="25">
        <f>+BH69</f>
        <v>71893.163624242996</v>
      </c>
      <c r="BI72" s="307"/>
      <c r="BJ72" s="309"/>
      <c r="BK72" s="311"/>
      <c r="BL72" s="305"/>
      <c r="BM72" s="25">
        <f>+BM69</f>
        <v>71503.856638060795</v>
      </c>
      <c r="BN72" s="307"/>
      <c r="BO72" s="309"/>
      <c r="BP72" s="311"/>
      <c r="BQ72" s="305"/>
      <c r="BR72" s="25">
        <f>+BR69</f>
        <v>68021.391371885038</v>
      </c>
      <c r="BS72" s="307"/>
      <c r="BT72" s="309"/>
      <c r="BU72" s="311"/>
      <c r="BV72" s="305"/>
      <c r="BW72" s="25">
        <f>+BW69</f>
        <v>74384.335756773944</v>
      </c>
      <c r="BX72" s="307"/>
      <c r="BY72" s="309"/>
      <c r="BZ72" s="311"/>
      <c r="CA72" s="305"/>
      <c r="CB72" s="25">
        <f>+CB69</f>
        <v>74663.565571423242</v>
      </c>
      <c r="CC72" s="307"/>
      <c r="CD72" s="309"/>
      <c r="CE72" s="311"/>
      <c r="CF72" s="305"/>
      <c r="CG72" s="25">
        <f>+CG69</f>
        <v>77500.392569393793</v>
      </c>
      <c r="CH72" s="307"/>
      <c r="CI72" s="309"/>
      <c r="CJ72" s="311"/>
      <c r="CK72" s="305"/>
      <c r="CL72" s="25">
        <f>+CL69</f>
        <v>58607.422801911758</v>
      </c>
      <c r="CM72" s="307"/>
      <c r="CN72" s="309"/>
      <c r="CO72" s="311"/>
      <c r="CP72" s="305"/>
      <c r="CQ72" s="25">
        <f>+CQ69</f>
        <v>68834.017960199621</v>
      </c>
      <c r="CR72" s="307"/>
      <c r="CS72" s="309"/>
      <c r="CT72" s="311"/>
      <c r="CU72" s="305"/>
      <c r="CV72" s="25">
        <f>+CV69</f>
        <v>98303.846617431671</v>
      </c>
      <c r="CW72" s="307"/>
      <c r="CX72" s="309"/>
      <c r="CY72" s="311"/>
    </row>
    <row r="73" spans="1:103" ht="18" customHeight="1" x14ac:dyDescent="0.2">
      <c r="A73" s="17"/>
      <c r="B73" s="320" t="s">
        <v>288</v>
      </c>
      <c r="C73" s="322" t="s">
        <v>176</v>
      </c>
      <c r="D73" s="304"/>
      <c r="E73" s="24">
        <f>+E69</f>
        <v>82543.640850683121</v>
      </c>
      <c r="F73" s="306" t="s">
        <v>177</v>
      </c>
      <c r="G73" s="308">
        <v>100</v>
      </c>
      <c r="H73" s="310">
        <f>IF(E74=0,"-",(E73/E74)*G73)</f>
        <v>15.033435640361761</v>
      </c>
      <c r="I73" s="304"/>
      <c r="J73" s="24">
        <f>+J69</f>
        <v>125422.59271861181</v>
      </c>
      <c r="K73" s="306" t="s">
        <v>111</v>
      </c>
      <c r="L73" s="308">
        <v>100</v>
      </c>
      <c r="M73" s="310">
        <f>IF(J74=0,"-",(J73/J74)*L73)</f>
        <v>17.810589200593597</v>
      </c>
      <c r="N73" s="304"/>
      <c r="O73" s="24">
        <f>+O69</f>
        <v>107015.27569274588</v>
      </c>
      <c r="P73" s="306" t="s">
        <v>111</v>
      </c>
      <c r="Q73" s="308">
        <v>100</v>
      </c>
      <c r="R73" s="310">
        <f>IF(O74=0,"-",(O73/O74)*Q73)</f>
        <v>21.595590779634229</v>
      </c>
      <c r="S73" s="304"/>
      <c r="T73" s="24">
        <f>+T69</f>
        <v>109503.11195975177</v>
      </c>
      <c r="U73" s="306" t="s">
        <v>111</v>
      </c>
      <c r="V73" s="308">
        <v>100</v>
      </c>
      <c r="W73" s="310">
        <f>IF(T74=0,"-",(T73/T74)*V73)</f>
        <v>20.825778448185506</v>
      </c>
      <c r="X73" s="304"/>
      <c r="Y73" s="24">
        <f>+Y69</f>
        <v>100082.58419085346</v>
      </c>
      <c r="Z73" s="306" t="s">
        <v>111</v>
      </c>
      <c r="AA73" s="308">
        <v>100</v>
      </c>
      <c r="AB73" s="310">
        <f>IF(Y74=0,"-",(Y73/Y74)*AA73)</f>
        <v>21.527775349799626</v>
      </c>
      <c r="AC73" s="304"/>
      <c r="AD73" s="24">
        <f>+AD69</f>
        <v>103701.31280092319</v>
      </c>
      <c r="AE73" s="306" t="s">
        <v>111</v>
      </c>
      <c r="AF73" s="308">
        <v>100</v>
      </c>
      <c r="AG73" s="310">
        <f>IF(AD74=0,"-",(AD73/AD74)*AF73)</f>
        <v>20.843119204369774</v>
      </c>
      <c r="AH73" s="304"/>
      <c r="AI73" s="24">
        <f>+AI69</f>
        <v>115836.21682537267</v>
      </c>
      <c r="AJ73" s="306" t="s">
        <v>177</v>
      </c>
      <c r="AK73" s="308">
        <v>100</v>
      </c>
      <c r="AL73" s="310">
        <f>IF(AI74=0,"-",(AI73/AI74)*AK73)</f>
        <v>20.020704622853959</v>
      </c>
      <c r="AM73" s="304"/>
      <c r="AN73" s="24">
        <f>+AN69</f>
        <v>73812.68005770749</v>
      </c>
      <c r="AO73" s="306" t="s">
        <v>178</v>
      </c>
      <c r="AP73" s="308">
        <v>100</v>
      </c>
      <c r="AQ73" s="310">
        <f>IF(AN74=0,"-",(AN73/AN74)*AP73)</f>
        <v>17.427731685405906</v>
      </c>
      <c r="AR73" s="304"/>
      <c r="AS73" s="24">
        <f>+AS69</f>
        <v>67705.721421713301</v>
      </c>
      <c r="AT73" s="306" t="s">
        <v>111</v>
      </c>
      <c r="AU73" s="308">
        <v>100</v>
      </c>
      <c r="AV73" s="310">
        <f>IF(AS74=0,"-",(AS73/AS74)*AU73)</f>
        <v>18.587275155977338</v>
      </c>
      <c r="AW73" s="304"/>
      <c r="AX73" s="24">
        <f>+AX69</f>
        <v>64290.527518280389</v>
      </c>
      <c r="AY73" s="306" t="s">
        <v>111</v>
      </c>
      <c r="AZ73" s="308">
        <v>100</v>
      </c>
      <c r="BA73" s="310">
        <f>IF(AX74=0,"-",(AX73/AX74)*AZ73)</f>
        <v>20.275261985965937</v>
      </c>
      <c r="BB73" s="304"/>
      <c r="BC73" s="24">
        <f>+BC69</f>
        <v>63812.729567023736</v>
      </c>
      <c r="BD73" s="306" t="s">
        <v>111</v>
      </c>
      <c r="BE73" s="308">
        <v>100</v>
      </c>
      <c r="BF73" s="310">
        <f>IF(BC74=0,"-",(BC73/BC74)*BE73)</f>
        <v>17.181918786756885</v>
      </c>
      <c r="BG73" s="304"/>
      <c r="BH73" s="24">
        <f>+BH69</f>
        <v>71893.163624242996</v>
      </c>
      <c r="BI73" s="306" t="s">
        <v>111</v>
      </c>
      <c r="BJ73" s="308">
        <v>100</v>
      </c>
      <c r="BK73" s="310">
        <f>IF(BH74=0,"-",(BH73/BH74)*BJ73)</f>
        <v>14.042047947156282</v>
      </c>
      <c r="BL73" s="304"/>
      <c r="BM73" s="24">
        <f>+BM69</f>
        <v>71503.856638060795</v>
      </c>
      <c r="BN73" s="306" t="s">
        <v>111</v>
      </c>
      <c r="BO73" s="308">
        <v>100</v>
      </c>
      <c r="BP73" s="310">
        <f>IF(BM74=0,"-",(BM73/BM74)*BO73)</f>
        <v>16.161376680477105</v>
      </c>
      <c r="BQ73" s="304"/>
      <c r="BR73" s="24">
        <f>+BR69</f>
        <v>68021.391371885038</v>
      </c>
      <c r="BS73" s="306" t="s">
        <v>111</v>
      </c>
      <c r="BT73" s="308">
        <v>100</v>
      </c>
      <c r="BU73" s="310">
        <f>IF(BR74=0,"-",(BR73/BR74)*BT73)</f>
        <v>17.641601115716629</v>
      </c>
      <c r="BV73" s="304"/>
      <c r="BW73" s="24">
        <f>+BW69</f>
        <v>74384.335756773944</v>
      </c>
      <c r="BX73" s="306" t="s">
        <v>111</v>
      </c>
      <c r="BY73" s="308">
        <v>100</v>
      </c>
      <c r="BZ73" s="310">
        <f>IF(BW74=0,"-",(BW73/BW74)*BY73)</f>
        <v>15.257129362230518</v>
      </c>
      <c r="CA73" s="304"/>
      <c r="CB73" s="24">
        <f>+CB69</f>
        <v>74663.565571423242</v>
      </c>
      <c r="CC73" s="306" t="s">
        <v>111</v>
      </c>
      <c r="CD73" s="308">
        <v>100</v>
      </c>
      <c r="CE73" s="310">
        <f>IF(CB74=0,"-",(CB73/CB74)*CD73)</f>
        <v>16.582329787418214</v>
      </c>
      <c r="CF73" s="304"/>
      <c r="CG73" s="24">
        <f>+CG69</f>
        <v>77500.392569393793</v>
      </c>
      <c r="CH73" s="306" t="s">
        <v>178</v>
      </c>
      <c r="CI73" s="308">
        <v>100</v>
      </c>
      <c r="CJ73" s="310">
        <f>IF(CG74=0,"-",(CG73/CG74)*CI73)</f>
        <v>16.727641635832128</v>
      </c>
      <c r="CK73" s="304"/>
      <c r="CL73" s="24">
        <f>+CL69</f>
        <v>58607.422801911758</v>
      </c>
      <c r="CM73" s="306" t="s">
        <v>111</v>
      </c>
      <c r="CN73" s="308">
        <v>100</v>
      </c>
      <c r="CO73" s="310">
        <f>IF(CL74=0,"-",(CL73/CL74)*CN73)</f>
        <v>11.59120770264914</v>
      </c>
      <c r="CP73" s="304"/>
      <c r="CQ73" s="24">
        <f>+CQ69</f>
        <v>68834.017960199621</v>
      </c>
      <c r="CR73" s="306" t="s">
        <v>111</v>
      </c>
      <c r="CS73" s="308">
        <v>100</v>
      </c>
      <c r="CT73" s="310">
        <f>IF(CQ74=0,"-",(CQ73/CQ74)*CS73)</f>
        <v>16.337208056117721</v>
      </c>
      <c r="CU73" s="304"/>
      <c r="CV73" s="24">
        <f>+CV69</f>
        <v>98303.846617431671</v>
      </c>
      <c r="CW73" s="306" t="s">
        <v>111</v>
      </c>
      <c r="CX73" s="308">
        <v>100</v>
      </c>
      <c r="CY73" s="310">
        <f>IF(CV74=0,"-",(CV73/CV74)*CX73)</f>
        <v>16.228661148944052</v>
      </c>
    </row>
    <row r="74" spans="1:103" ht="18" customHeight="1" x14ac:dyDescent="0.2">
      <c r="A74" s="17"/>
      <c r="B74" s="321"/>
      <c r="C74" s="323"/>
      <c r="D74" s="305"/>
      <c r="E74" s="25">
        <f>+E7</f>
        <v>549067.04512087698</v>
      </c>
      <c r="F74" s="307"/>
      <c r="G74" s="309"/>
      <c r="H74" s="311"/>
      <c r="I74" s="305"/>
      <c r="J74" s="25">
        <f>+J7</f>
        <v>704202.37818090653</v>
      </c>
      <c r="K74" s="307"/>
      <c r="L74" s="309"/>
      <c r="M74" s="311"/>
      <c r="N74" s="305"/>
      <c r="O74" s="25">
        <f>+O7</f>
        <v>495542.24649258901</v>
      </c>
      <c r="P74" s="307"/>
      <c r="Q74" s="309"/>
      <c r="R74" s="311"/>
      <c r="S74" s="305"/>
      <c r="T74" s="25">
        <f>+T7</f>
        <v>525805.61265546584</v>
      </c>
      <c r="U74" s="307"/>
      <c r="V74" s="309"/>
      <c r="W74" s="311"/>
      <c r="X74" s="305"/>
      <c r="Y74" s="25">
        <f>+Y7</f>
        <v>464899.79835183016</v>
      </c>
      <c r="Z74" s="307"/>
      <c r="AA74" s="309"/>
      <c r="AB74" s="311"/>
      <c r="AC74" s="305"/>
      <c r="AD74" s="25">
        <f>+AD7</f>
        <v>497532.59953137022</v>
      </c>
      <c r="AE74" s="307"/>
      <c r="AF74" s="309"/>
      <c r="AG74" s="311"/>
      <c r="AH74" s="305"/>
      <c r="AI74" s="25">
        <f>+AI7</f>
        <v>578582.11789980531</v>
      </c>
      <c r="AJ74" s="307"/>
      <c r="AK74" s="309"/>
      <c r="AL74" s="311"/>
      <c r="AM74" s="305"/>
      <c r="AN74" s="25">
        <f>+AN7</f>
        <v>423535.78417504957</v>
      </c>
      <c r="AO74" s="307"/>
      <c r="AP74" s="309"/>
      <c r="AQ74" s="311"/>
      <c r="AR74" s="305"/>
      <c r="AS74" s="25">
        <f>+AS7</f>
        <v>364258.45560230134</v>
      </c>
      <c r="AT74" s="307"/>
      <c r="AU74" s="309"/>
      <c r="AV74" s="311"/>
      <c r="AW74" s="305"/>
      <c r="AX74" s="25">
        <f>+AX7</f>
        <v>317088.5168476777</v>
      </c>
      <c r="AY74" s="307"/>
      <c r="AZ74" s="309"/>
      <c r="BA74" s="311"/>
      <c r="BB74" s="305"/>
      <c r="BC74" s="25">
        <f>+BC7</f>
        <v>371394.66411753715</v>
      </c>
      <c r="BD74" s="307"/>
      <c r="BE74" s="309"/>
      <c r="BF74" s="311"/>
      <c r="BG74" s="305"/>
      <c r="BH74" s="25">
        <f>+BH7</f>
        <v>511984.88920415915</v>
      </c>
      <c r="BI74" s="307"/>
      <c r="BJ74" s="309"/>
      <c r="BK74" s="311"/>
      <c r="BL74" s="305"/>
      <c r="BM74" s="25">
        <f>+BM7</f>
        <v>442436.66892831749</v>
      </c>
      <c r="BN74" s="307"/>
      <c r="BO74" s="309"/>
      <c r="BP74" s="311"/>
      <c r="BQ74" s="305"/>
      <c r="BR74" s="25">
        <f>+BR7</f>
        <v>385573.79755789757</v>
      </c>
      <c r="BS74" s="307"/>
      <c r="BT74" s="309"/>
      <c r="BU74" s="311"/>
      <c r="BV74" s="305"/>
      <c r="BW74" s="25">
        <f>+BW7</f>
        <v>487538.21240393096</v>
      </c>
      <c r="BX74" s="307"/>
      <c r="BY74" s="309"/>
      <c r="BZ74" s="311"/>
      <c r="CA74" s="305"/>
      <c r="CB74" s="25">
        <f>+CB7</f>
        <v>450259.80383090657</v>
      </c>
      <c r="CC74" s="307"/>
      <c r="CD74" s="309"/>
      <c r="CE74" s="311"/>
      <c r="CF74" s="305"/>
      <c r="CG74" s="25">
        <f>+CG7</f>
        <v>463307.34634690464</v>
      </c>
      <c r="CH74" s="307"/>
      <c r="CI74" s="309"/>
      <c r="CJ74" s="311"/>
      <c r="CK74" s="305"/>
      <c r="CL74" s="25">
        <f>+CL7</f>
        <v>505619.64124339854</v>
      </c>
      <c r="CM74" s="307"/>
      <c r="CN74" s="309"/>
      <c r="CO74" s="311"/>
      <c r="CP74" s="305"/>
      <c r="CQ74" s="25">
        <f>+CQ7</f>
        <v>421332.81111287343</v>
      </c>
      <c r="CR74" s="307"/>
      <c r="CS74" s="309"/>
      <c r="CT74" s="311"/>
      <c r="CU74" s="305"/>
      <c r="CV74" s="25">
        <f>+CV7</f>
        <v>605742.18486179924</v>
      </c>
      <c r="CW74" s="307"/>
      <c r="CX74" s="309"/>
      <c r="CY74" s="311"/>
    </row>
    <row r="75" spans="1:103" ht="18" customHeight="1" x14ac:dyDescent="0.2">
      <c r="A75" s="17"/>
      <c r="B75" s="320" t="s">
        <v>179</v>
      </c>
      <c r="C75" s="322" t="s">
        <v>130</v>
      </c>
      <c r="D75" s="304"/>
      <c r="E75" s="24">
        <f>+E73</f>
        <v>82543.640850683121</v>
      </c>
      <c r="F75" s="306"/>
      <c r="G75" s="308"/>
      <c r="H75" s="312">
        <f>IF(E76=0,"-",(E75/E76))</f>
        <v>14958.934150612085</v>
      </c>
      <c r="I75" s="304"/>
      <c r="J75" s="24">
        <f>+J73</f>
        <v>125422.59271861181</v>
      </c>
      <c r="K75" s="306"/>
      <c r="L75" s="308"/>
      <c r="M75" s="312">
        <f>IF(J76=0,"-",(J75/J76))</f>
        <v>18195.978228394022</v>
      </c>
      <c r="N75" s="304"/>
      <c r="O75" s="24">
        <f>+O73</f>
        <v>107015.27569274588</v>
      </c>
      <c r="P75" s="306"/>
      <c r="Q75" s="308"/>
      <c r="R75" s="312">
        <f>IF(O76=0,"-",(O75/O76))</f>
        <v>16422.258214579379</v>
      </c>
      <c r="S75" s="304"/>
      <c r="T75" s="24">
        <f>+T73</f>
        <v>109503.11195975177</v>
      </c>
      <c r="U75" s="306"/>
      <c r="V75" s="308"/>
      <c r="W75" s="312">
        <f>IF(T76=0,"-",(T75/T76))</f>
        <v>15523.822077314582</v>
      </c>
      <c r="X75" s="304"/>
      <c r="Y75" s="24">
        <f>+Y73</f>
        <v>100082.58419085346</v>
      </c>
      <c r="Z75" s="306"/>
      <c r="AA75" s="308"/>
      <c r="AB75" s="312">
        <f>IF(Y76=0,"-",(Y75/Y76))</f>
        <v>13301.054323068493</v>
      </c>
      <c r="AC75" s="304"/>
      <c r="AD75" s="24">
        <f>+AD73</f>
        <v>103701.31280092319</v>
      </c>
      <c r="AE75" s="306"/>
      <c r="AF75" s="308"/>
      <c r="AG75" s="312">
        <f>IF(AD76=0,"-",(AD75/AD76))</f>
        <v>16063.852423888458</v>
      </c>
      <c r="AH75" s="304"/>
      <c r="AI75" s="24">
        <f>+AI73</f>
        <v>115836.21682537267</v>
      </c>
      <c r="AJ75" s="306"/>
      <c r="AK75" s="308"/>
      <c r="AL75" s="312">
        <f>IF(AI76=0,"-",(AI75/AI76))</f>
        <v>17844.858948277051</v>
      </c>
      <c r="AM75" s="304"/>
      <c r="AN75" s="24">
        <f>+AN73</f>
        <v>73812.68005770749</v>
      </c>
      <c r="AO75" s="306"/>
      <c r="AP75" s="308"/>
      <c r="AQ75" s="312">
        <f>IF(AN76=0,"-",(AN75/AN76))</f>
        <v>15144.557386156024</v>
      </c>
      <c r="AR75" s="304"/>
      <c r="AS75" s="24">
        <f>+AS73</f>
        <v>67705.721421713301</v>
      </c>
      <c r="AT75" s="306"/>
      <c r="AU75" s="308"/>
      <c r="AV75" s="312">
        <f>IF(AS76=0,"-",(AS75/AS76))</f>
        <v>15169.252541524467</v>
      </c>
      <c r="AW75" s="304"/>
      <c r="AX75" s="24">
        <f>+AX73</f>
        <v>64290.527518280389</v>
      </c>
      <c r="AY75" s="306"/>
      <c r="AZ75" s="308"/>
      <c r="BA75" s="312">
        <f>IF(AX76=0,"-",(AX75/AX76))</f>
        <v>13626.877014219142</v>
      </c>
      <c r="BB75" s="304"/>
      <c r="BC75" s="24">
        <f>+BC73</f>
        <v>63812.729567023736</v>
      </c>
      <c r="BD75" s="306"/>
      <c r="BE75" s="308"/>
      <c r="BF75" s="312">
        <f>IF(BC76=0,"-",(BC75/BC76))</f>
        <v>14273.415171295048</v>
      </c>
      <c r="BG75" s="304"/>
      <c r="BH75" s="24">
        <f>+BH73</f>
        <v>71893.163624242996</v>
      </c>
      <c r="BI75" s="306"/>
      <c r="BJ75" s="308"/>
      <c r="BK75" s="312">
        <f>IF(BH76=0,"-",(BH75/BH76))</f>
        <v>16431.437868927587</v>
      </c>
      <c r="BL75" s="304"/>
      <c r="BM75" s="24">
        <f>+BM73</f>
        <v>71503.856638060795</v>
      </c>
      <c r="BN75" s="306"/>
      <c r="BO75" s="308"/>
      <c r="BP75" s="312">
        <f>IF(BM76=0,"-",(BM75/BM76))</f>
        <v>15427.191650766361</v>
      </c>
      <c r="BQ75" s="304"/>
      <c r="BR75" s="24">
        <f>+BR73</f>
        <v>68021.391371885038</v>
      </c>
      <c r="BS75" s="306"/>
      <c r="BT75" s="308"/>
      <c r="BU75" s="312">
        <f>IF(BR76=0,"-",(BR75/BR76))</f>
        <v>15788.925568049452</v>
      </c>
      <c r="BV75" s="304"/>
      <c r="BW75" s="24">
        <f>+BW73</f>
        <v>74384.335756773944</v>
      </c>
      <c r="BX75" s="306"/>
      <c r="BY75" s="308"/>
      <c r="BZ75" s="312">
        <f>IF(BW76=0,"-",(BW75/BW76))</f>
        <v>15635.192478657609</v>
      </c>
      <c r="CA75" s="304"/>
      <c r="CB75" s="24">
        <f>+CB73</f>
        <v>74663.565571423242</v>
      </c>
      <c r="CC75" s="306"/>
      <c r="CD75" s="308"/>
      <c r="CE75" s="312">
        <f>IF(CB76=0,"-",(CB75/CB76))</f>
        <v>16147.601726141795</v>
      </c>
      <c r="CF75" s="304"/>
      <c r="CG75" s="24">
        <f>+CG73</f>
        <v>77500.392569393793</v>
      </c>
      <c r="CH75" s="306"/>
      <c r="CI75" s="308"/>
      <c r="CJ75" s="312">
        <f>IF(CG76=0,"-",(CG75/CG76))</f>
        <v>16046.865704098111</v>
      </c>
      <c r="CK75" s="304"/>
      <c r="CL75" s="24">
        <f>+CL73</f>
        <v>58607.422801911758</v>
      </c>
      <c r="CM75" s="306"/>
      <c r="CN75" s="308"/>
      <c r="CO75" s="312">
        <f>IF(CL76=0,"-",(CL75/CL76))</f>
        <v>14426.255999221872</v>
      </c>
      <c r="CP75" s="304"/>
      <c r="CQ75" s="24">
        <f>+CQ73</f>
        <v>68834.017960199621</v>
      </c>
      <c r="CR75" s="306"/>
      <c r="CS75" s="308"/>
      <c r="CT75" s="312">
        <f>IF(CQ76=0,"-",(CQ75/CQ76))</f>
        <v>17294.492676406935</v>
      </c>
      <c r="CU75" s="304"/>
      <c r="CV75" s="24">
        <f>+CV73</f>
        <v>98303.846617431671</v>
      </c>
      <c r="CW75" s="306"/>
      <c r="CX75" s="308"/>
      <c r="CY75" s="312">
        <f>IF(CV76=0,"-",(CV75/CV76))</f>
        <v>22954.163557039261</v>
      </c>
    </row>
    <row r="76" spans="1:103" ht="18" customHeight="1" x14ac:dyDescent="0.2">
      <c r="A76" s="21"/>
      <c r="B76" s="321"/>
      <c r="C76" s="323"/>
      <c r="D76" s="305"/>
      <c r="E76" s="25">
        <f>+PL!K5</f>
        <v>5.5180161915015598</v>
      </c>
      <c r="F76" s="307"/>
      <c r="G76" s="309"/>
      <c r="H76" s="313"/>
      <c r="I76" s="305"/>
      <c r="J76" s="25">
        <f>+PL!L5</f>
        <v>6.8928744112748701</v>
      </c>
      <c r="K76" s="307"/>
      <c r="L76" s="309"/>
      <c r="M76" s="313"/>
      <c r="N76" s="305"/>
      <c r="O76" s="25">
        <f>+PL!M5</f>
        <v>6.5164774718826237</v>
      </c>
      <c r="P76" s="307"/>
      <c r="Q76" s="309"/>
      <c r="R76" s="313"/>
      <c r="S76" s="305"/>
      <c r="T76" s="25">
        <f>+PL!N5</f>
        <v>7.0538757410632709</v>
      </c>
      <c r="U76" s="307"/>
      <c r="V76" s="309"/>
      <c r="W76" s="313"/>
      <c r="X76" s="305"/>
      <c r="Y76" s="25">
        <f>+PL!O5</f>
        <v>7.5244098520277953</v>
      </c>
      <c r="Z76" s="307"/>
      <c r="AA76" s="309"/>
      <c r="AB76" s="313"/>
      <c r="AC76" s="305"/>
      <c r="AD76" s="25">
        <f>+PL!P5</f>
        <v>6.4555693157831548</v>
      </c>
      <c r="AE76" s="307"/>
      <c r="AF76" s="309"/>
      <c r="AG76" s="313"/>
      <c r="AH76" s="305"/>
      <c r="AI76" s="25">
        <f>+PL!Q5</f>
        <v>6.4912934958534283</v>
      </c>
      <c r="AJ76" s="307"/>
      <c r="AK76" s="309"/>
      <c r="AL76" s="313"/>
      <c r="AM76" s="305"/>
      <c r="AN76" s="25">
        <f>+PL!R5</f>
        <v>4.873875028211871</v>
      </c>
      <c r="AO76" s="307"/>
      <c r="AP76" s="309"/>
      <c r="AQ76" s="313"/>
      <c r="AR76" s="305"/>
      <c r="AS76" s="25">
        <f>+PL!S5</f>
        <v>4.4633525110334187</v>
      </c>
      <c r="AT76" s="307"/>
      <c r="AU76" s="309"/>
      <c r="AV76" s="313"/>
      <c r="AW76" s="305"/>
      <c r="AX76" s="25">
        <f>+PL!T5</f>
        <v>4.7179208744010532</v>
      </c>
      <c r="AY76" s="307"/>
      <c r="AZ76" s="309"/>
      <c r="BA76" s="313"/>
      <c r="BB76" s="305"/>
      <c r="BC76" s="25">
        <f>+PL!U5</f>
        <v>4.470740099773467</v>
      </c>
      <c r="BD76" s="307"/>
      <c r="BE76" s="309"/>
      <c r="BF76" s="313"/>
      <c r="BG76" s="305"/>
      <c r="BH76" s="25">
        <f>+PL!V5</f>
        <v>4.3753422066729435</v>
      </c>
      <c r="BI76" s="307"/>
      <c r="BJ76" s="309"/>
      <c r="BK76" s="313"/>
      <c r="BL76" s="305"/>
      <c r="BM76" s="25">
        <f>+PL!W5</f>
        <v>4.6349237279689053</v>
      </c>
      <c r="BN76" s="307"/>
      <c r="BO76" s="309"/>
      <c r="BP76" s="313"/>
      <c r="BQ76" s="305"/>
      <c r="BR76" s="25">
        <f>+PL!X5</f>
        <v>4.3081710075024651</v>
      </c>
      <c r="BS76" s="307"/>
      <c r="BT76" s="309"/>
      <c r="BU76" s="313"/>
      <c r="BV76" s="305"/>
      <c r="BW76" s="25">
        <f>+PL!Y5</f>
        <v>4.7574940863894222</v>
      </c>
      <c r="BX76" s="307"/>
      <c r="BY76" s="309"/>
      <c r="BZ76" s="313"/>
      <c r="CA76" s="305"/>
      <c r="CB76" s="25">
        <f>+PL!Z5</f>
        <v>4.6238176317259763</v>
      </c>
      <c r="CC76" s="307"/>
      <c r="CD76" s="309"/>
      <c r="CE76" s="313"/>
      <c r="CF76" s="305"/>
      <c r="CG76" s="25">
        <f>+PL!AA5</f>
        <v>4.8296280406709853</v>
      </c>
      <c r="CH76" s="307"/>
      <c r="CI76" s="309"/>
      <c r="CJ76" s="313"/>
      <c r="CK76" s="305"/>
      <c r="CL76" s="25">
        <f>+PL!AB5</f>
        <v>4.0625525295733658</v>
      </c>
      <c r="CM76" s="307"/>
      <c r="CN76" s="309"/>
      <c r="CO76" s="313"/>
      <c r="CP76" s="305"/>
      <c r="CQ76" s="25">
        <f>+PL!AC5</f>
        <v>3.980112007223124</v>
      </c>
      <c r="CR76" s="307"/>
      <c r="CS76" s="309"/>
      <c r="CT76" s="313"/>
      <c r="CU76" s="305"/>
      <c r="CV76" s="25">
        <f>+PL!AD5</f>
        <v>4.2826150634134184</v>
      </c>
      <c r="CW76" s="307"/>
      <c r="CX76" s="309"/>
      <c r="CY76" s="313"/>
    </row>
    <row r="77" spans="1:103"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c r="CU77" s="7"/>
      <c r="CV77" s="18"/>
      <c r="CW77" s="7"/>
      <c r="CX77" s="7"/>
      <c r="CY77" s="8"/>
    </row>
    <row r="78" spans="1:103" ht="18" customHeight="1" x14ac:dyDescent="0.2">
      <c r="A78" s="20"/>
      <c r="B78" s="320" t="s">
        <v>181</v>
      </c>
      <c r="C78" s="322" t="s">
        <v>167</v>
      </c>
      <c r="D78" s="304"/>
      <c r="E78" s="24">
        <f>+BS!K33+BS!K34+BS!K38+BS!K39+BS!K40</f>
        <v>342640.83670073707</v>
      </c>
      <c r="F78" s="306" t="s">
        <v>168</v>
      </c>
      <c r="G78" s="308">
        <v>100</v>
      </c>
      <c r="H78" s="310">
        <f>IF(E79=0,"-",(E78/E79)*G78)</f>
        <v>62.404189023091853</v>
      </c>
      <c r="I78" s="304"/>
      <c r="J78" s="24">
        <f>+BS!L33+BS!L34+BS!L38+BS!L39+BS!L40</f>
        <v>417534.9116240755</v>
      </c>
      <c r="K78" s="306" t="s">
        <v>111</v>
      </c>
      <c r="L78" s="308">
        <v>100</v>
      </c>
      <c r="M78" s="310">
        <f>IF(J79=0,"-",(J78/J79)*L78)</f>
        <v>59.291891729001321</v>
      </c>
      <c r="N78" s="304"/>
      <c r="O78" s="24">
        <f>+BS!M33+BS!M34+BS!M38+BS!M39+BS!M40</f>
        <v>255291.14080948822</v>
      </c>
      <c r="P78" s="306" t="s">
        <v>111</v>
      </c>
      <c r="Q78" s="308">
        <v>100</v>
      </c>
      <c r="R78" s="310">
        <f>IF(O79=0,"-",(O78/O79)*Q78)</f>
        <v>51.517533089543797</v>
      </c>
      <c r="S78" s="304"/>
      <c r="T78" s="24">
        <f>+BS!N33+BS!N34+BS!N38+BS!N39+BS!N40</f>
        <v>267545.03426213528</v>
      </c>
      <c r="U78" s="306" t="s">
        <v>111</v>
      </c>
      <c r="V78" s="308">
        <v>100</v>
      </c>
      <c r="W78" s="310">
        <f>IF(T79=0,"-",(T78/T79)*V78)</f>
        <v>50.882879114005227</v>
      </c>
      <c r="X78" s="304"/>
      <c r="Y78" s="24">
        <f>+BS!O33+BS!O34+BS!O38+BS!O39+BS!O40</f>
        <v>213850.11186300512</v>
      </c>
      <c r="Z78" s="306" t="s">
        <v>111</v>
      </c>
      <c r="AA78" s="308">
        <v>100</v>
      </c>
      <c r="AB78" s="310">
        <f>IF(Y79=0,"-",(Y78/Y79)*AA78)</f>
        <v>45.99918361357647</v>
      </c>
      <c r="AC78" s="304"/>
      <c r="AD78" s="24">
        <f>+BS!P33+BS!P34+BS!P38+BS!P39+BS!P40</f>
        <v>236879.30815550726</v>
      </c>
      <c r="AE78" s="306" t="s">
        <v>111</v>
      </c>
      <c r="AF78" s="308">
        <v>100</v>
      </c>
      <c r="AG78" s="310">
        <f>IF(AD79=0,"-",(AD78/AD79)*AF78)</f>
        <v>47.610811508356576</v>
      </c>
      <c r="AH78" s="304"/>
      <c r="AI78" s="24">
        <f>+BS!Q33+BS!Q34+BS!Q38+BS!Q39+BS!Q40</f>
        <v>295046.19319305505</v>
      </c>
      <c r="AJ78" s="306" t="s">
        <v>168</v>
      </c>
      <c r="AK78" s="308">
        <v>100</v>
      </c>
      <c r="AL78" s="310">
        <f>IF(AI79=0,"-",(AI78/AI79)*AK78)</f>
        <v>50.99469618315252</v>
      </c>
      <c r="AM78" s="304"/>
      <c r="AN78" s="24">
        <f>+BS!R33+BS!R34+BS!R38+BS!R39+BS!R40</f>
        <v>211021.90943881264</v>
      </c>
      <c r="AO78" s="306" t="s">
        <v>168</v>
      </c>
      <c r="AP78" s="308">
        <v>100</v>
      </c>
      <c r="AQ78" s="310">
        <f>IF(AN79=0,"-",(AN78/AN79)*AP78)</f>
        <v>49.823867858021693</v>
      </c>
      <c r="AR78" s="304"/>
      <c r="AS78" s="24">
        <f>+BS!S33+BS!S34+BS!S38+BS!S39+BS!S40</f>
        <v>156347.82558102839</v>
      </c>
      <c r="AT78" s="306" t="s">
        <v>111</v>
      </c>
      <c r="AU78" s="308">
        <v>100</v>
      </c>
      <c r="AV78" s="310">
        <f>IF(AS79=0,"-",(AS78/AS79)*AU78)</f>
        <v>42.922222717522715</v>
      </c>
      <c r="AW78" s="304"/>
      <c r="AX78" s="24">
        <f>+BS!T33+BS!T34+BS!T38+BS!T39+BS!T40</f>
        <v>165506.60197298467</v>
      </c>
      <c r="AY78" s="306" t="s">
        <v>111</v>
      </c>
      <c r="AZ78" s="308">
        <v>100</v>
      </c>
      <c r="BA78" s="310">
        <f>IF(AX79=0,"-",(AX78/AX79)*AZ78)</f>
        <v>52.195709771631492</v>
      </c>
      <c r="BB78" s="304"/>
      <c r="BC78" s="24">
        <f>+BS!U33+BS!U34+BS!U38+BS!U39+BS!U40</f>
        <v>169630.87952047744</v>
      </c>
      <c r="BD78" s="306" t="s">
        <v>111</v>
      </c>
      <c r="BE78" s="308">
        <v>100</v>
      </c>
      <c r="BF78" s="310">
        <f>IF(BC79=0,"-",(BC78/BC79)*BE78)</f>
        <v>45.674021710444798</v>
      </c>
      <c r="BG78" s="304"/>
      <c r="BH78" s="24">
        <f>+BS!V33+BS!V34+BS!V38+BS!V39+BS!V40</f>
        <v>171142.27705613722</v>
      </c>
      <c r="BI78" s="306" t="s">
        <v>111</v>
      </c>
      <c r="BJ78" s="308">
        <v>100</v>
      </c>
      <c r="BK78" s="310">
        <f>IF(BH79=0,"-",(BH78/BH79)*BJ78)</f>
        <v>33.427212533980175</v>
      </c>
      <c r="BL78" s="304"/>
      <c r="BM78" s="24">
        <f>+BS!W33+BS!W34+BS!W38+BS!W39+BS!W40</f>
        <v>174262.86479925964</v>
      </c>
      <c r="BN78" s="306" t="s">
        <v>111</v>
      </c>
      <c r="BO78" s="308">
        <v>100</v>
      </c>
      <c r="BP78" s="310">
        <f>IF(BM79=0,"-",(BM78/BM79)*BO78)</f>
        <v>39.387075492943211</v>
      </c>
      <c r="BQ78" s="304"/>
      <c r="BR78" s="24">
        <f>+BS!X33+BS!X34+BS!X38+BS!X39+BS!X40</f>
        <v>177282.15666170861</v>
      </c>
      <c r="BS78" s="306" t="s">
        <v>111</v>
      </c>
      <c r="BT78" s="308">
        <v>100</v>
      </c>
      <c r="BU78" s="310">
        <f>IF(BR79=0,"-",(BR78/BR79)*BT78)</f>
        <v>45.978787403230633</v>
      </c>
      <c r="BV78" s="304"/>
      <c r="BW78" s="24">
        <f>+BS!Y33+BS!Y34+BS!Y38+BS!Y39+BS!Y40</f>
        <v>198589.70862316265</v>
      </c>
      <c r="BX78" s="306" t="s">
        <v>111</v>
      </c>
      <c r="BY78" s="308">
        <v>100</v>
      </c>
      <c r="BZ78" s="310">
        <f>IF(BW79=0,"-",(BW78/BW79)*BY78)</f>
        <v>40.733157641934497</v>
      </c>
      <c r="CA78" s="304"/>
      <c r="CB78" s="24">
        <f>+BS!Z33+BS!Z34+BS!Z38+BS!Z39+BS!Z40</f>
        <v>175302.43624230879</v>
      </c>
      <c r="CC78" s="306" t="s">
        <v>111</v>
      </c>
      <c r="CD78" s="308">
        <v>100</v>
      </c>
      <c r="CE78" s="310">
        <f>IF(CB79=0,"-",(CB78/CB79)*CD78)</f>
        <v>38.933618935289857</v>
      </c>
      <c r="CF78" s="304"/>
      <c r="CG78" s="24">
        <f>+BS!AA33+BS!AA34+BS!AA38+BS!AA39+BS!AA40</f>
        <v>178345.71006049163</v>
      </c>
      <c r="CH78" s="306" t="s">
        <v>168</v>
      </c>
      <c r="CI78" s="308">
        <v>100</v>
      </c>
      <c r="CJ78" s="310">
        <f>IF(CG79=0,"-",(CG78/CG79)*CI78)</f>
        <v>38.494038885140839</v>
      </c>
      <c r="CK78" s="304"/>
      <c r="CL78" s="24">
        <f>+BS!AB33+BS!AB34+BS!AB38+BS!AB39+BS!AB40</f>
        <v>271254.83408808662</v>
      </c>
      <c r="CM78" s="306" t="s">
        <v>111</v>
      </c>
      <c r="CN78" s="308">
        <v>100</v>
      </c>
      <c r="CO78" s="310">
        <f>IF(CL79=0,"-",(CL78/CL79)*CN78)</f>
        <v>53.648001770862408</v>
      </c>
      <c r="CP78" s="304"/>
      <c r="CQ78" s="24">
        <f>+BS!AC33+BS!AC34+BS!AC38+BS!AC39+BS!AC40</f>
        <v>184139.20029526961</v>
      </c>
      <c r="CR78" s="306" t="s">
        <v>111</v>
      </c>
      <c r="CS78" s="308">
        <v>100</v>
      </c>
      <c r="CT78" s="310">
        <f>IF(CQ79=0,"-",(CQ78/CQ79)*CS78)</f>
        <v>43.703978289490351</v>
      </c>
      <c r="CU78" s="304"/>
      <c r="CV78" s="24">
        <f>+BS!AD33+BS!AD34+BS!AD38+BS!AD39+BS!AD40</f>
        <v>250124.15416783522</v>
      </c>
      <c r="CW78" s="306" t="s">
        <v>111</v>
      </c>
      <c r="CX78" s="308">
        <v>100</v>
      </c>
      <c r="CY78" s="310">
        <f>IF(CV79=0,"-",(CV78/CV79)*CX78)</f>
        <v>41.292180141771262</v>
      </c>
    </row>
    <row r="79" spans="1:103" ht="18" customHeight="1" x14ac:dyDescent="0.2">
      <c r="A79" s="22"/>
      <c r="B79" s="321"/>
      <c r="C79" s="323"/>
      <c r="D79" s="305"/>
      <c r="E79" s="25">
        <f>+E7</f>
        <v>549067.04512087698</v>
      </c>
      <c r="F79" s="307"/>
      <c r="G79" s="309"/>
      <c r="H79" s="311"/>
      <c r="I79" s="305"/>
      <c r="J79" s="25">
        <f>+J7</f>
        <v>704202.37818090653</v>
      </c>
      <c r="K79" s="307"/>
      <c r="L79" s="309"/>
      <c r="M79" s="311"/>
      <c r="N79" s="305"/>
      <c r="O79" s="25">
        <f>+O7</f>
        <v>495542.24649258901</v>
      </c>
      <c r="P79" s="307"/>
      <c r="Q79" s="309"/>
      <c r="R79" s="311"/>
      <c r="S79" s="305"/>
      <c r="T79" s="25">
        <f>+T7</f>
        <v>525805.61265546584</v>
      </c>
      <c r="U79" s="307"/>
      <c r="V79" s="309"/>
      <c r="W79" s="311"/>
      <c r="X79" s="305"/>
      <c r="Y79" s="25">
        <f>+Y7</f>
        <v>464899.79835183016</v>
      </c>
      <c r="Z79" s="307"/>
      <c r="AA79" s="309"/>
      <c r="AB79" s="311"/>
      <c r="AC79" s="305"/>
      <c r="AD79" s="25">
        <f>+AD7</f>
        <v>497532.59953137022</v>
      </c>
      <c r="AE79" s="307"/>
      <c r="AF79" s="309"/>
      <c r="AG79" s="311"/>
      <c r="AH79" s="305"/>
      <c r="AI79" s="25">
        <f>+AI7</f>
        <v>578582.11789980531</v>
      </c>
      <c r="AJ79" s="307"/>
      <c r="AK79" s="309"/>
      <c r="AL79" s="311"/>
      <c r="AM79" s="305"/>
      <c r="AN79" s="25">
        <f>+AN7</f>
        <v>423535.78417504957</v>
      </c>
      <c r="AO79" s="307"/>
      <c r="AP79" s="309"/>
      <c r="AQ79" s="311"/>
      <c r="AR79" s="305"/>
      <c r="AS79" s="25">
        <f>+AS7</f>
        <v>364258.45560230134</v>
      </c>
      <c r="AT79" s="307"/>
      <c r="AU79" s="309"/>
      <c r="AV79" s="311"/>
      <c r="AW79" s="305"/>
      <c r="AX79" s="25">
        <f>+AX7</f>
        <v>317088.5168476777</v>
      </c>
      <c r="AY79" s="307"/>
      <c r="AZ79" s="309"/>
      <c r="BA79" s="311"/>
      <c r="BB79" s="305"/>
      <c r="BC79" s="25">
        <f>+BC7</f>
        <v>371394.66411753715</v>
      </c>
      <c r="BD79" s="307"/>
      <c r="BE79" s="309"/>
      <c r="BF79" s="311"/>
      <c r="BG79" s="305"/>
      <c r="BH79" s="25">
        <f>+BH7</f>
        <v>511984.88920415915</v>
      </c>
      <c r="BI79" s="307"/>
      <c r="BJ79" s="309"/>
      <c r="BK79" s="311"/>
      <c r="BL79" s="305"/>
      <c r="BM79" s="25">
        <f>+BM7</f>
        <v>442436.66892831749</v>
      </c>
      <c r="BN79" s="307"/>
      <c r="BO79" s="309"/>
      <c r="BP79" s="311"/>
      <c r="BQ79" s="305"/>
      <c r="BR79" s="25">
        <f>+BR7</f>
        <v>385573.79755789757</v>
      </c>
      <c r="BS79" s="307"/>
      <c r="BT79" s="309"/>
      <c r="BU79" s="311"/>
      <c r="BV79" s="305"/>
      <c r="BW79" s="25">
        <f>+BW7</f>
        <v>487538.21240393096</v>
      </c>
      <c r="BX79" s="307"/>
      <c r="BY79" s="309"/>
      <c r="BZ79" s="311"/>
      <c r="CA79" s="305"/>
      <c r="CB79" s="25">
        <f>+CB7</f>
        <v>450259.80383090657</v>
      </c>
      <c r="CC79" s="307"/>
      <c r="CD79" s="309"/>
      <c r="CE79" s="311"/>
      <c r="CF79" s="305"/>
      <c r="CG79" s="25">
        <f>+CG7</f>
        <v>463307.34634690464</v>
      </c>
      <c r="CH79" s="307"/>
      <c r="CI79" s="309"/>
      <c r="CJ79" s="311"/>
      <c r="CK79" s="305"/>
      <c r="CL79" s="25">
        <f>+CL7</f>
        <v>505619.64124339854</v>
      </c>
      <c r="CM79" s="307"/>
      <c r="CN79" s="309"/>
      <c r="CO79" s="311"/>
      <c r="CP79" s="305"/>
      <c r="CQ79" s="25">
        <f>+CQ7</f>
        <v>421332.81111287343</v>
      </c>
      <c r="CR79" s="307"/>
      <c r="CS79" s="309"/>
      <c r="CT79" s="311"/>
      <c r="CU79" s="305"/>
      <c r="CV79" s="25">
        <f>+CV7</f>
        <v>605742.18486179924</v>
      </c>
      <c r="CW79" s="307"/>
      <c r="CX79" s="309"/>
      <c r="CY79" s="311"/>
    </row>
    <row r="80" spans="1:103" ht="18" customHeight="1" x14ac:dyDescent="0.2">
      <c r="A80" s="20"/>
      <c r="B80" s="320" t="s">
        <v>573</v>
      </c>
      <c r="C80" s="322" t="s">
        <v>441</v>
      </c>
      <c r="D80" s="304"/>
      <c r="E80" s="24">
        <f>E78-BS!K10</f>
        <v>293255.80614941509</v>
      </c>
      <c r="F80" s="306"/>
      <c r="G80" s="308">
        <v>1</v>
      </c>
      <c r="H80" s="310">
        <f>IF(E81=0,"-",(E80/E81)*G80)</f>
        <v>25.041753445059197</v>
      </c>
      <c r="I80" s="304"/>
      <c r="J80" s="24">
        <f>J78-BS!L10</f>
        <v>362706.09408857289</v>
      </c>
      <c r="K80" s="306" t="s">
        <v>111</v>
      </c>
      <c r="L80" s="308">
        <v>1</v>
      </c>
      <c r="M80" s="310">
        <f>IF(J81=0,"-",(J80/J81)*L80)</f>
        <v>22.200791622090883</v>
      </c>
      <c r="N80" s="304"/>
      <c r="O80" s="24">
        <f>O78-BS!M10</f>
        <v>204396.35902420513</v>
      </c>
      <c r="P80" s="306" t="s">
        <v>111</v>
      </c>
      <c r="Q80" s="308">
        <v>1</v>
      </c>
      <c r="R80" s="310">
        <f>IF(O81=0,"-",(O80/O81)*Q80)</f>
        <v>16.890144274700511</v>
      </c>
      <c r="S80" s="304"/>
      <c r="T80" s="24">
        <f>T78-BS!N9</f>
        <v>162578.78866109025</v>
      </c>
      <c r="U80" s="306" t="s">
        <v>111</v>
      </c>
      <c r="V80" s="308">
        <v>1</v>
      </c>
      <c r="W80" s="310">
        <f>IF(T81=0,"-",(T80/T81)*V80)</f>
        <v>14.893085985758825</v>
      </c>
      <c r="X80" s="304"/>
      <c r="Y80" s="24">
        <f>Y78-BS!O10</f>
        <v>160408.18924759069</v>
      </c>
      <c r="Z80" s="306" t="s">
        <v>111</v>
      </c>
      <c r="AA80" s="308">
        <v>1</v>
      </c>
      <c r="AB80" s="310">
        <f>IF(Y81=0,"-",(Y80/Y81)*AA80)</f>
        <v>16.143298696375556</v>
      </c>
      <c r="AC80" s="304"/>
      <c r="AD80" s="24">
        <f>AD78-BS!P10</f>
        <v>193334.77347881114</v>
      </c>
      <c r="AE80" s="306" t="s">
        <v>111</v>
      </c>
      <c r="AF80" s="308">
        <v>1</v>
      </c>
      <c r="AG80" s="310">
        <f>IF(AD81=0,"-",(AD80/AD81)*AF80)</f>
        <v>17.939822170956941</v>
      </c>
      <c r="AH80" s="304"/>
      <c r="AI80" s="24">
        <f>AI78-BS!Q10</f>
        <v>242304.90024425992</v>
      </c>
      <c r="AJ80" s="306" t="s">
        <v>111</v>
      </c>
      <c r="AK80" s="308">
        <v>1</v>
      </c>
      <c r="AL80" s="310">
        <f>IF(AI81=0,"-",(AI80/AI81)*AK80)</f>
        <v>8.4825059240566993</v>
      </c>
      <c r="AM80" s="304"/>
      <c r="AN80" s="24">
        <f>AN78-BS!R10</f>
        <v>161682.43723045185</v>
      </c>
      <c r="AO80" s="306" t="s">
        <v>111</v>
      </c>
      <c r="AP80" s="308">
        <v>1</v>
      </c>
      <c r="AQ80" s="310">
        <f>IF(AN81=0,"-",(AN80/AN81)*AP80)</f>
        <v>8.6663679358951224</v>
      </c>
      <c r="AR80" s="304"/>
      <c r="AS80" s="24">
        <f>AS78-BS!S10</f>
        <v>118457.3182072597</v>
      </c>
      <c r="AT80" s="306" t="s">
        <v>111</v>
      </c>
      <c r="AU80" s="308">
        <v>1</v>
      </c>
      <c r="AV80" s="310">
        <f>IF(AS81=0,"-",(AS80/AS81)*AU80)</f>
        <v>7.480850244365163</v>
      </c>
      <c r="AW80" s="304"/>
      <c r="AX80" s="24">
        <f>AX78-BS!T10</f>
        <v>136864.29138440618</v>
      </c>
      <c r="AY80" s="306" t="s">
        <v>111</v>
      </c>
      <c r="AZ80" s="308">
        <v>1</v>
      </c>
      <c r="BA80" s="310">
        <f>IF(AX81=0,"-",(AX80/AX81)*AZ80)</f>
        <v>8.7712956717185513</v>
      </c>
      <c r="BB80" s="304"/>
      <c r="BC80" s="24">
        <f>BC78-BS!U10</f>
        <v>117068.41125237427</v>
      </c>
      <c r="BD80" s="306" t="s">
        <v>111</v>
      </c>
      <c r="BE80" s="308">
        <v>1</v>
      </c>
      <c r="BF80" s="310">
        <f>IF(BC81=0,"-",(BC80/BC81)*BE80)</f>
        <v>7.1487645827786697</v>
      </c>
      <c r="BG80" s="304"/>
      <c r="BH80" s="24">
        <f>BH78-BS!V10</f>
        <v>75575.000656750679</v>
      </c>
      <c r="BI80" s="306" t="s">
        <v>111</v>
      </c>
      <c r="BJ80" s="308">
        <v>1</v>
      </c>
      <c r="BK80" s="310">
        <f>IF(BH81=0,"-",(BH80/BH81)*BJ80)</f>
        <v>3.8603352163934419</v>
      </c>
      <c r="BL80" s="304"/>
      <c r="BM80" s="24">
        <f>BM78-BS!W10</f>
        <v>128848.81685211218</v>
      </c>
      <c r="BN80" s="306" t="s">
        <v>111</v>
      </c>
      <c r="BO80" s="308">
        <v>1</v>
      </c>
      <c r="BP80" s="310">
        <f>IF(BM81=0,"-",(BM80/BM81)*BO80)</f>
        <v>6.7039286195197265</v>
      </c>
      <c r="BQ80" s="304"/>
      <c r="BR80" s="24">
        <f>BR78-BS!X10</f>
        <v>132211.446567999</v>
      </c>
      <c r="BS80" s="306" t="s">
        <v>111</v>
      </c>
      <c r="BT80" s="308">
        <v>1</v>
      </c>
      <c r="BU80" s="310">
        <f>IF(BR81=0,"-",(BR80/BR81)*BT80)</f>
        <v>7.4444317962430553</v>
      </c>
      <c r="BV80" s="304"/>
      <c r="BW80" s="24">
        <f>BW78-BS!Y10</f>
        <v>143630.45234772365</v>
      </c>
      <c r="BX80" s="306" t="s">
        <v>111</v>
      </c>
      <c r="BY80" s="308">
        <v>1</v>
      </c>
      <c r="BZ80" s="310">
        <f>IF(BW81=0,"-",(BW80/BW81)*BY80)</f>
        <v>7.2423624043819199</v>
      </c>
      <c r="CA80" s="304"/>
      <c r="CB80" s="24">
        <f>CB78-BS!Z10</f>
        <v>107928.73352057159</v>
      </c>
      <c r="CC80" s="306" t="s">
        <v>111</v>
      </c>
      <c r="CD80" s="308">
        <v>1</v>
      </c>
      <c r="CE80" s="310">
        <f>IF(CB81=0,"-",(CB80/CB81)*CD80)</f>
        <v>5.6525123790436513</v>
      </c>
      <c r="CF80" s="304"/>
      <c r="CG80" s="24">
        <f>CG78-BS!AA10</f>
        <v>117053.63397829162</v>
      </c>
      <c r="CH80" s="306" t="s">
        <v>111</v>
      </c>
      <c r="CI80" s="308">
        <v>1</v>
      </c>
      <c r="CJ80" s="310">
        <f>IF(CG81=0,"-",(CG80/CG81)*CI80)</f>
        <v>7.0520436867470426</v>
      </c>
      <c r="CK80" s="304"/>
      <c r="CL80" s="24">
        <f>CL78-BS!AB10</f>
        <v>203834.9889985825</v>
      </c>
      <c r="CM80" s="306" t="s">
        <v>111</v>
      </c>
      <c r="CN80" s="308">
        <v>1</v>
      </c>
      <c r="CO80" s="310">
        <f>IF(CL81=0,"-",(CL80/CL81)*CN80)</f>
        <v>12.688353788887227</v>
      </c>
      <c r="CP80" s="304"/>
      <c r="CQ80" s="24">
        <f>CQ78-BS!AC10</f>
        <v>129519.41507339038</v>
      </c>
      <c r="CR80" s="306" t="s">
        <v>111</v>
      </c>
      <c r="CS80" s="308">
        <v>1</v>
      </c>
      <c r="CT80" s="310">
        <f>IF(CQ81=0,"-",(CQ80/CQ81)*CS80)</f>
        <v>7.2403701783859766</v>
      </c>
      <c r="CU80" s="304"/>
      <c r="CV80" s="24">
        <f>CV78-BS!AD10</f>
        <v>152087.42734723131</v>
      </c>
      <c r="CW80" s="306" t="s">
        <v>111</v>
      </c>
      <c r="CX80" s="308">
        <v>1</v>
      </c>
      <c r="CY80" s="310">
        <f>IF(CV81=0,"-",(CV80/CV81)*CX80)</f>
        <v>5.6475997048314941</v>
      </c>
    </row>
    <row r="81" spans="1:103" ht="18" customHeight="1" x14ac:dyDescent="0.2">
      <c r="A81" s="22"/>
      <c r="B81" s="321"/>
      <c r="C81" s="323"/>
      <c r="D81" s="305"/>
      <c r="E81" s="25">
        <f>PL!K28+PL!K13+PL!K24</f>
        <v>11710.6738069604</v>
      </c>
      <c r="F81" s="307"/>
      <c r="G81" s="309"/>
      <c r="H81" s="311"/>
      <c r="I81" s="305"/>
      <c r="J81" s="25">
        <f>PL!L28+PL!L13+PL!L24</f>
        <v>16337.529772031303</v>
      </c>
      <c r="K81" s="307"/>
      <c r="L81" s="309"/>
      <c r="M81" s="311"/>
      <c r="N81" s="305"/>
      <c r="O81" s="25">
        <f>PL!M28+PL!M13+PL!M24</f>
        <v>12101.516464271255</v>
      </c>
      <c r="P81" s="307"/>
      <c r="Q81" s="309"/>
      <c r="R81" s="311"/>
      <c r="S81" s="305"/>
      <c r="T81" s="25">
        <f>PL!N28+PL!N13+PL!N24</f>
        <v>10916.393608185203</v>
      </c>
      <c r="U81" s="307"/>
      <c r="V81" s="309"/>
      <c r="W81" s="311"/>
      <c r="X81" s="305"/>
      <c r="Y81" s="25">
        <f>PL!O28+PL!O13+PL!O24</f>
        <v>9936.5186920319484</v>
      </c>
      <c r="Z81" s="307"/>
      <c r="AA81" s="309"/>
      <c r="AB81" s="311"/>
      <c r="AC81" s="305"/>
      <c r="AD81" s="25">
        <f>PL!P28+PL!P13+PL!P24</f>
        <v>10776.850051044756</v>
      </c>
      <c r="AE81" s="307"/>
      <c r="AF81" s="309"/>
      <c r="AG81" s="311"/>
      <c r="AH81" s="305"/>
      <c r="AI81" s="25">
        <f>PL!Q28+PL!Q13+PL!Q24</f>
        <v>28565.249752089687</v>
      </c>
      <c r="AJ81" s="307"/>
      <c r="AK81" s="309"/>
      <c r="AL81" s="311"/>
      <c r="AM81" s="305"/>
      <c r="AN81" s="25">
        <f>PL!R28+PL!R13+PL!R24</f>
        <v>18656.308897384955</v>
      </c>
      <c r="AO81" s="307"/>
      <c r="AP81" s="309"/>
      <c r="AQ81" s="311"/>
      <c r="AR81" s="305"/>
      <c r="AS81" s="25">
        <f>PL!S28+PL!S13+PL!S24</f>
        <v>15834.739947706596</v>
      </c>
      <c r="AT81" s="307"/>
      <c r="AU81" s="309"/>
      <c r="AV81" s="311"/>
      <c r="AW81" s="305"/>
      <c r="AX81" s="25">
        <f>PL!T28+PL!T13+PL!T24</f>
        <v>15603.657259633854</v>
      </c>
      <c r="AY81" s="307"/>
      <c r="AZ81" s="309"/>
      <c r="BA81" s="311"/>
      <c r="BB81" s="305"/>
      <c r="BC81" s="25">
        <f>PL!U28+PL!U13+PL!U24</f>
        <v>16376.033914222236</v>
      </c>
      <c r="BD81" s="307"/>
      <c r="BE81" s="309"/>
      <c r="BF81" s="311"/>
      <c r="BG81" s="305"/>
      <c r="BH81" s="25">
        <f>PL!V28+PL!W13+PL!W24</f>
        <v>19577.315549129282</v>
      </c>
      <c r="BI81" s="307"/>
      <c r="BJ81" s="309"/>
      <c r="BK81" s="311"/>
      <c r="BL81" s="305"/>
      <c r="BM81" s="25">
        <f>PL!W28+PL!W13+PL!W24</f>
        <v>19219.896894030921</v>
      </c>
      <c r="BN81" s="307"/>
      <c r="BO81" s="309"/>
      <c r="BP81" s="311"/>
      <c r="BQ81" s="305"/>
      <c r="BR81" s="25">
        <f>PL!X28+PL!X13+PL!X24</f>
        <v>17759.776727986344</v>
      </c>
      <c r="BS81" s="307"/>
      <c r="BT81" s="309"/>
      <c r="BU81" s="311"/>
      <c r="BV81" s="305"/>
      <c r="BW81" s="25">
        <f>PL!Y28+PL!Y13+PL!Y24</f>
        <v>19831.989111843046</v>
      </c>
      <c r="BX81" s="307"/>
      <c r="BY81" s="309"/>
      <c r="BZ81" s="311"/>
      <c r="CA81" s="305"/>
      <c r="CB81" s="25">
        <f>PL!Z28+PL!Z13+PL!Z24</f>
        <v>19093.940231022025</v>
      </c>
      <c r="CC81" s="307"/>
      <c r="CD81" s="309"/>
      <c r="CE81" s="311"/>
      <c r="CF81" s="305"/>
      <c r="CG81" s="25">
        <f>PL!AA28+PL!AA13+PL!AA24</f>
        <v>16598.540675275646</v>
      </c>
      <c r="CH81" s="307"/>
      <c r="CI81" s="309"/>
      <c r="CJ81" s="311"/>
      <c r="CK81" s="305"/>
      <c r="CL81" s="25">
        <f>PL!AB28+PL!AB13+PL!AB24</f>
        <v>16064.730885507481</v>
      </c>
      <c r="CM81" s="307"/>
      <c r="CN81" s="309"/>
      <c r="CO81" s="311"/>
      <c r="CP81" s="305"/>
      <c r="CQ81" s="25">
        <f>PL!AC28+PL!AC13+PL!AC24</f>
        <v>17888.507339035372</v>
      </c>
      <c r="CR81" s="307"/>
      <c r="CS81" s="309"/>
      <c r="CT81" s="311"/>
      <c r="CU81" s="305"/>
      <c r="CV81" s="25">
        <f>PL!AD28+PL!AD13+PL!AD24</f>
        <v>26929.569249945467</v>
      </c>
      <c r="CW81" s="307"/>
      <c r="CX81" s="309"/>
      <c r="CY81" s="311"/>
    </row>
    <row r="82" spans="1:103" x14ac:dyDescent="0.2">
      <c r="B82" s="76" t="s">
        <v>583</v>
      </c>
    </row>
  </sheetData>
  <sheetProtection algorithmName="SHA-512" hashValue="SpAhYBytUAx6c/9UJ2C447tU3m6C7Hj2ChXNsEKc6rGiyjmRo8WM3VjSonqebetR2cIhe9Huv+U5XQ87ArEhDQ==" saltValue="EKzyhYoD4yUTzYH5kjagJw==" spinCount="100000" sheet="1" objects="1" scenarios="1"/>
  <mergeCells count="2745">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P62:CP63"/>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P38:CP39"/>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P27:CP28"/>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P15:CP1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P3:CT3"/>
    <mergeCell ref="CP4:CT4"/>
    <mergeCell ref="CP6:CP7"/>
    <mergeCell ref="CR6:CR7"/>
    <mergeCell ref="CS6:CS7"/>
    <mergeCell ref="CT6:CT7"/>
    <mergeCell ref="CP8:CP9"/>
    <mergeCell ref="CR8:CR9"/>
    <mergeCell ref="CS8:CS9"/>
    <mergeCell ref="CT8:CT9"/>
    <mergeCell ref="CP11:CP12"/>
    <mergeCell ref="CR11:CR12"/>
    <mergeCell ref="CS11:CS12"/>
    <mergeCell ref="CT11:CT12"/>
    <mergeCell ref="CP13:CP14"/>
    <mergeCell ref="CR13:CR14"/>
    <mergeCell ref="CS13:CS14"/>
    <mergeCell ref="CT13:CT14"/>
    <mergeCell ref="CF3:CJ3"/>
    <mergeCell ref="CU3:CY3"/>
    <mergeCell ref="CU73:CU74"/>
    <mergeCell ref="CW73:CW74"/>
    <mergeCell ref="CX73:CX74"/>
    <mergeCell ref="CY73:CY74"/>
    <mergeCell ref="CU75:CU76"/>
    <mergeCell ref="CW75:CW76"/>
    <mergeCell ref="CX75:CX76"/>
    <mergeCell ref="CY75:CY76"/>
    <mergeCell ref="CU78:CU79"/>
    <mergeCell ref="CW78:CW79"/>
    <mergeCell ref="CX78:CX79"/>
    <mergeCell ref="CY78:CY79"/>
    <mergeCell ref="CU80:CU81"/>
    <mergeCell ref="CW80:CW81"/>
    <mergeCell ref="CX80:CX81"/>
    <mergeCell ref="CY80:CY81"/>
    <mergeCell ref="CW62:CW63"/>
    <mergeCell ref="CX62:CX63"/>
    <mergeCell ref="CY62:CY63"/>
    <mergeCell ref="CU64:CU65"/>
    <mergeCell ref="CW64:CW65"/>
    <mergeCell ref="CX64:CX65"/>
    <mergeCell ref="CY64:CY65"/>
    <mergeCell ref="CU66:CU67"/>
    <mergeCell ref="CW66:CW67"/>
    <mergeCell ref="CX66:CX67"/>
    <mergeCell ref="CY66:CY67"/>
    <mergeCell ref="CU69:CU70"/>
    <mergeCell ref="CW69:CW70"/>
    <mergeCell ref="CX69:CX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U62:CU63"/>
    <mergeCell ref="CU38:CU39"/>
    <mergeCell ref="CU27:CU28"/>
    <mergeCell ref="CU15:CU16"/>
    <mergeCell ref="CU4:CY4"/>
    <mergeCell ref="CU6:CU7"/>
    <mergeCell ref="CW6:CW7"/>
    <mergeCell ref="CX6:CX7"/>
    <mergeCell ref="CY6:CY7"/>
    <mergeCell ref="CU8:CU9"/>
    <mergeCell ref="CW8:CW9"/>
    <mergeCell ref="CX8:CX9"/>
    <mergeCell ref="CY8:CY9"/>
    <mergeCell ref="CU11:CU12"/>
    <mergeCell ref="CW11:CW12"/>
    <mergeCell ref="CX11:CX12"/>
    <mergeCell ref="CY69:CY70"/>
    <mergeCell ref="CU71:CU72"/>
    <mergeCell ref="CW71:CW72"/>
    <mergeCell ref="CX71:CX72"/>
    <mergeCell ref="CY71:CY72"/>
    <mergeCell ref="CU50:CU51"/>
    <mergeCell ref="CW50:CW51"/>
    <mergeCell ref="CX50:CX51"/>
    <mergeCell ref="CY50:CY51"/>
    <mergeCell ref="CU53:CU54"/>
    <mergeCell ref="CW53:CW54"/>
    <mergeCell ref="CX53:CX54"/>
    <mergeCell ref="CY53:CY54"/>
    <mergeCell ref="CU55:CU56"/>
    <mergeCell ref="CW55:CW56"/>
    <mergeCell ref="CX55:CX56"/>
    <mergeCell ref="CY55:CY56"/>
    <mergeCell ref="CU58:CU59"/>
    <mergeCell ref="CW58:CW59"/>
    <mergeCell ref="CX58:CX59"/>
    <mergeCell ref="CY58:CY59"/>
    <mergeCell ref="CU60:CU61"/>
    <mergeCell ref="CW60:CW61"/>
    <mergeCell ref="CX60:CX61"/>
    <mergeCell ref="CY60:CY61"/>
    <mergeCell ref="CW38:CW39"/>
    <mergeCell ref="CX38:CX39"/>
    <mergeCell ref="CY38:CY39"/>
    <mergeCell ref="CU40:CU41"/>
    <mergeCell ref="CW40:CW41"/>
    <mergeCell ref="CX40:CX41"/>
    <mergeCell ref="CY40:CY41"/>
    <mergeCell ref="CU43:CU44"/>
    <mergeCell ref="CW43:CW44"/>
    <mergeCell ref="CX43:CX44"/>
    <mergeCell ref="CY43:CY44"/>
    <mergeCell ref="CU45:CU46"/>
    <mergeCell ref="CW45:CW46"/>
    <mergeCell ref="CX45:CX46"/>
    <mergeCell ref="CY45:CY46"/>
    <mergeCell ref="CU48:CU49"/>
    <mergeCell ref="CW48:CW49"/>
    <mergeCell ref="CX48:CX49"/>
    <mergeCell ref="CY48:CY49"/>
    <mergeCell ref="CW27:CW28"/>
    <mergeCell ref="CX27:CX28"/>
    <mergeCell ref="CY27:CY28"/>
    <mergeCell ref="CU29:CU30"/>
    <mergeCell ref="CW29:CW30"/>
    <mergeCell ref="CX29:CX30"/>
    <mergeCell ref="CY29:CY30"/>
    <mergeCell ref="CU31:CU32"/>
    <mergeCell ref="CW31:CW32"/>
    <mergeCell ref="CX31:CX32"/>
    <mergeCell ref="CY31:CY32"/>
    <mergeCell ref="CU33:CU34"/>
    <mergeCell ref="CW33:CW34"/>
    <mergeCell ref="CX33:CX34"/>
    <mergeCell ref="CY33:CY34"/>
    <mergeCell ref="CU35:CU36"/>
    <mergeCell ref="CW35:CW36"/>
    <mergeCell ref="CX35:CX36"/>
    <mergeCell ref="CY35:CY36"/>
    <mergeCell ref="CW15:CW16"/>
    <mergeCell ref="CX15:CX16"/>
    <mergeCell ref="CY15:CY16"/>
    <mergeCell ref="CU17:CU18"/>
    <mergeCell ref="CW17:CW18"/>
    <mergeCell ref="CX17:CX18"/>
    <mergeCell ref="CY17:CY18"/>
    <mergeCell ref="CU19:CU20"/>
    <mergeCell ref="CW19:CW20"/>
    <mergeCell ref="CX19:CX20"/>
    <mergeCell ref="CY19:CY20"/>
    <mergeCell ref="CU22:CU23"/>
    <mergeCell ref="CW22:CW23"/>
    <mergeCell ref="CX22:CX23"/>
    <mergeCell ref="CY22:CY23"/>
    <mergeCell ref="CU24:CU25"/>
    <mergeCell ref="CW24:CW25"/>
    <mergeCell ref="CX24:CX25"/>
    <mergeCell ref="CY24:CY25"/>
    <mergeCell ref="CY11:CY12"/>
    <mergeCell ref="CU13:CU14"/>
    <mergeCell ref="CW13:CW14"/>
    <mergeCell ref="CX13:CX14"/>
    <mergeCell ref="CY13:CY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72"/>
  <sheetViews>
    <sheetView workbookViewId="0">
      <selection activeCell="A2" sqref="A2"/>
    </sheetView>
  </sheetViews>
  <sheetFormatPr defaultColWidth="9" defaultRowHeight="10.8" x14ac:dyDescent="0.2"/>
  <cols>
    <col min="1" max="2" width="2.77734375" style="76" customWidth="1"/>
    <col min="3" max="3" width="29.44140625" style="76" customWidth="1"/>
    <col min="4" max="4" width="5.77734375" style="201" customWidth="1"/>
    <col min="5" max="24" width="9.5546875" style="76" customWidth="1"/>
    <col min="25" max="16384" width="9" style="76"/>
  </cols>
  <sheetData>
    <row r="1" spans="1:24" ht="16.2" x14ac:dyDescent="0.2">
      <c r="A1" s="6" t="s">
        <v>385</v>
      </c>
    </row>
    <row r="2" spans="1:24" ht="14.4" x14ac:dyDescent="0.2">
      <c r="A2" s="75" t="str">
        <f>BS!A2</f>
        <v>６９　不動産賃貸業・管理業</v>
      </c>
    </row>
    <row r="3" spans="1:24"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579</v>
      </c>
      <c r="X3" s="111" t="s">
        <v>581</v>
      </c>
    </row>
    <row r="4" spans="1:24" x14ac:dyDescent="0.2">
      <c r="A4" s="339" t="s">
        <v>395</v>
      </c>
      <c r="B4" s="339" t="s">
        <v>397</v>
      </c>
      <c r="C4" s="155" t="s">
        <v>386</v>
      </c>
      <c r="D4" s="203" t="s">
        <v>254</v>
      </c>
      <c r="E4" s="156">
        <f>BS!K9</f>
        <v>127338.41356842199</v>
      </c>
      <c r="F4" s="156">
        <f>BS!L9</f>
        <v>126242.16973191741</v>
      </c>
      <c r="G4" s="156">
        <f>BS!M9</f>
        <v>101216.97847344266</v>
      </c>
      <c r="H4" s="156">
        <f>BS!N9</f>
        <v>104966.24560104504</v>
      </c>
      <c r="I4" s="156">
        <f>BS!O9</f>
        <v>104050.21340236823</v>
      </c>
      <c r="J4" s="156">
        <f>BS!P9</f>
        <v>83810.937469741315</v>
      </c>
      <c r="K4" s="156">
        <f>BS!Q9</f>
        <v>110316.93975462743</v>
      </c>
      <c r="L4" s="156">
        <f>BS!R9</f>
        <v>94405.467665825083</v>
      </c>
      <c r="M4" s="156">
        <f>BS!S9</f>
        <v>83510.57185791638</v>
      </c>
      <c r="N4" s="156">
        <f>BS!T9</f>
        <v>48726.857071012142</v>
      </c>
      <c r="O4" s="156">
        <f>BS!U9</f>
        <v>78880.434469345244</v>
      </c>
      <c r="P4" s="156">
        <f>BS!V9</f>
        <v>118660.14038664328</v>
      </c>
      <c r="Q4" s="156">
        <f>BS!W9</f>
        <v>93889.724277811867</v>
      </c>
      <c r="R4" s="156">
        <f>BS!X9</f>
        <v>71168.591768491329</v>
      </c>
      <c r="S4" s="156">
        <f>BS!Y9</f>
        <v>92341.372132551478</v>
      </c>
      <c r="T4" s="156">
        <f>BS!Z9</f>
        <v>110266.35173858464</v>
      </c>
      <c r="U4" s="156">
        <f>BS!AA9</f>
        <v>120055.84285040114</v>
      </c>
      <c r="V4" s="156">
        <f>BS!AB9</f>
        <v>95870.223026456093</v>
      </c>
      <c r="W4" s="156">
        <f>BS!AC9</f>
        <v>100102.58094901108</v>
      </c>
      <c r="X4" s="156">
        <f>BS!AD9</f>
        <v>144368.97511451811</v>
      </c>
    </row>
    <row r="5" spans="1:24" x14ac:dyDescent="0.2">
      <c r="A5" s="339"/>
      <c r="B5" s="339"/>
      <c r="C5" s="157" t="s">
        <v>387</v>
      </c>
      <c r="D5" s="204" t="s">
        <v>254</v>
      </c>
      <c r="E5" s="158">
        <f>BS!K15</f>
        <v>420682.28023322503</v>
      </c>
      <c r="F5" s="158">
        <f>BS!L15</f>
        <v>575201.60813739011</v>
      </c>
      <c r="G5" s="158">
        <f>BS!M15</f>
        <v>392190.9755317613</v>
      </c>
      <c r="H5" s="158">
        <f>BS!N15</f>
        <v>419136.26163055206</v>
      </c>
      <c r="I5" s="158">
        <f>BS!O15</f>
        <v>359908.0254165256</v>
      </c>
      <c r="J5" s="158">
        <f>BS!P15</f>
        <v>410452.79286333028</v>
      </c>
      <c r="K5" s="158">
        <f>BS!Q15</f>
        <v>467293.27756528347</v>
      </c>
      <c r="L5" s="158">
        <f>BS!R15</f>
        <v>328544.08464099409</v>
      </c>
      <c r="M5" s="158">
        <f>BS!S15</f>
        <v>280182.47712232248</v>
      </c>
      <c r="N5" s="158">
        <f>BS!T15</f>
        <v>268032.63653467869</v>
      </c>
      <c r="O5" s="158">
        <f>BS!U15</f>
        <v>292140.24635349395</v>
      </c>
      <c r="P5" s="158">
        <f>BS!V15</f>
        <v>392891.66266681004</v>
      </c>
      <c r="Q5" s="158">
        <f>BS!W15</f>
        <v>347388.25069029519</v>
      </c>
      <c r="R5" s="158">
        <f>BS!X15</f>
        <v>313717.82464836363</v>
      </c>
      <c r="S5" s="158">
        <f>BS!Y15</f>
        <v>394706.04101210117</v>
      </c>
      <c r="T5" s="158">
        <f>BS!Z15</f>
        <v>339491.11037597555</v>
      </c>
      <c r="U5" s="158">
        <f>BS!AA15</f>
        <v>338857.47349092626</v>
      </c>
      <c r="V5" s="158">
        <f>BS!AB15</f>
        <v>409043.5394520617</v>
      </c>
      <c r="W5" s="158">
        <f>BS!AC15</f>
        <v>321051.13917934574</v>
      </c>
      <c r="X5" s="158">
        <f>BS!AD15</f>
        <v>460817.62888037151</v>
      </c>
    </row>
    <row r="6" spans="1:24" x14ac:dyDescent="0.2">
      <c r="A6" s="339"/>
      <c r="B6" s="339"/>
      <c r="C6" s="157" t="s">
        <v>388</v>
      </c>
      <c r="D6" s="204" t="s">
        <v>254</v>
      </c>
      <c r="E6" s="158">
        <f>BS!K8</f>
        <v>549067.04512087698</v>
      </c>
      <c r="F6" s="158">
        <f>BS!L8</f>
        <v>704202.37818090653</v>
      </c>
      <c r="G6" s="158">
        <f>BS!M8</f>
        <v>495542.24649258901</v>
      </c>
      <c r="H6" s="158">
        <f>BS!N8</f>
        <v>525805.61265546584</v>
      </c>
      <c r="I6" s="158">
        <f>BS!O8</f>
        <v>464899.79835183016</v>
      </c>
      <c r="J6" s="158">
        <f>BS!P8</f>
        <v>497532.59953137022</v>
      </c>
      <c r="K6" s="158">
        <f>BS!Q8</f>
        <v>578582.11789980531</v>
      </c>
      <c r="L6" s="158">
        <f>BS!R8</f>
        <v>423535.78417504957</v>
      </c>
      <c r="M6" s="158">
        <f>BS!S8</f>
        <v>364258.45560230134</v>
      </c>
      <c r="N6" s="158">
        <f>BS!T8</f>
        <v>317088.5168476777</v>
      </c>
      <c r="O6" s="158">
        <f>BS!U8</f>
        <v>371394.66411753715</v>
      </c>
      <c r="P6" s="158">
        <f>BS!V8</f>
        <v>511984.88920415915</v>
      </c>
      <c r="Q6" s="158">
        <f>BS!W8</f>
        <v>442436.66892831749</v>
      </c>
      <c r="R6" s="158">
        <f>BS!X8</f>
        <v>385573.79755789757</v>
      </c>
      <c r="S6" s="158">
        <f>BS!Y8</f>
        <v>487538.21240393096</v>
      </c>
      <c r="T6" s="158">
        <f>BS!Z8</f>
        <v>450259.80383090657</v>
      </c>
      <c r="U6" s="158">
        <f>BS!AA8</f>
        <v>463307.34634690464</v>
      </c>
      <c r="V6" s="158">
        <f>BS!AB8</f>
        <v>505619.64124339854</v>
      </c>
      <c r="W6" s="158">
        <f>BS!AC8</f>
        <v>421332.81111287343</v>
      </c>
      <c r="X6" s="158">
        <f>BS!AD8</f>
        <v>605742.18486179924</v>
      </c>
    </row>
    <row r="7" spans="1:24" x14ac:dyDescent="0.2">
      <c r="A7" s="339"/>
      <c r="B7" s="339"/>
      <c r="C7" s="157" t="s">
        <v>389</v>
      </c>
      <c r="D7" s="204" t="s">
        <v>254</v>
      </c>
      <c r="E7" s="158">
        <f>BS!K31</f>
        <v>128869.82480180101</v>
      </c>
      <c r="F7" s="158">
        <f>BS!L31</f>
        <v>186945.97159792983</v>
      </c>
      <c r="G7" s="158">
        <f>BS!M31</f>
        <v>121070.40035029763</v>
      </c>
      <c r="H7" s="158">
        <f>BS!N31</f>
        <v>142642.828275787</v>
      </c>
      <c r="I7" s="158">
        <f>BS!O31</f>
        <v>109798.30420407464</v>
      </c>
      <c r="J7" s="158">
        <f>BS!P31</f>
        <v>107201.02862523097</v>
      </c>
      <c r="K7" s="158">
        <f>BS!Q31</f>
        <v>133237.25091411834</v>
      </c>
      <c r="L7" s="158">
        <f>BS!R31</f>
        <v>72878.706393790912</v>
      </c>
      <c r="M7" s="158">
        <f>BS!S31</f>
        <v>63796.283347063683</v>
      </c>
      <c r="N7" s="158">
        <f>BS!T31</f>
        <v>50362.669507993865</v>
      </c>
      <c r="O7" s="158">
        <f>BS!U31</f>
        <v>70970.938951934033</v>
      </c>
      <c r="P7" s="158">
        <f>BS!V31</f>
        <v>72382.635296070206</v>
      </c>
      <c r="Q7" s="158">
        <f>BS!W31</f>
        <v>71741.098619574914</v>
      </c>
      <c r="R7" s="158">
        <f>BS!X31</f>
        <v>55312.375752491353</v>
      </c>
      <c r="S7" s="158">
        <f>BS!Y31</f>
        <v>55633.950859933386</v>
      </c>
      <c r="T7" s="158">
        <f>BS!Z31</f>
        <v>70419.118141230851</v>
      </c>
      <c r="U7" s="158">
        <f>BS!AA31</f>
        <v>92178.70623364365</v>
      </c>
      <c r="V7" s="158">
        <f>BS!AB31</f>
        <v>61202.145182332504</v>
      </c>
      <c r="W7" s="158">
        <f>BS!AC31</f>
        <v>52501.198843324106</v>
      </c>
      <c r="X7" s="158">
        <f>BS!AD31</f>
        <v>90744.652943192807</v>
      </c>
    </row>
    <row r="8" spans="1:24" x14ac:dyDescent="0.2">
      <c r="A8" s="339"/>
      <c r="B8" s="339"/>
      <c r="C8" s="157" t="s">
        <v>390</v>
      </c>
      <c r="D8" s="204" t="s">
        <v>254</v>
      </c>
      <c r="E8" s="158">
        <f>BS!K37</f>
        <v>342955.11682210304</v>
      </c>
      <c r="F8" s="158">
        <f>BS!L37</f>
        <v>419874.82315861102</v>
      </c>
      <c r="G8" s="158">
        <f>BS!M37</f>
        <v>266404.61352442903</v>
      </c>
      <c r="H8" s="158">
        <f>BS!N37</f>
        <v>273738.72181389423</v>
      </c>
      <c r="I8" s="158">
        <f>BS!O37</f>
        <v>218049.72281414509</v>
      </c>
      <c r="J8" s="158">
        <f>BS!P37</f>
        <v>233171.54438506378</v>
      </c>
      <c r="K8" s="158">
        <f>BS!Q37</f>
        <v>281625.43736160622</v>
      </c>
      <c r="L8" s="158">
        <f>BS!R37</f>
        <v>231557.82145200126</v>
      </c>
      <c r="M8" s="158">
        <f>BS!S37</f>
        <v>160933.00970345858</v>
      </c>
      <c r="N8" s="158">
        <f>BS!T37</f>
        <v>174018.36432589323</v>
      </c>
      <c r="O8" s="158">
        <f>BS!U37</f>
        <v>161165.72413560722</v>
      </c>
      <c r="P8" s="158">
        <f>BS!V37</f>
        <v>196940.55438071213</v>
      </c>
      <c r="Q8" s="158">
        <f>BS!W37</f>
        <v>173465.5041206766</v>
      </c>
      <c r="R8" s="158">
        <f>BS!X37</f>
        <v>193860.85275546697</v>
      </c>
      <c r="S8" s="158">
        <f>BS!Y37</f>
        <v>223733.43126487394</v>
      </c>
      <c r="T8" s="158">
        <f>BS!Z37</f>
        <v>174509.0103194252</v>
      </c>
      <c r="U8" s="158">
        <f>BS!AA37</f>
        <v>185846.06871165644</v>
      </c>
      <c r="V8" s="158">
        <f>BS!AB37</f>
        <v>274456.37670133094</v>
      </c>
      <c r="W8" s="158">
        <f>BS!AC37</f>
        <v>192551.07213362781</v>
      </c>
      <c r="X8" s="158">
        <f>BS!AD37</f>
        <v>279623.00470536912</v>
      </c>
    </row>
    <row r="9" spans="1:24" x14ac:dyDescent="0.2">
      <c r="A9" s="339"/>
      <c r="B9" s="339"/>
      <c r="C9" s="159" t="s">
        <v>391</v>
      </c>
      <c r="D9" s="205" t="s">
        <v>254</v>
      </c>
      <c r="E9" s="160">
        <f>BS!K43</f>
        <v>77242.117479271197</v>
      </c>
      <c r="F9" s="160">
        <f>BS!L43</f>
        <v>97381.565516376853</v>
      </c>
      <c r="G9" s="160">
        <f>BS!M43</f>
        <v>108067.23261786168</v>
      </c>
      <c r="H9" s="160">
        <f>BS!N43</f>
        <v>109424.06256578342</v>
      </c>
      <c r="I9" s="160">
        <f>BS!O43</f>
        <v>137051.77133361096</v>
      </c>
      <c r="J9" s="160">
        <f>BS!P43</f>
        <v>157160.02652107546</v>
      </c>
      <c r="K9" s="160">
        <f>BS!Q43</f>
        <v>163719.42962408118</v>
      </c>
      <c r="L9" s="160">
        <f>BS!R43</f>
        <v>119099.25632925727</v>
      </c>
      <c r="M9" s="160">
        <f>BS!S43</f>
        <v>139529.1625517784</v>
      </c>
      <c r="N9" s="160">
        <f>BS!T43</f>
        <v>92707.483013790363</v>
      </c>
      <c r="O9" s="160">
        <f>BS!U43</f>
        <v>139258.00102999643</v>
      </c>
      <c r="P9" s="160">
        <f>BS!V43</f>
        <v>242661.69952737604</v>
      </c>
      <c r="Q9" s="160">
        <f>BS!W43</f>
        <v>197230.06618806516</v>
      </c>
      <c r="R9" s="160">
        <f>BS!X43</f>
        <v>136400.56904993937</v>
      </c>
      <c r="S9" s="160">
        <f>BS!Y43</f>
        <v>208170.8302791233</v>
      </c>
      <c r="T9" s="160">
        <f>BS!Z43</f>
        <v>205331.6753702501</v>
      </c>
      <c r="U9" s="160">
        <f>BS!AA43</f>
        <v>185282.57140160454</v>
      </c>
      <c r="V9" s="160">
        <f>BS!AB43</f>
        <v>169961.11935973505</v>
      </c>
      <c r="W9" s="160">
        <f>BS!AC43</f>
        <v>176280.54012982099</v>
      </c>
      <c r="X9" s="160">
        <f>BS!AD43</f>
        <v>235374.52721946963</v>
      </c>
    </row>
    <row r="10" spans="1:24" x14ac:dyDescent="0.2">
      <c r="A10" s="339"/>
      <c r="B10" s="339" t="s">
        <v>398</v>
      </c>
      <c r="C10" s="155" t="s">
        <v>310</v>
      </c>
      <c r="D10" s="203" t="s">
        <v>254</v>
      </c>
      <c r="E10" s="156">
        <f>PL!K6</f>
        <v>107629.490764692</v>
      </c>
      <c r="F10" s="156">
        <f>PL!L6</f>
        <v>153443.90322522877</v>
      </c>
      <c r="G10" s="156">
        <f>PL!M6</f>
        <v>122702.14935468711</v>
      </c>
      <c r="H10" s="156">
        <f>PL!N6</f>
        <v>134643.77120936109</v>
      </c>
      <c r="I10" s="156">
        <f>PL!O6</f>
        <v>122190.1530570623</v>
      </c>
      <c r="J10" s="156">
        <f>PL!P6</f>
        <v>117117.86794373595</v>
      </c>
      <c r="K10" s="156">
        <f>PL!Q6</f>
        <v>128747.066465904</v>
      </c>
      <c r="L10" s="156">
        <f>PL!R6</f>
        <v>89330.530343840102</v>
      </c>
      <c r="M10" s="156">
        <f>PL!S6</f>
        <v>77413.875779371112</v>
      </c>
      <c r="N10" s="156">
        <f>PL!T6</f>
        <v>73200.946820408819</v>
      </c>
      <c r="O10" s="156">
        <f>PL!U6</f>
        <v>71135.359744677393</v>
      </c>
      <c r="P10" s="156">
        <f>PL!V6</f>
        <v>80506.792831506449</v>
      </c>
      <c r="Q10" s="156">
        <f>PL!W6</f>
        <v>80809.01291244899</v>
      </c>
      <c r="R10" s="156">
        <f>PL!X6</f>
        <v>75808.624721591332</v>
      </c>
      <c r="S10" s="156">
        <f>PL!Y6</f>
        <v>85473.774217329614</v>
      </c>
      <c r="T10" s="156">
        <f>PL!Z6</f>
        <v>86955.078162896534</v>
      </c>
      <c r="U10" s="156">
        <f>PL!AA6</f>
        <v>88371.048650735771</v>
      </c>
      <c r="V10" s="156">
        <f>PL!AB6</f>
        <v>66670.964787937322</v>
      </c>
      <c r="W10" s="156">
        <f>PL!AC6</f>
        <v>79707.523542258947</v>
      </c>
      <c r="X10" s="156">
        <f>PL!AD6</f>
        <v>106703.8265370353</v>
      </c>
    </row>
    <row r="11" spans="1:24" x14ac:dyDescent="0.2">
      <c r="A11" s="339"/>
      <c r="B11" s="339"/>
      <c r="C11" s="157" t="s">
        <v>392</v>
      </c>
      <c r="D11" s="204" t="s">
        <v>254</v>
      </c>
      <c r="E11" s="158">
        <f>PL!K6-PL!K8</f>
        <v>70304.905969043306</v>
      </c>
      <c r="F11" s="158">
        <f>PL!L6-PL!L8</f>
        <v>89478.98497519744</v>
      </c>
      <c r="G11" s="158">
        <f>PL!M6-PL!M8</f>
        <v>77671.456292426679</v>
      </c>
      <c r="H11" s="158">
        <f>PL!N6-PL!N8</f>
        <v>74643.50668673437</v>
      </c>
      <c r="I11" s="158">
        <f>PL!O6-PL!O8</f>
        <v>75694.690934461323</v>
      </c>
      <c r="J11" s="158">
        <f>PL!P6-PL!P8</f>
        <v>72273.20324572087</v>
      </c>
      <c r="K11" s="158">
        <f>PL!Q6-PL!Q8</f>
        <v>73710.198353025771</v>
      </c>
      <c r="L11" s="158">
        <f>PL!R6-PL!R8</f>
        <v>58188.386442185758</v>
      </c>
      <c r="M11" s="158">
        <f>PL!S6-PL!S8</f>
        <v>51723.019268415694</v>
      </c>
      <c r="N11" s="158">
        <f>PL!T6-PL!T8</f>
        <v>50056.988013088732</v>
      </c>
      <c r="O11" s="158">
        <f>PL!U6-PL!U8</f>
        <v>47809.895176616847</v>
      </c>
      <c r="P11" s="158">
        <f>PL!V6-PL!V8</f>
        <v>57397.481323203989</v>
      </c>
      <c r="Q11" s="158">
        <f>PL!W6-PL!W8</f>
        <v>55105.470602103516</v>
      </c>
      <c r="R11" s="158">
        <f>PL!X6-PL!X8</f>
        <v>50408.63443318542</v>
      </c>
      <c r="S11" s="158">
        <f>PL!Y6-PL!Y8</f>
        <v>53880.341749312174</v>
      </c>
      <c r="T11" s="158">
        <f>PL!Z6-PL!Z8</f>
        <v>54851.873163197532</v>
      </c>
      <c r="U11" s="158">
        <f>PL!AA6-PL!AA8</f>
        <v>52711.879951949893</v>
      </c>
      <c r="V11" s="158">
        <f>PL!AB6-PL!AB8</f>
        <v>46971.164299961107</v>
      </c>
      <c r="W11" s="158">
        <f>PL!AC6-PL!AC8</f>
        <v>49582.486603057638</v>
      </c>
      <c r="X11" s="158">
        <f>PL!AD6-PL!AD8</f>
        <v>67355.959396715596</v>
      </c>
    </row>
    <row r="12" spans="1:24" x14ac:dyDescent="0.2">
      <c r="A12" s="339"/>
      <c r="B12" s="339"/>
      <c r="C12" s="157" t="s">
        <v>69</v>
      </c>
      <c r="D12" s="204" t="s">
        <v>254</v>
      </c>
      <c r="E12" s="158">
        <f>PL!K42</f>
        <v>13346.288818356014</v>
      </c>
      <c r="F12" s="158">
        <f>PL!L42</f>
        <v>20564.979137193121</v>
      </c>
      <c r="G12" s="158">
        <f>PL!M42</f>
        <v>15683.030068947846</v>
      </c>
      <c r="H12" s="158">
        <f>PL!N42</f>
        <v>16565.853197868142</v>
      </c>
      <c r="I12" s="158">
        <f>PL!O42</f>
        <v>16650.012585857883</v>
      </c>
      <c r="J12" s="158">
        <f>PL!P42</f>
        <v>15578.694900054616</v>
      </c>
      <c r="K12" s="158">
        <f>PL!Q42</f>
        <v>15956.705282171697</v>
      </c>
      <c r="L12" s="158">
        <f>PL!R42</f>
        <v>9608.8482881495511</v>
      </c>
      <c r="M12" s="158">
        <f>PL!S42</f>
        <v>7961.8069818990098</v>
      </c>
      <c r="N12" s="158">
        <f>PL!T42</f>
        <v>7932.5825174648262</v>
      </c>
      <c r="O12" s="158">
        <f>PL!U42</f>
        <v>9166.024701561093</v>
      </c>
      <c r="P12" s="158">
        <f>PL!V42</f>
        <v>11919.459922975877</v>
      </c>
      <c r="Q12" s="158">
        <f>PL!W42</f>
        <v>11562.041267877517</v>
      </c>
      <c r="R12" s="158">
        <f>PL!X42</f>
        <v>9783.1164941565912</v>
      </c>
      <c r="S12" s="158">
        <f>PL!Y42</f>
        <v>11277.73322352064</v>
      </c>
      <c r="T12" s="158">
        <f>PL!Z42</f>
        <v>11464.515317206055</v>
      </c>
      <c r="U12" s="158">
        <f>PL!AA42</f>
        <v>8432.6895448110172</v>
      </c>
      <c r="V12" s="158">
        <f>PL!AB42</f>
        <v>7265.1887489494075</v>
      </c>
      <c r="W12" s="158">
        <f>PL!AC42</f>
        <v>9918.339822350199</v>
      </c>
      <c r="X12" s="158">
        <f>PL!AD42</f>
        <v>16173.998709918667</v>
      </c>
    </row>
    <row r="13" spans="1:24" x14ac:dyDescent="0.2">
      <c r="A13" s="339"/>
      <c r="B13" s="339"/>
      <c r="C13" s="157" t="s">
        <v>311</v>
      </c>
      <c r="D13" s="204" t="s">
        <v>254</v>
      </c>
      <c r="E13" s="158">
        <f>PL!K34</f>
        <v>11147.006110264399</v>
      </c>
      <c r="F13" s="158">
        <f>PL!L34</f>
        <v>15653.910209344389</v>
      </c>
      <c r="G13" s="158">
        <f>PL!M34</f>
        <v>12834.758099289995</v>
      </c>
      <c r="H13" s="158">
        <f>PL!N34</f>
        <v>13799.538513916081</v>
      </c>
      <c r="I13" s="158">
        <f>PL!O34</f>
        <v>15135.57588319772</v>
      </c>
      <c r="J13" s="158">
        <f>PL!P34</f>
        <v>14109.223651654676</v>
      </c>
      <c r="K13" s="158">
        <f>PL!Q34</f>
        <v>13205.609216910569</v>
      </c>
      <c r="L13" s="158">
        <f>PL!R34</f>
        <v>8903.2891178717491</v>
      </c>
      <c r="M13" s="158">
        <f>PL!S34</f>
        <v>7504.3614091854324</v>
      </c>
      <c r="N13" s="158">
        <f>PL!T34</f>
        <v>7979.739968630749</v>
      </c>
      <c r="O13" s="158">
        <f>PL!U34</f>
        <v>10011.418791640424</v>
      </c>
      <c r="P13" s="158">
        <f>PL!V34</f>
        <v>12362.16355973294</v>
      </c>
      <c r="Q13" s="158">
        <f>PL!W34</f>
        <v>11032.628548314819</v>
      </c>
      <c r="R13" s="158">
        <f>PL!X34</f>
        <v>9803.6832285068012</v>
      </c>
      <c r="S13" s="158">
        <f>PL!Y34</f>
        <v>11923.888319386093</v>
      </c>
      <c r="T13" s="158">
        <f>PL!Z34</f>
        <v>12028.524548764428</v>
      </c>
      <c r="U13" s="158">
        <f>PL!AA34</f>
        <v>10360.624788708226</v>
      </c>
      <c r="V13" s="158">
        <f>PL!AB34</f>
        <v>7256.3373809852355</v>
      </c>
      <c r="W13" s="158">
        <f>PL!AC34</f>
        <v>10985.737185666003</v>
      </c>
      <c r="X13" s="158">
        <f>PL!AD34</f>
        <v>15736.719846685986</v>
      </c>
    </row>
    <row r="14" spans="1:24" x14ac:dyDescent="0.2">
      <c r="A14" s="339"/>
      <c r="B14" s="339"/>
      <c r="C14" s="157" t="s">
        <v>393</v>
      </c>
      <c r="D14" s="204" t="s">
        <v>254</v>
      </c>
      <c r="E14" s="158">
        <f>PL!K37</f>
        <v>2426.4944979655802</v>
      </c>
      <c r="F14" s="158">
        <f>PL!L37</f>
        <v>16067.799645421821</v>
      </c>
      <c r="G14" s="158">
        <f>PL!M37</f>
        <v>13093.328213808205</v>
      </c>
      <c r="H14" s="158">
        <f>PL!N37</f>
        <v>14622.064667718229</v>
      </c>
      <c r="I14" s="158">
        <f>PL!O37</f>
        <v>12224.739690103819</v>
      </c>
      <c r="J14" s="158">
        <f>PL!P37</f>
        <v>10688.981731880265</v>
      </c>
      <c r="K14" s="158">
        <f>PL!Q37</f>
        <v>10852.600283633674</v>
      </c>
      <c r="L14" s="158">
        <f>PL!R37</f>
        <v>4696.030752137297</v>
      </c>
      <c r="M14" s="158">
        <f>PL!S37</f>
        <v>1519.7000965564093</v>
      </c>
      <c r="N14" s="158">
        <f>PL!T37</f>
        <v>6059.4749147078455</v>
      </c>
      <c r="O14" s="158">
        <f>PL!U37</f>
        <v>9611.8902624316142</v>
      </c>
      <c r="P14" s="158">
        <f>PL!V37</f>
        <v>40720.135608632583</v>
      </c>
      <c r="Q14" s="158">
        <f>PL!W37</f>
        <v>10847.46255989432</v>
      </c>
      <c r="R14" s="158">
        <f>PL!X37</f>
        <v>9735.837495467229</v>
      </c>
      <c r="S14" s="158">
        <f>PL!Y37</f>
        <v>10681.917934378653</v>
      </c>
      <c r="T14" s="158">
        <f>PL!Z37</f>
        <v>31516.465608579339</v>
      </c>
      <c r="U14" s="158">
        <f>PL!AA37</f>
        <v>11236.88776009267</v>
      </c>
      <c r="V14" s="158">
        <f>PL!AB37</f>
        <v>8505.1217118055119</v>
      </c>
      <c r="W14" s="158">
        <f>PL!AC37</f>
        <v>-17436.310813943557</v>
      </c>
      <c r="X14" s="158">
        <f>PL!AD37</f>
        <v>19275.658016266243</v>
      </c>
    </row>
    <row r="15" spans="1:24" x14ac:dyDescent="0.2">
      <c r="A15" s="339"/>
      <c r="B15" s="339"/>
      <c r="C15" s="159" t="s">
        <v>394</v>
      </c>
      <c r="D15" s="205" t="s">
        <v>254</v>
      </c>
      <c r="E15" s="160">
        <f>PL!K38</f>
        <v>-1035.9054237335502</v>
      </c>
      <c r="F15" s="160">
        <f>PL!L38</f>
        <v>9664.3684747765983</v>
      </c>
      <c r="G15" s="160">
        <f>PL!M38</f>
        <v>7013.6152175468096</v>
      </c>
      <c r="H15" s="160">
        <f>PL!N38</f>
        <v>8975.2023353557433</v>
      </c>
      <c r="I15" s="160">
        <f>PL!O38</f>
        <v>6873.5860034603693</v>
      </c>
      <c r="J15" s="160">
        <f>PL!P38</f>
        <v>5555.1287500916715</v>
      </c>
      <c r="K15" s="160">
        <f>PL!Q38</f>
        <v>7039.4107982695805</v>
      </c>
      <c r="L15" s="160">
        <f>PL!R38</f>
        <v>2019.5983507122737</v>
      </c>
      <c r="M15" s="160">
        <f>PL!S38</f>
        <v>-1063.9032941263251</v>
      </c>
      <c r="N15" s="160">
        <f>PL!T38</f>
        <v>3538.5080804681147</v>
      </c>
      <c r="O15" s="160">
        <f>PL!U38</f>
        <v>6911.1328719467328</v>
      </c>
      <c r="P15" s="160">
        <f>PL!V38</f>
        <v>26751.913530238588</v>
      </c>
      <c r="Q15" s="160">
        <f>PL!W38</f>
        <v>7625.401144384532</v>
      </c>
      <c r="R15" s="160">
        <f>PL!X38</f>
        <v>7120.7384743157536</v>
      </c>
      <c r="S15" s="160">
        <f>PL!Y38</f>
        <v>7131.9435089397302</v>
      </c>
      <c r="T15" s="160">
        <f>PL!Z38</f>
        <v>27532.113608426331</v>
      </c>
      <c r="U15" s="160">
        <f>PL!AA38</f>
        <v>8313.4968295508188</v>
      </c>
      <c r="V15" s="160">
        <f>PL!AB38</f>
        <v>5840.4715681724092</v>
      </c>
      <c r="W15" s="160">
        <f>PL!AC38</f>
        <v>-24599.084115228343</v>
      </c>
      <c r="X15" s="160">
        <f>PL!AD38</f>
        <v>13665.694873952198</v>
      </c>
    </row>
    <row r="16" spans="1:24" x14ac:dyDescent="0.2">
      <c r="A16" s="339"/>
      <c r="B16" s="78"/>
      <c r="C16" s="78" t="s">
        <v>317</v>
      </c>
      <c r="D16" s="202" t="s">
        <v>318</v>
      </c>
      <c r="E16" s="100">
        <f>PL!K5</f>
        <v>5.5180161915015598</v>
      </c>
      <c r="F16" s="100">
        <f>PL!L5</f>
        <v>6.8928744112748701</v>
      </c>
      <c r="G16" s="100">
        <f>PL!M5</f>
        <v>6.5164774718826237</v>
      </c>
      <c r="H16" s="100">
        <f>PL!N5</f>
        <v>7.0538757410632709</v>
      </c>
      <c r="I16" s="100">
        <f>PL!O5</f>
        <v>7.5244098520277953</v>
      </c>
      <c r="J16" s="100">
        <f>PL!P5</f>
        <v>6.4555693157831548</v>
      </c>
      <c r="K16" s="100">
        <f>PL!Q5</f>
        <v>6.4912934958534283</v>
      </c>
      <c r="L16" s="100">
        <f>PL!R5</f>
        <v>4.873875028211871</v>
      </c>
      <c r="M16" s="100">
        <f>PL!S5</f>
        <v>4.4633525110334187</v>
      </c>
      <c r="N16" s="100">
        <f>PL!T5</f>
        <v>4.7179208744010532</v>
      </c>
      <c r="O16" s="100">
        <f>PL!U5</f>
        <v>4.470740099773467</v>
      </c>
      <c r="P16" s="100">
        <f>PL!V5</f>
        <v>4.3753422066729435</v>
      </c>
      <c r="Q16" s="100">
        <f>PL!W5</f>
        <v>4.6349237279689053</v>
      </c>
      <c r="R16" s="100">
        <f>PL!X5</f>
        <v>4.3081710075024651</v>
      </c>
      <c r="S16" s="100">
        <f>PL!Y5</f>
        <v>4.7574940863894222</v>
      </c>
      <c r="T16" s="100">
        <f>PL!Z5</f>
        <v>4.6238176317259763</v>
      </c>
      <c r="U16" s="100">
        <f>PL!AA5</f>
        <v>4.8296280406709853</v>
      </c>
      <c r="V16" s="100">
        <f>PL!AB5</f>
        <v>4.0625525295733658</v>
      </c>
      <c r="W16" s="100">
        <f>PL!AC5</f>
        <v>3.980112007223124</v>
      </c>
      <c r="X16" s="100">
        <f>PL!AD5</f>
        <v>4.2826150634134184</v>
      </c>
    </row>
    <row r="17" spans="1:24"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c r="X17" s="155"/>
    </row>
    <row r="18" spans="1:24" x14ac:dyDescent="0.2">
      <c r="A18" s="341"/>
      <c r="B18" s="163"/>
      <c r="C18" s="164" t="s">
        <v>399</v>
      </c>
      <c r="D18" s="204" t="s">
        <v>404</v>
      </c>
      <c r="E18" s="165">
        <f t="shared" ref="E18:M18" si="0">(E12/E6)*100</f>
        <v>2.4307211545391203</v>
      </c>
      <c r="F18" s="165">
        <f>(F12/F6)*100</f>
        <v>2.9203223071067317</v>
      </c>
      <c r="G18" s="165">
        <f t="shared" si="0"/>
        <v>3.1648220065899855</v>
      </c>
      <c r="H18" s="165">
        <f t="shared" si="0"/>
        <v>3.150566064558713</v>
      </c>
      <c r="I18" s="165">
        <f t="shared" si="0"/>
        <v>3.5814196187836091</v>
      </c>
      <c r="J18" s="165">
        <f t="shared" si="0"/>
        <v>3.1311907832227091</v>
      </c>
      <c r="K18" s="165">
        <f t="shared" si="0"/>
        <v>2.7578981078939884</v>
      </c>
      <c r="L18" s="165">
        <f t="shared" si="0"/>
        <v>2.2687217106968616</v>
      </c>
      <c r="M18" s="165">
        <f t="shared" si="0"/>
        <v>2.1857576288062175</v>
      </c>
      <c r="N18" s="165">
        <f t="shared" ref="N18:X18" si="1">(N12/N6)*100</f>
        <v>2.5016934060956433</v>
      </c>
      <c r="O18" s="165">
        <f t="shared" si="1"/>
        <v>2.4680011823380088</v>
      </c>
      <c r="P18" s="165">
        <f t="shared" si="1"/>
        <v>2.328088225709894</v>
      </c>
      <c r="Q18" s="165">
        <f t="shared" si="1"/>
        <v>2.6132646952350078</v>
      </c>
      <c r="R18" s="165">
        <f t="shared" si="1"/>
        <v>2.5372876881467969</v>
      </c>
      <c r="S18" s="165">
        <f t="shared" ref="S18:T18" si="2">(S12/S6)*100</f>
        <v>2.3131998552304056</v>
      </c>
      <c r="T18" s="165">
        <f t="shared" si="2"/>
        <v>2.5462000426561531</v>
      </c>
      <c r="U18" s="165">
        <f t="shared" ref="U18:W18" si="3">(U12/U6)*100</f>
        <v>1.8201070221098938</v>
      </c>
      <c r="V18" s="165">
        <f t="shared" si="3"/>
        <v>1.4368881578815176</v>
      </c>
      <c r="W18" s="165">
        <f t="shared" si="3"/>
        <v>2.3540392679489455</v>
      </c>
      <c r="X18" s="165">
        <f t="shared" si="1"/>
        <v>2.670112650914148</v>
      </c>
    </row>
    <row r="19" spans="1:24" x14ac:dyDescent="0.2">
      <c r="A19" s="341"/>
      <c r="B19" s="163"/>
      <c r="C19" s="164" t="s">
        <v>400</v>
      </c>
      <c r="D19" s="204" t="s">
        <v>404</v>
      </c>
      <c r="E19" s="166">
        <f t="shared" ref="E19:M19" si="4">(E13/E6)*100</f>
        <v>2.0301721273055806</v>
      </c>
      <c r="F19" s="166">
        <f>(F13/F6)*100</f>
        <v>2.2229277682619482</v>
      </c>
      <c r="G19" s="166">
        <f t="shared" si="4"/>
        <v>2.5900431678900144</v>
      </c>
      <c r="H19" s="166">
        <f t="shared" si="4"/>
        <v>2.624456297494532</v>
      </c>
      <c r="I19" s="166">
        <f t="shared" si="4"/>
        <v>3.2556641101709647</v>
      </c>
      <c r="J19" s="166">
        <f t="shared" si="4"/>
        <v>2.8358390314412087</v>
      </c>
      <c r="K19" s="166">
        <f t="shared" si="4"/>
        <v>2.2824088073868576</v>
      </c>
      <c r="L19" s="166">
        <f t="shared" si="4"/>
        <v>2.1021338575235884</v>
      </c>
      <c r="M19" s="166">
        <f t="shared" si="4"/>
        <v>2.0601749372645228</v>
      </c>
      <c r="N19" s="166">
        <f t="shared" ref="N19:X19" si="5">(N13/N6)*100</f>
        <v>2.516565420899187</v>
      </c>
      <c r="O19" s="166">
        <f t="shared" si="5"/>
        <v>2.6956280633240493</v>
      </c>
      <c r="P19" s="166">
        <f t="shared" si="5"/>
        <v>2.4145563317208376</v>
      </c>
      <c r="Q19" s="166">
        <f t="shared" si="5"/>
        <v>2.4936062770381038</v>
      </c>
      <c r="R19" s="166">
        <f t="shared" si="5"/>
        <v>2.5426217472764563</v>
      </c>
      <c r="S19" s="166">
        <f t="shared" ref="S19:T19" si="6">(S13/S6)*100</f>
        <v>2.4457341016599154</v>
      </c>
      <c r="T19" s="166">
        <f t="shared" si="6"/>
        <v>2.6714631078375581</v>
      </c>
      <c r="U19" s="166">
        <f t="shared" ref="U19:W19" si="7">(U13/U6)*100</f>
        <v>2.2362314930682397</v>
      </c>
      <c r="V19" s="166">
        <f t="shared" si="7"/>
        <v>1.435137559755542</v>
      </c>
      <c r="W19" s="166">
        <f t="shared" si="7"/>
        <v>2.6073775637480479</v>
      </c>
      <c r="X19" s="166">
        <f t="shared" si="5"/>
        <v>2.5979237107741366</v>
      </c>
    </row>
    <row r="20" spans="1:24" x14ac:dyDescent="0.2">
      <c r="A20" s="341"/>
      <c r="B20" s="163"/>
      <c r="C20" s="164" t="s">
        <v>401</v>
      </c>
      <c r="D20" s="204" t="s">
        <v>404</v>
      </c>
      <c r="E20" s="166">
        <f t="shared" ref="E20:M20" si="8">(E15/E6)*100</f>
        <v>-0.18866647214376084</v>
      </c>
      <c r="F20" s="166">
        <f>(F15/F6)*100</f>
        <v>1.3723850947140459</v>
      </c>
      <c r="G20" s="166">
        <f t="shared" si="8"/>
        <v>1.4153415308560782</v>
      </c>
      <c r="H20" s="166">
        <f t="shared" si="8"/>
        <v>1.7069430449835739</v>
      </c>
      <c r="I20" s="166">
        <f t="shared" si="8"/>
        <v>1.478509138491501</v>
      </c>
      <c r="J20" s="166">
        <f t="shared" si="8"/>
        <v>1.1165356310971561</v>
      </c>
      <c r="K20" s="166">
        <f t="shared" si="8"/>
        <v>1.2166658077546419</v>
      </c>
      <c r="L20" s="166">
        <f t="shared" si="8"/>
        <v>0.47684243602839538</v>
      </c>
      <c r="M20" s="166">
        <f t="shared" si="8"/>
        <v>-0.29207373988536822</v>
      </c>
      <c r="N20" s="166">
        <f t="shared" ref="N20:X20" si="9">(N15/N6)*100</f>
        <v>1.1159369994366386</v>
      </c>
      <c r="O20" s="166">
        <f t="shared" si="9"/>
        <v>1.8608594952133</v>
      </c>
      <c r="P20" s="166">
        <f t="shared" si="9"/>
        <v>5.2251373222796413</v>
      </c>
      <c r="Q20" s="166">
        <f t="shared" si="9"/>
        <v>1.7235011652300414</v>
      </c>
      <c r="R20" s="166">
        <f t="shared" si="9"/>
        <v>1.8467900358935845</v>
      </c>
      <c r="S20" s="166">
        <f t="shared" ref="S20:T20" si="10">(S15/S6)*100</f>
        <v>1.4628481065666366</v>
      </c>
      <c r="T20" s="166">
        <f t="shared" si="10"/>
        <v>6.1147171864281971</v>
      </c>
      <c r="U20" s="166">
        <f t="shared" ref="U20:W20" si="11">(U15/U6)*100</f>
        <v>1.7943805327287061</v>
      </c>
      <c r="V20" s="166">
        <f t="shared" si="11"/>
        <v>1.1551116870795934</v>
      </c>
      <c r="W20" s="166">
        <f t="shared" si="11"/>
        <v>-5.8383974536078425</v>
      </c>
      <c r="X20" s="166">
        <f t="shared" si="9"/>
        <v>2.2560249583855616</v>
      </c>
    </row>
    <row r="21" spans="1:24" x14ac:dyDescent="0.2">
      <c r="A21" s="341"/>
      <c r="B21" s="163"/>
      <c r="C21" s="164" t="s">
        <v>402</v>
      </c>
      <c r="D21" s="204" t="s">
        <v>404</v>
      </c>
      <c r="E21" s="166">
        <f>(E12/(E6-BS!K22-BS!K27-BS!K28))*100</f>
        <v>2.7396782867216674</v>
      </c>
      <c r="F21" s="166">
        <f>(F12/(F6-BS!L22-BS!L27-BS!L28))*100</f>
        <v>3.4493033189387243</v>
      </c>
      <c r="G21" s="166">
        <f>(G12/(G6-BS!M22-BS!M27-BS!M28))*100</f>
        <v>3.6786727969385291</v>
      </c>
      <c r="H21" s="166">
        <f>(H12/(H6-BS!N22-BS!N27-BS!N28))*100</f>
        <v>3.6613849395409264</v>
      </c>
      <c r="I21" s="166">
        <f>(I12/(I6-BS!O22-BS!O27-BS!O28))*100</f>
        <v>4.0825813240601416</v>
      </c>
      <c r="J21" s="166">
        <f>(J12/(J6-BS!P22-BS!P27-BS!P28))*100</f>
        <v>3.7309960102414665</v>
      </c>
      <c r="K21" s="166">
        <f>(K12/(K6-BS!Q22-BS!Q27-BS!Q28))*100</f>
        <v>3.144611439655919</v>
      </c>
      <c r="L21" s="166">
        <f>(L12/(L6-BS!R22-BS!R27-BS!R28))*100</f>
        <v>2.6444951879072378</v>
      </c>
      <c r="M21" s="166">
        <f>(M12/(M6-BS!S22-BS!S27-BS!S28))*100</f>
        <v>2.4257731380062713</v>
      </c>
      <c r="N21" s="166">
        <f>(N12/(N6-BS!T22-BS!T27-BS!T28))*100</f>
        <v>2.7289183131351336</v>
      </c>
      <c r="O21" s="166">
        <f>(O12/(O6-BS!U22-BS!U27-BS!U28))*100</f>
        <v>2.9734779339503343</v>
      </c>
      <c r="P21" s="166">
        <f>(P12/(P6-BS!V22-BS!V27-BS!V28))*100</f>
        <v>3.1377836423053513</v>
      </c>
      <c r="Q21" s="166">
        <f>(Q12/(Q6-BS!W22-BS!W27-BS!W28))*100</f>
        <v>3.0605717558914289</v>
      </c>
      <c r="R21" s="166">
        <f>(R12/(R6-BS!X22-BS!X27-BS!X28))*100</f>
        <v>2.951552947578036</v>
      </c>
      <c r="S21" s="166">
        <f>(S12/(S6-BS!Y22-BS!Y27-BS!Y28))*100</f>
        <v>2.8677998529422419</v>
      </c>
      <c r="T21" s="166">
        <f>(T12/(T6-BS!Z22-BS!Z27-BS!Z28))*100</f>
        <v>3.0423650944213851</v>
      </c>
      <c r="U21" s="166">
        <f>(U12/(U6-BS!AA22-BS!AA27-BS!AA28))*100</f>
        <v>2.2200958653096037</v>
      </c>
      <c r="V21" s="166">
        <f>(V12/(V6-BS!AB22-BS!AB27-BS!AB28))*100</f>
        <v>1.9085929039797247</v>
      </c>
      <c r="W21" s="166">
        <f>(W12/(W6-BS!AC22-BS!AC27-BS!AC28))*100</f>
        <v>2.7537067539133719</v>
      </c>
      <c r="X21" s="166">
        <f>(X12/(X6-BS!AD22-BS!AD27-BS!AD28))*100</f>
        <v>3.0104997440123671</v>
      </c>
    </row>
    <row r="22" spans="1:24" x14ac:dyDescent="0.2">
      <c r="A22" s="341"/>
      <c r="B22" s="167"/>
      <c r="C22" s="168" t="s">
        <v>403</v>
      </c>
      <c r="D22" s="205" t="s">
        <v>404</v>
      </c>
      <c r="E22" s="169">
        <f t="shared" ref="E22:M22" si="12">(E15/E9)*100</f>
        <v>-1.3411147409462814</v>
      </c>
      <c r="F22" s="169">
        <f>(F15/F9)*100</f>
        <v>9.9242278798150174</v>
      </c>
      <c r="G22" s="169">
        <f t="shared" si="12"/>
        <v>6.4900479522296735</v>
      </c>
      <c r="H22" s="169">
        <f t="shared" si="12"/>
        <v>8.2022199915672509</v>
      </c>
      <c r="I22" s="169">
        <f t="shared" si="12"/>
        <v>5.0153208065649224</v>
      </c>
      <c r="J22" s="169">
        <f t="shared" si="12"/>
        <v>3.5346957321534416</v>
      </c>
      <c r="K22" s="169">
        <f t="shared" si="12"/>
        <v>4.299679527611894</v>
      </c>
      <c r="L22" s="169">
        <f t="shared" si="12"/>
        <v>1.6957270876057942</v>
      </c>
      <c r="M22" s="169">
        <f t="shared" si="12"/>
        <v>-0.7624952910697198</v>
      </c>
      <c r="N22" s="169">
        <f t="shared" ref="N22:X22" si="13">(N15/N9)*100</f>
        <v>3.8168527128945535</v>
      </c>
      <c r="O22" s="169">
        <f t="shared" si="13"/>
        <v>4.9628264234943753</v>
      </c>
      <c r="P22" s="169">
        <f t="shared" si="13"/>
        <v>11.024365848562992</v>
      </c>
      <c r="Q22" s="169">
        <f t="shared" si="13"/>
        <v>3.866246811028025</v>
      </c>
      <c r="R22" s="169">
        <f t="shared" si="13"/>
        <v>5.2204609730833953</v>
      </c>
      <c r="S22" s="169">
        <f t="shared" ref="S22:T22" si="14">(S15/S9)*100</f>
        <v>3.4260052185875183</v>
      </c>
      <c r="T22" s="169">
        <f t="shared" si="14"/>
        <v>13.408605154943073</v>
      </c>
      <c r="U22" s="169">
        <f t="shared" ref="U22:W22" si="15">(U15/U9)*100</f>
        <v>4.4869286769186241</v>
      </c>
      <c r="V22" s="169">
        <f t="shared" si="15"/>
        <v>3.4363574387920024</v>
      </c>
      <c r="W22" s="169">
        <f t="shared" si="15"/>
        <v>-13.954509157455758</v>
      </c>
      <c r="X22" s="169">
        <f t="shared" si="13"/>
        <v>5.8059361968298004</v>
      </c>
    </row>
    <row r="23" spans="1:24"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c r="X23" s="155"/>
    </row>
    <row r="24" spans="1:24" x14ac:dyDescent="0.2">
      <c r="A24" s="341"/>
      <c r="B24" s="163"/>
      <c r="C24" s="164" t="s">
        <v>406</v>
      </c>
      <c r="D24" s="204" t="s">
        <v>404</v>
      </c>
      <c r="E24" s="166">
        <f t="shared" ref="E24:M24" si="16">(E11/E10)*100</f>
        <v>65.321228846793844</v>
      </c>
      <c r="F24" s="166">
        <f>(F11/F10)*100</f>
        <v>58.313809212646241</v>
      </c>
      <c r="G24" s="166">
        <f t="shared" si="16"/>
        <v>63.300811518718284</v>
      </c>
      <c r="H24" s="166">
        <f t="shared" si="16"/>
        <v>55.437771845137377</v>
      </c>
      <c r="I24" s="166">
        <f t="shared" si="16"/>
        <v>61.948274096286802</v>
      </c>
      <c r="J24" s="166">
        <f t="shared" si="16"/>
        <v>61.709801001877274</v>
      </c>
      <c r="K24" s="166">
        <f t="shared" si="16"/>
        <v>57.251943967629273</v>
      </c>
      <c r="L24" s="166">
        <f t="shared" si="16"/>
        <v>65.138297308002279</v>
      </c>
      <c r="M24" s="166">
        <f t="shared" si="16"/>
        <v>66.813628367898616</v>
      </c>
      <c r="N24" s="166">
        <f t="shared" ref="N24:X24" si="17">(N11/N10)*100</f>
        <v>68.382978892197301</v>
      </c>
      <c r="O24" s="166">
        <f t="shared" si="17"/>
        <v>67.209746809770166</v>
      </c>
      <c r="P24" s="166">
        <f t="shared" si="17"/>
        <v>71.295202931921295</v>
      </c>
      <c r="Q24" s="166">
        <f t="shared" si="17"/>
        <v>68.192233286906372</v>
      </c>
      <c r="R24" s="166">
        <f t="shared" si="17"/>
        <v>66.494590316487233</v>
      </c>
      <c r="S24" s="166">
        <f t="shared" ref="S24:T24" si="18">(S11/S10)*100</f>
        <v>63.037279262190417</v>
      </c>
      <c r="T24" s="166">
        <f t="shared" si="18"/>
        <v>63.080701348391933</v>
      </c>
      <c r="U24" s="166">
        <f t="shared" ref="U24:W24" si="19">(U11/U10)*100</f>
        <v>59.648358548148806</v>
      </c>
      <c r="V24" s="166">
        <f t="shared" si="19"/>
        <v>70.452204268175706</v>
      </c>
      <c r="W24" s="166">
        <f t="shared" si="19"/>
        <v>62.205528913177474</v>
      </c>
      <c r="X24" s="166">
        <f t="shared" si="17"/>
        <v>63.124221110605951</v>
      </c>
    </row>
    <row r="25" spans="1:24" x14ac:dyDescent="0.2">
      <c r="A25" s="341"/>
      <c r="B25" s="163"/>
      <c r="C25" s="164" t="s">
        <v>407</v>
      </c>
      <c r="D25" s="204" t="s">
        <v>404</v>
      </c>
      <c r="E25" s="166">
        <f t="shared" ref="E25:M25" si="20">(E12/E10)*100</f>
        <v>12.400215520423405</v>
      </c>
      <c r="F25" s="166">
        <f>(F12/F10)*100</f>
        <v>13.40227842549556</v>
      </c>
      <c r="G25" s="166">
        <f t="shared" si="20"/>
        <v>12.781381704744172</v>
      </c>
      <c r="H25" s="166">
        <f t="shared" si="20"/>
        <v>12.303467920628476</v>
      </c>
      <c r="I25" s="166">
        <f t="shared" si="20"/>
        <v>13.626312897801506</v>
      </c>
      <c r="J25" s="166">
        <f t="shared" si="20"/>
        <v>13.301723446279523</v>
      </c>
      <c r="K25" s="166">
        <f t="shared" si="20"/>
        <v>12.393839891021905</v>
      </c>
      <c r="L25" s="166">
        <f t="shared" si="20"/>
        <v>10.756510961218245</v>
      </c>
      <c r="M25" s="166">
        <f t="shared" si="20"/>
        <v>10.284728547360285</v>
      </c>
      <c r="N25" s="166">
        <f t="shared" ref="N25:X25" si="21">(N12/N10)*100</f>
        <v>10.836721192864653</v>
      </c>
      <c r="O25" s="166">
        <f t="shared" si="21"/>
        <v>12.88532838585515</v>
      </c>
      <c r="P25" s="166">
        <f t="shared" si="21"/>
        <v>14.80553317770619</v>
      </c>
      <c r="Q25" s="166">
        <f t="shared" si="21"/>
        <v>14.307861030803823</v>
      </c>
      <c r="R25" s="166">
        <f t="shared" si="21"/>
        <v>12.905017773485906</v>
      </c>
      <c r="S25" s="166">
        <f t="shared" ref="S25:T25" si="22">(S12/S10)*100</f>
        <v>13.194378424012665</v>
      </c>
      <c r="T25" s="166">
        <f t="shared" si="22"/>
        <v>13.184411490872455</v>
      </c>
      <c r="U25" s="166">
        <f t="shared" ref="U25:W25" si="23">(U12/U10)*100</f>
        <v>9.5423667293335974</v>
      </c>
      <c r="V25" s="166">
        <f t="shared" si="23"/>
        <v>10.897080568817398</v>
      </c>
      <c r="W25" s="166">
        <f t="shared" si="23"/>
        <v>12.443417360836385</v>
      </c>
      <c r="X25" s="166">
        <f t="shared" si="21"/>
        <v>15.157843195346807</v>
      </c>
    </row>
    <row r="26" spans="1:24" x14ac:dyDescent="0.2">
      <c r="A26" s="341"/>
      <c r="B26" s="163"/>
      <c r="C26" s="164" t="s">
        <v>408</v>
      </c>
      <c r="D26" s="204" t="s">
        <v>404</v>
      </c>
      <c r="E26" s="166">
        <f t="shared" ref="E26:M26" si="24">(E13/E10)*100</f>
        <v>10.356832528953291</v>
      </c>
      <c r="F26" s="166">
        <f>(F13/F10)*100</f>
        <v>10.201715337211665</v>
      </c>
      <c r="G26" s="166">
        <f t="shared" si="24"/>
        <v>10.460092318504866</v>
      </c>
      <c r="H26" s="166">
        <f t="shared" si="24"/>
        <v>10.24892454360835</v>
      </c>
      <c r="I26" s="166">
        <f t="shared" si="24"/>
        <v>12.386903121505599</v>
      </c>
      <c r="J26" s="166">
        <f t="shared" si="24"/>
        <v>12.047029116370886</v>
      </c>
      <c r="K26" s="166">
        <f t="shared" si="24"/>
        <v>10.257017561178996</v>
      </c>
      <c r="L26" s="166">
        <f t="shared" si="24"/>
        <v>9.9666811375711113</v>
      </c>
      <c r="M26" s="166">
        <f t="shared" si="24"/>
        <v>9.6938195299416332</v>
      </c>
      <c r="N26" s="166">
        <f t="shared" ref="N26:X26" si="25">(N13/N10)*100</f>
        <v>10.901143107080625</v>
      </c>
      <c r="O26" s="166">
        <f t="shared" si="25"/>
        <v>14.073758574601875</v>
      </c>
      <c r="P26" s="166">
        <f t="shared" si="25"/>
        <v>15.355429181741034</v>
      </c>
      <c r="Q26" s="166">
        <f t="shared" si="25"/>
        <v>13.652720347256206</v>
      </c>
      <c r="R26" s="166">
        <f t="shared" si="25"/>
        <v>12.932147581506751</v>
      </c>
      <c r="S26" s="166">
        <f t="shared" ref="S26:T26" si="26">(S13/S10)*100</f>
        <v>13.950347259813118</v>
      </c>
      <c r="T26" s="166">
        <f t="shared" si="26"/>
        <v>13.833032875010353</v>
      </c>
      <c r="U26" s="166">
        <f t="shared" ref="U26:W26" si="27">(U13/U10)*100</f>
        <v>11.724003445580889</v>
      </c>
      <c r="V26" s="166">
        <f t="shared" si="27"/>
        <v>10.883804372811646</v>
      </c>
      <c r="W26" s="166">
        <f t="shared" si="27"/>
        <v>13.782559910849116</v>
      </c>
      <c r="X26" s="166">
        <f t="shared" si="25"/>
        <v>14.748037026792105</v>
      </c>
    </row>
    <row r="27" spans="1:24" x14ac:dyDescent="0.2">
      <c r="A27" s="341"/>
      <c r="B27" s="163"/>
      <c r="C27" s="164" t="s">
        <v>409</v>
      </c>
      <c r="D27" s="204" t="s">
        <v>404</v>
      </c>
      <c r="E27" s="166">
        <f t="shared" ref="E27:M27" si="28">(E15/E10)*100</f>
        <v>-0.96247359006680377</v>
      </c>
      <c r="F27" s="166">
        <f>(F15/F10)*100</f>
        <v>6.2983072456068836</v>
      </c>
      <c r="G27" s="166">
        <f t="shared" si="28"/>
        <v>5.7159676944802404</v>
      </c>
      <c r="H27" s="166">
        <f t="shared" si="28"/>
        <v>6.6658875154350579</v>
      </c>
      <c r="I27" s="166">
        <f t="shared" si="28"/>
        <v>5.6253190879059076</v>
      </c>
      <c r="J27" s="166">
        <f t="shared" si="28"/>
        <v>4.7431949092177677</v>
      </c>
      <c r="K27" s="166">
        <f t="shared" si="28"/>
        <v>5.4676281110714253</v>
      </c>
      <c r="L27" s="166">
        <f t="shared" si="28"/>
        <v>2.2608153594730536</v>
      </c>
      <c r="M27" s="166">
        <f t="shared" si="28"/>
        <v>-1.3743056828189826</v>
      </c>
      <c r="N27" s="166">
        <f t="shared" ref="N27:X27" si="29">(N15/N10)*100</f>
        <v>4.833964906423259</v>
      </c>
      <c r="O27" s="166">
        <f t="shared" si="29"/>
        <v>9.7154676615856275</v>
      </c>
      <c r="P27" s="166">
        <f t="shared" si="29"/>
        <v>33.22938672545056</v>
      </c>
      <c r="Q27" s="166">
        <f t="shared" si="29"/>
        <v>9.4363250701331172</v>
      </c>
      <c r="R27" s="166">
        <f t="shared" si="29"/>
        <v>9.3930453170293049</v>
      </c>
      <c r="S27" s="166">
        <f t="shared" ref="S27:T27" si="30">(S15/S10)*100</f>
        <v>8.3440137916522996</v>
      </c>
      <c r="T27" s="166">
        <f t="shared" si="30"/>
        <v>31.662456282138336</v>
      </c>
      <c r="U27" s="166">
        <f t="shared" ref="U27:W27" si="31">(U15/U10)*100</f>
        <v>9.4074891680960064</v>
      </c>
      <c r="V27" s="166">
        <f t="shared" si="31"/>
        <v>8.760142569931908</v>
      </c>
      <c r="W27" s="166">
        <f t="shared" si="31"/>
        <v>-30.86168409458427</v>
      </c>
      <c r="X27" s="166">
        <f t="shared" si="29"/>
        <v>12.807127276929512</v>
      </c>
    </row>
    <row r="28" spans="1:24" x14ac:dyDescent="0.2">
      <c r="A28" s="341"/>
      <c r="B28" s="163"/>
      <c r="C28" s="164" t="s">
        <v>410</v>
      </c>
      <c r="D28" s="204" t="s">
        <v>404</v>
      </c>
      <c r="E28" s="166">
        <f>(PL!K11/PL!K6)*100</f>
        <v>1.1391707693933442</v>
      </c>
      <c r="F28" s="166">
        <f>(PL!L11/PL!L6)*100</f>
        <v>1.9523459347016929</v>
      </c>
      <c r="G28" s="166">
        <f>(PL!M11/PL!M6)*100</f>
        <v>2.461620515474884</v>
      </c>
      <c r="H28" s="166">
        <f>(PL!N11/PL!N6)*100</f>
        <v>2.4076904152299821</v>
      </c>
      <c r="I28" s="166">
        <f>(PL!O11/PL!O6)*100</f>
        <v>2.5414752574191217</v>
      </c>
      <c r="J28" s="166">
        <f>(PL!P11/PL!P6)*100</f>
        <v>1.9661497661806895</v>
      </c>
      <c r="K28" s="166">
        <f>(PL!Q11/PL!Q6)*100</f>
        <v>1.6172159551148499</v>
      </c>
      <c r="L28" s="166">
        <f>(PL!R11/PL!R6)*100</f>
        <v>1.2726607667092109</v>
      </c>
      <c r="M28" s="166">
        <f>(PL!S11/PL!S6)*100</f>
        <v>1.216171158832775</v>
      </c>
      <c r="N28" s="166">
        <f>(PL!T11/PL!T6)*100</f>
        <v>2.3248138187490808</v>
      </c>
      <c r="O28" s="166">
        <f>(PL!U11/PL!U6)*100</f>
        <v>1.2962298891840793</v>
      </c>
      <c r="P28" s="166">
        <f>(PL!V11/PL!V6)*100</f>
        <v>0.92599062868511628</v>
      </c>
      <c r="Q28" s="166">
        <f>(PL!W11/PL!W6)*100</f>
        <v>1.9179081596757752</v>
      </c>
      <c r="R28" s="166">
        <f>(PL!X11/PL!X6)*100</f>
        <v>1.7848542666931988</v>
      </c>
      <c r="S28" s="166">
        <f>(PL!Y11/PL!Y6)*100</f>
        <v>2.4562351707332386</v>
      </c>
      <c r="T28" s="166">
        <f>(PL!Z11/PL!Z6)*100</f>
        <v>2.2803922120254998</v>
      </c>
      <c r="U28" s="166">
        <f>(PL!AA11/PL!AA6)*100</f>
        <v>1.8776941745681235</v>
      </c>
      <c r="V28" s="166">
        <f>(PL!AB11/PL!AB6)*100</f>
        <v>2.5591401181600251</v>
      </c>
      <c r="W28" s="166">
        <f>(PL!AC11/PL!AC6)*100</f>
        <v>1.2312712146202394</v>
      </c>
      <c r="X28" s="166">
        <f>(PL!AD11/PL!AD6)*100</f>
        <v>0.83413039919711607</v>
      </c>
    </row>
    <row r="29" spans="1:24" x14ac:dyDescent="0.2">
      <c r="A29" s="341"/>
      <c r="B29" s="163"/>
      <c r="C29" s="164" t="s">
        <v>411</v>
      </c>
      <c r="D29" s="204" t="s">
        <v>404</v>
      </c>
      <c r="E29" s="166">
        <f>(PL!K16/PL!K6)*100</f>
        <v>52.92101332637035</v>
      </c>
      <c r="F29" s="166">
        <f>(PL!L16/PL!L6)*100</f>
        <v>44.911542457857955</v>
      </c>
      <c r="G29" s="166">
        <f>(PL!M16/PL!M6)*100</f>
        <v>50.519429813974391</v>
      </c>
      <c r="H29" s="166">
        <f>(PL!N16/PL!N6)*100</f>
        <v>43.134303924508899</v>
      </c>
      <c r="I29" s="166">
        <f>(PL!O16/PL!O6)*100</f>
        <v>48.321961198485027</v>
      </c>
      <c r="J29" s="166">
        <f>(PL!P16/PL!P6)*100</f>
        <v>48.408077555597735</v>
      </c>
      <c r="K29" s="166">
        <f>(PL!Q16/PL!Q6)*100</f>
        <v>44.858104076607233</v>
      </c>
      <c r="L29" s="166">
        <f>(PL!R16/PL!R6)*100</f>
        <v>54.381786346784025</v>
      </c>
      <c r="M29" s="166">
        <f>(PL!S16/PL!S6)*100</f>
        <v>56.528899820538328</v>
      </c>
      <c r="N29" s="166">
        <f>(PL!T16/PL!T6)*100</f>
        <v>57.546257699332649</v>
      </c>
      <c r="O29" s="166">
        <f>(PL!U16/PL!U6)*100</f>
        <v>54.32441842391502</v>
      </c>
      <c r="P29" s="166">
        <f>(PL!V16/PL!V6)*100</f>
        <v>56.4896697542151</v>
      </c>
      <c r="Q29" s="166">
        <f>(PL!W16/PL!W6)*100</f>
        <v>53.884372256102566</v>
      </c>
      <c r="R29" s="166">
        <f>(PL!X16/PL!X6)*100</f>
        <v>53.589572543001339</v>
      </c>
      <c r="S29" s="166">
        <f>(PL!Y16/PL!Y6)*100</f>
        <v>49.842900838177762</v>
      </c>
      <c r="T29" s="166">
        <f>(PL!Z16/PL!Z6)*100</f>
        <v>49.896289857519456</v>
      </c>
      <c r="U29" s="166">
        <f>(PL!AA16/PL!AA6)*100</f>
        <v>50.105991818815212</v>
      </c>
      <c r="V29" s="166">
        <f>(PL!AB16/PL!AB6)*100</f>
        <v>59.555123708765997</v>
      </c>
      <c r="W29" s="166">
        <f>(PL!AC16/PL!AC6)*100</f>
        <v>49.762111544687336</v>
      </c>
      <c r="X29" s="166">
        <f>(PL!AD16/PL!AD6)*100</f>
        <v>47.966377915259137</v>
      </c>
    </row>
    <row r="30" spans="1:24" x14ac:dyDescent="0.2">
      <c r="A30" s="341"/>
      <c r="B30" s="167"/>
      <c r="C30" s="168" t="s">
        <v>412</v>
      </c>
      <c r="D30" s="205" t="s">
        <v>404</v>
      </c>
      <c r="E30" s="169">
        <f>(PL!K17/PL!K6)*100</f>
        <v>15.817310293346361</v>
      </c>
      <c r="F30" s="169">
        <f>(PL!L17/PL!L6)*100</f>
        <v>13.413330585270797</v>
      </c>
      <c r="G30" s="169">
        <f>(PL!M17/PL!M6)*100</f>
        <v>15.578569043438883</v>
      </c>
      <c r="H30" s="169">
        <f>(PL!N17/PL!N6)*100</f>
        <v>15.377175899969266</v>
      </c>
      <c r="I30" s="169">
        <f>(PL!O17/PL!O6)*100</f>
        <v>15.915828847761674</v>
      </c>
      <c r="J30" s="169">
        <f>(PL!P17/PL!P6)*100</f>
        <v>16.203626773272521</v>
      </c>
      <c r="K30" s="169">
        <f>(PL!Q17/PL!Q6)*100</f>
        <v>15.002012566737962</v>
      </c>
      <c r="L30" s="169">
        <f>(PL!R17/PL!R6)*100</f>
        <v>17.646541914163443</v>
      </c>
      <c r="M30" s="169">
        <f>(PL!S17/PL!S6)*100</f>
        <v>18.965615971810671</v>
      </c>
      <c r="N30" s="169">
        <f>(PL!T17/PL!T6)*100</f>
        <v>18.483469102769437</v>
      </c>
      <c r="O30" s="169">
        <f>(PL!U17/PL!U6)*100</f>
        <v>17.18872861132099</v>
      </c>
      <c r="P30" s="169">
        <f>(PL!V17/PL!V6)*100</f>
        <v>15.961504183308033</v>
      </c>
      <c r="Q30" s="169">
        <f>(PL!W17/PL!W6)*100</f>
        <v>16.857053350679017</v>
      </c>
      <c r="R30" s="169">
        <f>(PL!X17/PL!X6)*100</f>
        <v>15.642306918525112</v>
      </c>
      <c r="S30" s="169">
        <f>(PL!Y17/PL!Y6)*100</f>
        <v>15.799098739338691</v>
      </c>
      <c r="T30" s="169">
        <f>(PL!Z17/PL!Z6)*100</f>
        <v>16.640730463615888</v>
      </c>
      <c r="U30" s="169">
        <f>(PL!AA17/PL!AA6)*100</f>
        <v>16.13192498933023</v>
      </c>
      <c r="V30" s="169">
        <f>(PL!AB17/PL!AB6)*100</f>
        <v>17.929028177925407</v>
      </c>
      <c r="W30" s="169">
        <f>(PL!AC17/PL!AC6)*100</f>
        <v>14.343903671918893</v>
      </c>
      <c r="X30" s="169">
        <f>(PL!AD17/PL!AD6)*100</f>
        <v>13.078804466111718</v>
      </c>
    </row>
    <row r="31" spans="1:24"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c r="X31" s="155"/>
    </row>
    <row r="32" spans="1:24" x14ac:dyDescent="0.2">
      <c r="A32" s="341"/>
      <c r="B32" s="163"/>
      <c r="C32" s="164" t="s">
        <v>414</v>
      </c>
      <c r="D32" s="204" t="s">
        <v>136</v>
      </c>
      <c r="E32" s="166">
        <f t="shared" ref="E32:M32" si="32">E10/E6</f>
        <v>0.19602249255552642</v>
      </c>
      <c r="F32" s="166">
        <f>F10/F6</f>
        <v>0.2178974510446906</v>
      </c>
      <c r="G32" s="166">
        <f t="shared" si="32"/>
        <v>0.24761188419991181</v>
      </c>
      <c r="H32" s="166">
        <f t="shared" si="32"/>
        <v>0.25607138449772776</v>
      </c>
      <c r="I32" s="166">
        <f t="shared" si="32"/>
        <v>0.26283115951061431</v>
      </c>
      <c r="J32" s="166">
        <f t="shared" si="32"/>
        <v>0.23539737507461858</v>
      </c>
      <c r="K32" s="166">
        <f t="shared" si="32"/>
        <v>0.22252168271850997</v>
      </c>
      <c r="L32" s="166">
        <f t="shared" si="32"/>
        <v>0.2109161343186986</v>
      </c>
      <c r="M32" s="166">
        <f t="shared" si="32"/>
        <v>0.21252458134806307</v>
      </c>
      <c r="N32" s="166">
        <f t="shared" ref="N32:X32" si="33">N10/N6</f>
        <v>0.23085335144940911</v>
      </c>
      <c r="O32" s="166">
        <f t="shared" si="33"/>
        <v>0.19153576132737551</v>
      </c>
      <c r="P32" s="166">
        <f t="shared" si="33"/>
        <v>0.15724447054804297</v>
      </c>
      <c r="Q32" s="166">
        <f t="shared" si="33"/>
        <v>0.18264537862150271</v>
      </c>
      <c r="R32" s="166">
        <f t="shared" si="33"/>
        <v>0.19661249079096965</v>
      </c>
      <c r="S32" s="166">
        <f t="shared" ref="S32:T32" si="34">S10/S6</f>
        <v>0.17531707678025782</v>
      </c>
      <c r="T32" s="166">
        <f t="shared" si="34"/>
        <v>0.19312200961103823</v>
      </c>
      <c r="U32" s="166">
        <f t="shared" ref="U32:W32" si="35">U10/U6</f>
        <v>0.19073957999484714</v>
      </c>
      <c r="V32" s="166">
        <f t="shared" si="35"/>
        <v>0.13185991870090902</v>
      </c>
      <c r="W32" s="166">
        <f t="shared" si="35"/>
        <v>0.18917948339158805</v>
      </c>
      <c r="X32" s="166">
        <f t="shared" si="33"/>
        <v>0.1761538641416891</v>
      </c>
    </row>
    <row r="33" spans="1:24" x14ac:dyDescent="0.2">
      <c r="A33" s="341"/>
      <c r="B33" s="163"/>
      <c r="C33" s="164" t="s">
        <v>415</v>
      </c>
      <c r="D33" s="204" t="s">
        <v>136</v>
      </c>
      <c r="E33" s="166">
        <f t="shared" ref="E33:M33" si="36">E10/E5</f>
        <v>0.25584507791728839</v>
      </c>
      <c r="F33" s="166">
        <f>F10/F5</f>
        <v>0.26676542807678982</v>
      </c>
      <c r="G33" s="166">
        <f t="shared" si="36"/>
        <v>0.31286326562797251</v>
      </c>
      <c r="H33" s="166">
        <f t="shared" si="36"/>
        <v>0.32124104625441102</v>
      </c>
      <c r="I33" s="166">
        <f t="shared" si="36"/>
        <v>0.33950382994558198</v>
      </c>
      <c r="J33" s="166">
        <f t="shared" si="36"/>
        <v>0.28533821667217418</v>
      </c>
      <c r="K33" s="166">
        <f t="shared" si="36"/>
        <v>0.27551662445629194</v>
      </c>
      <c r="L33" s="166">
        <f t="shared" si="36"/>
        <v>0.27189815467672518</v>
      </c>
      <c r="M33" s="166">
        <f t="shared" si="36"/>
        <v>0.2762980632281784</v>
      </c>
      <c r="N33" s="166">
        <f t="shared" ref="N33:X33" si="37">N10/N5</f>
        <v>0.27310460310656204</v>
      </c>
      <c r="O33" s="166">
        <f t="shared" si="37"/>
        <v>0.24349729498962144</v>
      </c>
      <c r="P33" s="166">
        <f t="shared" si="37"/>
        <v>0.2049083767394165</v>
      </c>
      <c r="Q33" s="166">
        <f t="shared" si="37"/>
        <v>0.2326187277545323</v>
      </c>
      <c r="R33" s="166">
        <f t="shared" si="37"/>
        <v>0.24164589565977904</v>
      </c>
      <c r="S33" s="166">
        <f t="shared" ref="S33:T33" si="38">S10/S5</f>
        <v>0.21655045866072545</v>
      </c>
      <c r="T33" s="166">
        <f t="shared" si="38"/>
        <v>0.25613359379748285</v>
      </c>
      <c r="U33" s="166">
        <f t="shared" ref="U33:W33" si="39">U10/U5</f>
        <v>0.26079120445635418</v>
      </c>
      <c r="V33" s="166">
        <f t="shared" si="39"/>
        <v>0.16299234276440858</v>
      </c>
      <c r="W33" s="166">
        <f t="shared" si="39"/>
        <v>0.24827048969831778</v>
      </c>
      <c r="X33" s="166">
        <f t="shared" si="37"/>
        <v>0.23155326500049256</v>
      </c>
    </row>
    <row r="34" spans="1:24" x14ac:dyDescent="0.2">
      <c r="A34" s="341"/>
      <c r="B34" s="163"/>
      <c r="C34" s="164" t="s">
        <v>416</v>
      </c>
      <c r="D34" s="204" t="s">
        <v>136</v>
      </c>
      <c r="E34" s="166">
        <f>PL!K6/BS!K16</f>
        <v>0.30682530789939644</v>
      </c>
      <c r="F34" s="166">
        <f>PL!L6/BS!L16</f>
        <v>0.33211735360122124</v>
      </c>
      <c r="G34" s="166">
        <f>PL!M6/BS!M16</f>
        <v>0.38307886467309754</v>
      </c>
      <c r="H34" s="166">
        <f>PL!N6/BS!N16</f>
        <v>0.37775843862231456</v>
      </c>
      <c r="I34" s="166">
        <f>PL!O6/BS!O16</f>
        <v>0.40484877262957619</v>
      </c>
      <c r="J34" s="166">
        <f>PL!P6/BS!P16</f>
        <v>0.35853831201177827</v>
      </c>
      <c r="K34" s="166">
        <f>PL!Q6/BS!Q16</f>
        <v>0.32822598640002515</v>
      </c>
      <c r="L34" s="166">
        <f>PL!R6/BS!R16</f>
        <v>0.3406963105223621</v>
      </c>
      <c r="M34" s="166">
        <f>PL!S6/BS!S16</f>
        <v>0.32343404970914558</v>
      </c>
      <c r="N34" s="166">
        <f>PL!T6/BS!T16</f>
        <v>0.30377708899290429</v>
      </c>
      <c r="O34" s="166">
        <f>PL!U6/BS!U16</f>
        <v>0.31242850620811913</v>
      </c>
      <c r="P34" s="166">
        <f>PL!V6/BS!V16</f>
        <v>0.31349938757615992</v>
      </c>
      <c r="Q34" s="166">
        <f>PL!W6/BS!W16</f>
        <v>0.29057110715240442</v>
      </c>
      <c r="R34" s="166">
        <f>PL!X6/BS!X16</f>
        <v>0.29585421497869457</v>
      </c>
      <c r="S34" s="166">
        <f>PL!Y6/BS!Y16</f>
        <v>0.29163693020929232</v>
      </c>
      <c r="T34" s="166">
        <f>PL!Z6/BS!Z16</f>
        <v>0.3294636248840333</v>
      </c>
      <c r="U34" s="166">
        <f>PL!AA6/BS!AA16</f>
        <v>0.34055956633229084</v>
      </c>
      <c r="V34" s="166">
        <f>PL!AB6/BS!AB16</f>
        <v>0.2345967133579045</v>
      </c>
      <c r="W34" s="166">
        <f>PL!AC6/BS!AC16</f>
        <v>0.31051878878487232</v>
      </c>
      <c r="X34" s="166">
        <f>PL!AD6/BS!AD16</f>
        <v>0.27411886294834276</v>
      </c>
    </row>
    <row r="35" spans="1:24" x14ac:dyDescent="0.2">
      <c r="A35" s="341"/>
      <c r="B35" s="163"/>
      <c r="C35" s="164" t="s">
        <v>417</v>
      </c>
      <c r="D35" s="204" t="s">
        <v>429</v>
      </c>
      <c r="E35" s="166">
        <f>(BS!K11/PL!K6)*365</f>
        <v>26.163027472540254</v>
      </c>
      <c r="F35" s="166">
        <f>(BS!L11/PL!L6)*365</f>
        <v>19.627492031532849</v>
      </c>
      <c r="G35" s="166">
        <f>(BS!M11/PL!M6)*365</f>
        <v>13.079677223538541</v>
      </c>
      <c r="H35" s="166">
        <f>(BS!N11/PL!N6)*365</f>
        <v>18.965172809161796</v>
      </c>
      <c r="I35" s="166">
        <f>(BS!O11/PL!O6)*365</f>
        <v>12.037576194841087</v>
      </c>
      <c r="J35" s="166">
        <f>(BS!P11/PL!P6)*365</f>
        <v>10.6876221265443</v>
      </c>
      <c r="K35" s="166">
        <f>(BS!Q11/PL!Q6)*365</f>
        <v>16.938822257671593</v>
      </c>
      <c r="L35" s="166">
        <f>(BS!R11/PL!R6)*365</f>
        <v>9.7965204522904834</v>
      </c>
      <c r="M35" s="166">
        <f>(BS!S11/PL!S6)*365</f>
        <v>25.086167054372734</v>
      </c>
      <c r="N35" s="166">
        <f>(BS!T11/PL!T6)*365</f>
        <v>12.423254810435891</v>
      </c>
      <c r="O35" s="166">
        <f>(BS!U11/PL!U6)*365</f>
        <v>23.026192659957605</v>
      </c>
      <c r="P35" s="166">
        <f>(BS!V11/PL!V6)*365</f>
        <v>9.3070891683433512</v>
      </c>
      <c r="Q35" s="166">
        <f>(BS!W11/PL!W6)*365</f>
        <v>9.5584986614805185</v>
      </c>
      <c r="R35" s="166">
        <f>(BS!X11/PL!X6)*365</f>
        <v>8.8444971615571273</v>
      </c>
      <c r="S35" s="166">
        <f>(BS!Y11/PL!Y6)*365</f>
        <v>13.323495294298372</v>
      </c>
      <c r="T35" s="166">
        <f>(BS!Z11/PL!Z6)*365</f>
        <v>48.965889192996457</v>
      </c>
      <c r="U35" s="166">
        <f>(BS!AA11/PL!AA6)*365</f>
        <v>38.870151783329128</v>
      </c>
      <c r="V35" s="166">
        <f>(BS!AB11/PL!AB6)*365</f>
        <v>43.253088069406374</v>
      </c>
      <c r="W35" s="166">
        <f>(BS!AC11/PL!AC6)*365</f>
        <v>19.459716602896865</v>
      </c>
      <c r="X35" s="166">
        <f>(BS!AD11/PL!AD6)*365</f>
        <v>19.109023742308231</v>
      </c>
    </row>
    <row r="36" spans="1:24"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c r="X36" s="170" t="s">
        <v>1</v>
      </c>
    </row>
    <row r="37" spans="1:24"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c r="X37" s="170" t="s">
        <v>1</v>
      </c>
    </row>
    <row r="38" spans="1:24"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c r="X38" s="170" t="s">
        <v>1</v>
      </c>
    </row>
    <row r="39" spans="1:24"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c r="X39" s="170" t="s">
        <v>1</v>
      </c>
    </row>
    <row r="40" spans="1:24" x14ac:dyDescent="0.2">
      <c r="A40" s="341"/>
      <c r="B40" s="163"/>
      <c r="C40" s="164" t="s">
        <v>422</v>
      </c>
      <c r="D40" s="204" t="s">
        <v>429</v>
      </c>
      <c r="E40" s="166">
        <f>BS!K13/PL!K6*365</f>
        <v>95.094747993016426</v>
      </c>
      <c r="F40" s="166">
        <f>BS!L13/PL!L6*365</f>
        <v>35.677682374932907</v>
      </c>
      <c r="G40" s="166">
        <f>BS!M13/PL!M6*365</f>
        <v>22.897074627406095</v>
      </c>
      <c r="H40" s="166">
        <f>BS!N13/PL!N6*365</f>
        <v>26.037513133427098</v>
      </c>
      <c r="I40" s="166">
        <f>BS!O13/PL!O6*365</f>
        <v>25.90571658423681</v>
      </c>
      <c r="J40" s="166">
        <f>BS!P13/PL!P6*365</f>
        <v>21.993473128562133</v>
      </c>
      <c r="K40" s="166">
        <f>BS!Q13/PL!Q6*365</f>
        <v>27.162974768986277</v>
      </c>
      <c r="L40" s="166">
        <f>BS!R13/PL!R6*365</f>
        <v>36.527102754596605</v>
      </c>
      <c r="M40" s="166">
        <f>BS!S13/PL!S6*365</f>
        <v>24.355156592299068</v>
      </c>
      <c r="N40" s="166">
        <f>BS!T13/PL!T6*365</f>
        <v>22.33397789405473</v>
      </c>
      <c r="O40" s="166">
        <f>BS!U13/PL!U6*365</f>
        <v>12.452637127208687</v>
      </c>
      <c r="P40" s="166">
        <f>BS!V13/PL!V6*365</f>
        <v>10.047754407743783</v>
      </c>
      <c r="Q40" s="166">
        <f>BS!W13/PL!W6*365</f>
        <v>104.25850494669176</v>
      </c>
      <c r="R40" s="166">
        <f>BS!X13/PL!X6*365</f>
        <v>27.366386942174831</v>
      </c>
      <c r="S40" s="166">
        <f>BS!Y13/PL!Y6*365</f>
        <v>17.106274386980406</v>
      </c>
      <c r="T40" s="166">
        <f>BS!Z13/PL!Z6*365</f>
        <v>18.400276859577605</v>
      </c>
      <c r="U40" s="166">
        <f>BS!AA13/PL!AA6*365</f>
        <v>88.610614152553239</v>
      </c>
      <c r="V40" s="166">
        <f>BS!AB13/PL!AB6*365</f>
        <v>20.587027804083206</v>
      </c>
      <c r="W40" s="166">
        <f>BS!AC13/PL!AC6*365</f>
        <v>78.104467866383416</v>
      </c>
      <c r="X40" s="166">
        <f>BS!AD13/PL!AD6*365</f>
        <v>9.7621843047695158</v>
      </c>
    </row>
    <row r="41" spans="1:24"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c r="X41" s="170" t="s">
        <v>1</v>
      </c>
    </row>
    <row r="42" spans="1:24"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c r="X42" s="170" t="s">
        <v>1</v>
      </c>
    </row>
    <row r="43" spans="1:24"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c r="X43" s="170" t="s">
        <v>1</v>
      </c>
    </row>
    <row r="44" spans="1:24" x14ac:dyDescent="0.2">
      <c r="A44" s="341"/>
      <c r="B44" s="163"/>
      <c r="C44" s="164" t="s">
        <v>426</v>
      </c>
      <c r="D44" s="204" t="s">
        <v>429</v>
      </c>
      <c r="E44" s="166">
        <f>BS!K32/PL!K6*365</f>
        <v>29.348166730194404</v>
      </c>
      <c r="F44" s="166">
        <f>BS!L32/PL!L6*365</f>
        <v>13.638372165083089</v>
      </c>
      <c r="G44" s="166">
        <f>BS!M32/PL!M6*365</f>
        <v>13.300140099731411</v>
      </c>
      <c r="H44" s="166">
        <f>BS!N32/PL!N6*365</f>
        <v>13.027301751510892</v>
      </c>
      <c r="I44" s="166">
        <f>BS!O32/PL!O6*365</f>
        <v>14.135401581677653</v>
      </c>
      <c r="J44" s="166">
        <f>BS!P32/PL!P6*365</f>
        <v>11.568829360527729</v>
      </c>
      <c r="K44" s="166">
        <f>BS!Q32/PL!Q6*365</f>
        <v>29.66511515246161</v>
      </c>
      <c r="L44" s="166">
        <f>BS!R32/PL!R6*365</f>
        <v>10.94483475670884</v>
      </c>
      <c r="M44" s="166">
        <f>BS!S32/PL!S6*365</f>
        <v>11.105700209587271</v>
      </c>
      <c r="N44" s="166">
        <f>BS!T32/PL!T6*365</f>
        <v>14.636897697107964</v>
      </c>
      <c r="O44" s="166">
        <f>BS!U32/PL!U6*365</f>
        <v>10.895632764394808</v>
      </c>
      <c r="P44" s="166">
        <f>BS!V32/PL!V6*365</f>
        <v>13.135295688412487</v>
      </c>
      <c r="Q44" s="166">
        <f>BS!W32/PL!W6*365</f>
        <v>11.760490241029375</v>
      </c>
      <c r="R44" s="166">
        <f>BS!X32/PL!X6*365</f>
        <v>11.14526731472683</v>
      </c>
      <c r="S44" s="166">
        <f>BS!Y32/PL!Y6*365</f>
        <v>10.417996046402797</v>
      </c>
      <c r="T44" s="166">
        <f>BS!Z32/PL!Z6*365</f>
        <v>24.946285314935942</v>
      </c>
      <c r="U44" s="166">
        <f>BS!AA32/PL!AA6*365</f>
        <v>40.648706467759588</v>
      </c>
      <c r="V44" s="166">
        <f>BS!AB32/PL!AB6*365</f>
        <v>50.043111549646767</v>
      </c>
      <c r="W44" s="166">
        <f>BS!AC32/PL!AC6*365</f>
        <v>22.667396720057198</v>
      </c>
      <c r="X44" s="166">
        <f>BS!AD32/PL!AD6*365</f>
        <v>41.225787656996729</v>
      </c>
    </row>
    <row r="45" spans="1:24"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c r="X45" s="170" t="s">
        <v>1</v>
      </c>
    </row>
    <row r="46" spans="1:24"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c r="X46" s="171" t="s">
        <v>1</v>
      </c>
    </row>
    <row r="47" spans="1:24"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c r="X47" s="155"/>
    </row>
    <row r="48" spans="1:24" x14ac:dyDescent="0.2">
      <c r="A48" s="341"/>
      <c r="B48" s="167"/>
      <c r="C48" s="168" t="s">
        <v>431</v>
      </c>
      <c r="D48" s="205" t="s">
        <v>441</v>
      </c>
      <c r="E48" s="169">
        <f t="shared" ref="E48:M48" si="40">E6/E9</f>
        <v>7.1083893481846268</v>
      </c>
      <c r="F48" s="169">
        <f>F6/F9</f>
        <v>7.2313725338753096</v>
      </c>
      <c r="G48" s="169">
        <f t="shared" si="40"/>
        <v>4.585499549570998</v>
      </c>
      <c r="H48" s="169">
        <f t="shared" si="40"/>
        <v>4.8052101185638456</v>
      </c>
      <c r="I48" s="169">
        <f t="shared" si="40"/>
        <v>3.3921473165069327</v>
      </c>
      <c r="J48" s="169">
        <f t="shared" si="40"/>
        <v>3.1657706513853898</v>
      </c>
      <c r="K48" s="169">
        <f t="shared" si="40"/>
        <v>3.5339856682148052</v>
      </c>
      <c r="L48" s="169">
        <f t="shared" si="40"/>
        <v>3.5561580922399605</v>
      </c>
      <c r="M48" s="169">
        <f t="shared" si="40"/>
        <v>2.6106259719514</v>
      </c>
      <c r="N48" s="169">
        <f t="shared" ref="N48:X48" si="41">N6/N9</f>
        <v>3.4203120022200406</v>
      </c>
      <c r="O48" s="169">
        <f t="shared" si="41"/>
        <v>2.6669538652758491</v>
      </c>
      <c r="P48" s="169">
        <f t="shared" si="41"/>
        <v>2.109871027036136</v>
      </c>
      <c r="Q48" s="169">
        <f t="shared" si="41"/>
        <v>2.2432516374376714</v>
      </c>
      <c r="R48" s="169">
        <f t="shared" si="41"/>
        <v>2.8267755790427107</v>
      </c>
      <c r="S48" s="169">
        <f t="shared" ref="S48:T48" si="42">S6/S9</f>
        <v>2.3420102218462659</v>
      </c>
      <c r="T48" s="169">
        <f t="shared" si="42"/>
        <v>2.1928414260440179</v>
      </c>
      <c r="U48" s="169">
        <f t="shared" ref="U48:W48" si="43">U6/U9</f>
        <v>2.5005446699175744</v>
      </c>
      <c r="V48" s="169">
        <f t="shared" si="43"/>
        <v>2.9749135752231535</v>
      </c>
      <c r="W48" s="169">
        <f t="shared" si="43"/>
        <v>2.3901266175074389</v>
      </c>
      <c r="X48" s="169">
        <f t="shared" si="41"/>
        <v>2.5735248075378552</v>
      </c>
    </row>
    <row r="49" spans="1:24"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c r="X49" s="155"/>
    </row>
    <row r="50" spans="1:24" x14ac:dyDescent="0.2">
      <c r="A50" s="341"/>
      <c r="B50" s="163"/>
      <c r="C50" s="164" t="s">
        <v>433</v>
      </c>
      <c r="D50" s="204" t="s">
        <v>404</v>
      </c>
      <c r="E50" s="166">
        <f t="shared" ref="E50:M50" si="44">(E4/E7)*100</f>
        <v>98.811660343502211</v>
      </c>
      <c r="F50" s="166">
        <f>(F4/F7)*100</f>
        <v>67.528692195320545</v>
      </c>
      <c r="G50" s="166">
        <f t="shared" si="44"/>
        <v>83.601754169960373</v>
      </c>
      <c r="H50" s="166">
        <f t="shared" si="44"/>
        <v>73.586766940783249</v>
      </c>
      <c r="I50" s="166">
        <f t="shared" si="44"/>
        <v>94.76486377146334</v>
      </c>
      <c r="J50" s="166">
        <f t="shared" si="44"/>
        <v>78.181094476938128</v>
      </c>
      <c r="K50" s="166">
        <f t="shared" si="44"/>
        <v>82.797370103151692</v>
      </c>
      <c r="L50" s="166">
        <f t="shared" si="44"/>
        <v>129.53779277546039</v>
      </c>
      <c r="M50" s="166">
        <f t="shared" si="44"/>
        <v>130.90193891641505</v>
      </c>
      <c r="N50" s="166">
        <f t="shared" ref="N50:X50" si="45">(N4/N7)*100</f>
        <v>96.751934611563669</v>
      </c>
      <c r="O50" s="166">
        <f t="shared" si="45"/>
        <v>111.14469617313082</v>
      </c>
      <c r="P50" s="166">
        <f t="shared" si="45"/>
        <v>163.93454024060046</v>
      </c>
      <c r="Q50" s="166">
        <f t="shared" si="45"/>
        <v>130.87299481666091</v>
      </c>
      <c r="R50" s="166">
        <f t="shared" si="45"/>
        <v>128.66666962010899</v>
      </c>
      <c r="S50" s="166">
        <f t="shared" ref="S50:T50" si="46">(S4/S7)*100</f>
        <v>165.98025253506515</v>
      </c>
      <c r="T50" s="166">
        <f t="shared" si="46"/>
        <v>156.58581738759801</v>
      </c>
      <c r="U50" s="166">
        <f t="shared" ref="U50:W50" si="47">(U4/U7)*100</f>
        <v>130.24249065299077</v>
      </c>
      <c r="V50" s="166">
        <f t="shared" si="47"/>
        <v>156.64520049230458</v>
      </c>
      <c r="W50" s="166">
        <f t="shared" si="47"/>
        <v>190.66722885269854</v>
      </c>
      <c r="X50" s="166">
        <f t="shared" si="45"/>
        <v>159.09364401326735</v>
      </c>
    </row>
    <row r="51" spans="1:24" x14ac:dyDescent="0.2">
      <c r="A51" s="341"/>
      <c r="B51" s="167"/>
      <c r="C51" s="168" t="s">
        <v>434</v>
      </c>
      <c r="D51" s="205" t="s">
        <v>404</v>
      </c>
      <c r="E51" s="169">
        <f>((BS!K10+BS!K11+BS!K12)/BS!K31)*100</f>
        <v>48.630884071539668</v>
      </c>
      <c r="F51" s="169">
        <f>((BS!L10+BS!L11+BS!L12)/BS!L31)*100</f>
        <v>35.843590296237757</v>
      </c>
      <c r="G51" s="169">
        <f>((BS!M10+BS!M11+BS!M12)/BS!M31)*100</f>
        <v>49.951231895662495</v>
      </c>
      <c r="H51" s="169">
        <f>((BS!N10+BS!N11+BS!N12)/BS!N31)*100</f>
        <v>50.066198334002799</v>
      </c>
      <c r="I51" s="169">
        <f>((BS!O10+BS!O11+BS!O12)/BS!O31)*100</f>
        <v>60.291396309533127</v>
      </c>
      <c r="J51" s="169">
        <f>((BS!P10+BS!P11+BS!P12)/BS!P31)*100</f>
        <v>49.035012170568223</v>
      </c>
      <c r="K51" s="169">
        <f>((BS!Q10+BS!Q11+BS!Q12)/BS!Q31)*100</f>
        <v>52.483121997100838</v>
      </c>
      <c r="L51" s="169">
        <f>((BS!R10+BS!R11+BS!R12)/BS!R31)*100</f>
        <v>77.308947808131762</v>
      </c>
      <c r="M51" s="169">
        <f>((BS!S10+BS!S11+BS!S12)/BS!S31)*100</f>
        <v>83.906232230782507</v>
      </c>
      <c r="N51" s="169">
        <f>((BS!T10+BS!T11+BS!T12)/BS!T31)*100</f>
        <v>65.528909955431885</v>
      </c>
      <c r="O51" s="169">
        <f>((BS!U10+BS!U11+BS!U12)/BS!U31)*100</f>
        <v>84.537601328222607</v>
      </c>
      <c r="P51" s="169">
        <f>((BS!V10+BS!V11+BS!V12)/BS!V31)*100</f>
        <v>140.87963190376357</v>
      </c>
      <c r="Q51" s="169">
        <f>((BS!W10+BS!W11+BS!W12)/BS!W31)*100</f>
        <v>73.138194478293386</v>
      </c>
      <c r="R51" s="169">
        <f>((BS!X10+BS!X11+BS!X12)/BS!X31)*100</f>
        <v>90.65250910672205</v>
      </c>
      <c r="S51" s="169">
        <f>((BS!Y10+BS!Y11+BS!Y12)/BS!Y31)*100</f>
        <v>114.28869623379497</v>
      </c>
      <c r="T51" s="169">
        <f>((BS!Z10+BS!Z11+BS!Z12)/BS!Z31)*100</f>
        <v>112.24082314157889</v>
      </c>
      <c r="U51" s="169">
        <f>((BS!AA10+BS!AA11+BS!AA12)/BS!AA31)*100</f>
        <v>76.702122561553537</v>
      </c>
      <c r="V51" s="169">
        <f>((BS!AB10+BS!AB11+BS!AB12)/BS!AB31)*100</f>
        <v>123.06833626393856</v>
      </c>
      <c r="W51" s="169">
        <f>((BS!AC10+BS!AC11+BS!AC12)/BS!AC31)*100</f>
        <v>112.12950696095179</v>
      </c>
      <c r="X51" s="169">
        <f>((BS!AD10+BS!AD11+BS!AD12)/BS!AD31)*100</f>
        <v>114.19190127881033</v>
      </c>
    </row>
    <row r="52" spans="1:24"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c r="X52" s="155"/>
    </row>
    <row r="53" spans="1:24" x14ac:dyDescent="0.2">
      <c r="A53" s="341"/>
      <c r="B53" s="163"/>
      <c r="C53" s="164" t="s">
        <v>436</v>
      </c>
      <c r="D53" s="204" t="s">
        <v>404</v>
      </c>
      <c r="E53" s="166">
        <f t="shared" ref="E53:M53" si="48">(E9/E6)*100</f>
        <v>14.067884453394278</v>
      </c>
      <c r="F53" s="166">
        <f>(F9/F6)*100</f>
        <v>13.828633434600523</v>
      </c>
      <c r="G53" s="166">
        <f t="shared" si="48"/>
        <v>21.807874784189131</v>
      </c>
      <c r="H53" s="166">
        <f t="shared" si="48"/>
        <v>20.810744490375672</v>
      </c>
      <c r="I53" s="166">
        <f t="shared" si="48"/>
        <v>29.479851748589475</v>
      </c>
      <c r="J53" s="166">
        <f t="shared" si="48"/>
        <v>31.58788522985342</v>
      </c>
      <c r="K53" s="166">
        <f t="shared" si="48"/>
        <v>28.296662575463994</v>
      </c>
      <c r="L53" s="166">
        <f t="shared" si="48"/>
        <v>28.120234648232916</v>
      </c>
      <c r="M53" s="166">
        <f t="shared" si="48"/>
        <v>38.304989329916019</v>
      </c>
      <c r="N53" s="166">
        <f t="shared" ref="N53:X53" si="49">(N9/N6)*100</f>
        <v>29.237098818789764</v>
      </c>
      <c r="O53" s="166">
        <f t="shared" si="49"/>
        <v>37.495961704480699</v>
      </c>
      <c r="P53" s="166">
        <f t="shared" si="49"/>
        <v>47.396262007766445</v>
      </c>
      <c r="Q53" s="166">
        <f t="shared" si="49"/>
        <v>44.578146442021037</v>
      </c>
      <c r="R53" s="166">
        <f t="shared" si="49"/>
        <v>35.375995442080715</v>
      </c>
      <c r="S53" s="166">
        <f t="shared" ref="S53:T53" si="50">(S9/S6)*100</f>
        <v>42.698361888944902</v>
      </c>
      <c r="T53" s="166">
        <f t="shared" si="50"/>
        <v>45.602932712013015</v>
      </c>
      <c r="U53" s="166">
        <f t="shared" ref="U53:W53" si="51">(U9/U6)*100</f>
        <v>39.991287179563287</v>
      </c>
      <c r="V53" s="166">
        <f t="shared" si="51"/>
        <v>33.61442188870943</v>
      </c>
      <c r="W53" s="166">
        <f t="shared" si="51"/>
        <v>41.838787647277755</v>
      </c>
      <c r="X53" s="166">
        <f t="shared" si="49"/>
        <v>38.85721237545485</v>
      </c>
    </row>
    <row r="54" spans="1:24" x14ac:dyDescent="0.2">
      <c r="A54" s="341"/>
      <c r="B54" s="167"/>
      <c r="C54" s="168" t="s">
        <v>437</v>
      </c>
      <c r="D54" s="205" t="s">
        <v>404</v>
      </c>
      <c r="E54" s="169">
        <f t="shared" ref="E54:M54" si="52">(E7+E8)/E9*100</f>
        <v>610.83895292037221</v>
      </c>
      <c r="F54" s="169">
        <f>(F7+F8)/F9*100</f>
        <v>623.13723499802484</v>
      </c>
      <c r="G54" s="169">
        <f t="shared" si="52"/>
        <v>358.5499549570992</v>
      </c>
      <c r="H54" s="169">
        <f t="shared" si="52"/>
        <v>380.5210118563835</v>
      </c>
      <c r="I54" s="169">
        <f t="shared" si="52"/>
        <v>239.21473165069364</v>
      </c>
      <c r="J54" s="169">
        <f t="shared" si="52"/>
        <v>216.57706513853898</v>
      </c>
      <c r="K54" s="169">
        <f t="shared" si="52"/>
        <v>253.39856682148078</v>
      </c>
      <c r="L54" s="169">
        <f t="shared" si="52"/>
        <v>255.61580922399597</v>
      </c>
      <c r="M54" s="169">
        <f t="shared" si="52"/>
        <v>161.06259719513952</v>
      </c>
      <c r="N54" s="169">
        <f t="shared" ref="N54:X54" si="53">(N7+N8)/N9*100</f>
        <v>242.03120022200375</v>
      </c>
      <c r="O54" s="169">
        <f t="shared" si="53"/>
        <v>166.69538652758527</v>
      </c>
      <c r="P54" s="169">
        <f t="shared" si="53"/>
        <v>110.98710270361329</v>
      </c>
      <c r="Q54" s="169">
        <f t="shared" si="53"/>
        <v>124.32516374376674</v>
      </c>
      <c r="R54" s="169">
        <f t="shared" si="53"/>
        <v>182.67755790427114</v>
      </c>
      <c r="S54" s="169">
        <f t="shared" ref="S54:T54" si="54">(S7+S8)/S9*100</f>
        <v>134.20102218462645</v>
      </c>
      <c r="T54" s="169">
        <f t="shared" si="54"/>
        <v>119.28414260440157</v>
      </c>
      <c r="U54" s="169">
        <f t="shared" ref="U54:W54" si="55">(U7+U8)/U9*100</f>
        <v>150.05446699175741</v>
      </c>
      <c r="V54" s="169">
        <f t="shared" si="55"/>
        <v>197.49135752231533</v>
      </c>
      <c r="W54" s="169">
        <f t="shared" si="55"/>
        <v>139.01266174728323</v>
      </c>
      <c r="X54" s="169">
        <f t="shared" si="53"/>
        <v>157.35248075643335</v>
      </c>
    </row>
    <row r="55" spans="1:24"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c r="X55" s="155"/>
    </row>
    <row r="56" spans="1:24" x14ac:dyDescent="0.2">
      <c r="A56" s="341"/>
      <c r="B56" s="163"/>
      <c r="C56" s="164" t="s">
        <v>439</v>
      </c>
      <c r="D56" s="204" t="s">
        <v>404</v>
      </c>
      <c r="E56" s="166">
        <f t="shared" ref="E56:M56" si="56">(E5/(E8+E9))*100</f>
        <v>100.11543291870002</v>
      </c>
      <c r="F56" s="166">
        <f>(F5/(F8+F9))*100</f>
        <v>111.20241735647491</v>
      </c>
      <c r="G56" s="166">
        <f t="shared" si="56"/>
        <v>104.7317654376446</v>
      </c>
      <c r="H56" s="166">
        <f t="shared" si="56"/>
        <v>109.38856243805458</v>
      </c>
      <c r="I56" s="166">
        <f t="shared" si="56"/>
        <v>101.35356548704625</v>
      </c>
      <c r="J56" s="166">
        <f t="shared" si="56"/>
        <v>105.15490507480101</v>
      </c>
      <c r="K56" s="166">
        <f t="shared" si="56"/>
        <v>104.92840766935379</v>
      </c>
      <c r="L56" s="166">
        <f t="shared" si="56"/>
        <v>93.693840922823583</v>
      </c>
      <c r="M56" s="166">
        <f t="shared" si="56"/>
        <v>93.250499728236235</v>
      </c>
      <c r="N56" s="166">
        <f t="shared" ref="N56:X56" si="57">(N5/(N8+N9))*100</f>
        <v>100.48993721756965</v>
      </c>
      <c r="O56" s="166">
        <f t="shared" si="57"/>
        <v>97.242734804801572</v>
      </c>
      <c r="P56" s="166">
        <f t="shared" si="57"/>
        <v>89.374351285504474</v>
      </c>
      <c r="Q56" s="166">
        <f t="shared" si="57"/>
        <v>93.71254433954131</v>
      </c>
      <c r="R56" s="166">
        <f t="shared" si="57"/>
        <v>94.990756998923615</v>
      </c>
      <c r="S56" s="166">
        <f t="shared" ref="S56:T56" si="58">(S5/(S8+S9))*100</f>
        <v>91.387392104232163</v>
      </c>
      <c r="T56" s="166">
        <f t="shared" si="58"/>
        <v>89.3772371328687</v>
      </c>
      <c r="U56" s="166">
        <f t="shared" ref="U56:W56" si="59">(U5/(U8+U9))*100</f>
        <v>91.304587376364651</v>
      </c>
      <c r="V56" s="166">
        <f t="shared" si="59"/>
        <v>92.040377140295206</v>
      </c>
      <c r="W56" s="166">
        <f t="shared" si="59"/>
        <v>87.045450689304133</v>
      </c>
      <c r="X56" s="166">
        <f t="shared" si="57"/>
        <v>89.479580058963364</v>
      </c>
    </row>
    <row r="57" spans="1:24" x14ac:dyDescent="0.2">
      <c r="A57" s="341"/>
      <c r="B57" s="167"/>
      <c r="C57" s="168" t="s">
        <v>440</v>
      </c>
      <c r="D57" s="205" t="s">
        <v>404</v>
      </c>
      <c r="E57" s="169">
        <f t="shared" ref="E57:M57" si="60">(E5/E9)*100</f>
        <v>544.62810440964404</v>
      </c>
      <c r="F57" s="169">
        <f>(F5/F9)*100</f>
        <v>590.66785904223048</v>
      </c>
      <c r="G57" s="169">
        <f t="shared" si="60"/>
        <v>362.91386947845166</v>
      </c>
      <c r="H57" s="169">
        <f t="shared" si="60"/>
        <v>383.03847600117774</v>
      </c>
      <c r="I57" s="169">
        <f t="shared" si="60"/>
        <v>262.60735042996174</v>
      </c>
      <c r="J57" s="169">
        <f t="shared" si="60"/>
        <v>261.16869661401319</v>
      </c>
      <c r="K57" s="169">
        <f t="shared" si="60"/>
        <v>285.42322596544778</v>
      </c>
      <c r="L57" s="169">
        <f t="shared" si="60"/>
        <v>275.8573770878246</v>
      </c>
      <c r="M57" s="169">
        <f t="shared" si="60"/>
        <v>200.80567531418282</v>
      </c>
      <c r="N57" s="169">
        <f t="shared" ref="N57:X57" si="61">(N5/N9)*100</f>
        <v>289.11650691110714</v>
      </c>
      <c r="O57" s="169">
        <f t="shared" si="61"/>
        <v>209.78345530794056</v>
      </c>
      <c r="P57" s="169">
        <f t="shared" si="61"/>
        <v>161.90921906177687</v>
      </c>
      <c r="Q57" s="169">
        <f t="shared" si="61"/>
        <v>176.13351625560446</v>
      </c>
      <c r="R57" s="169">
        <f t="shared" si="61"/>
        <v>229.99744563639203</v>
      </c>
      <c r="S57" s="169">
        <f t="shared" ref="S57:T57" si="62">(S5/S9)*100</f>
        <v>189.60679576618128</v>
      </c>
      <c r="T57" s="169">
        <f t="shared" si="62"/>
        <v>165.33791474881397</v>
      </c>
      <c r="U57" s="169">
        <f t="shared" ref="U57:W57" si="63">(U5/U9)*100</f>
        <v>182.88685812571347</v>
      </c>
      <c r="V57" s="169">
        <f t="shared" si="63"/>
        <v>240.66889003377963</v>
      </c>
      <c r="W57" s="169">
        <f t="shared" si="63"/>
        <v>182.12511655734042</v>
      </c>
      <c r="X57" s="169">
        <f t="shared" si="61"/>
        <v>195.78058608300148</v>
      </c>
    </row>
    <row r="58" spans="1:24"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c r="X58" s="155"/>
    </row>
    <row r="59" spans="1:24" x14ac:dyDescent="0.2">
      <c r="A59" s="341"/>
      <c r="B59" s="163"/>
      <c r="C59" s="164" t="s">
        <v>443</v>
      </c>
      <c r="D59" s="204" t="s">
        <v>441</v>
      </c>
      <c r="E59" s="176" t="s">
        <v>1</v>
      </c>
      <c r="F59" s="166">
        <f>(ＣＦ!D22+PL!L32+(PL!L37-PL!L38))/PL!L32</f>
        <v>12.027800469931</v>
      </c>
      <c r="G59" s="166">
        <f>(ＣＦ!E22+PL!M32+(PL!M37-PL!M38))/PL!M32</f>
        <v>-0.16869040844887048</v>
      </c>
      <c r="H59" s="166">
        <f>(ＣＦ!F22+PL!N32+(PL!N37-PL!N38))/PL!N32</f>
        <v>11.474495377830202</v>
      </c>
      <c r="I59" s="166">
        <f>(ＣＦ!G22+PL!O32+(PL!O37-PL!O38))/PL!O32</f>
        <v>-0.77156098210874502</v>
      </c>
      <c r="J59" s="166">
        <f>(ＣＦ!H22+PL!P32+(PL!P37-PL!P38))/PL!P32</f>
        <v>4.891275672943264</v>
      </c>
      <c r="K59" s="166">
        <f>(ＣＦ!I22+PL!Q32+(PL!Q37-PL!Q38))/PL!Q32</f>
        <v>6.8530601546887802</v>
      </c>
      <c r="L59" s="166">
        <f>(ＣＦ!J22+PL!R32+(PL!R37-PL!R38))/PL!R32</f>
        <v>0.70759730444580349</v>
      </c>
      <c r="M59" s="166">
        <f>(ＣＦ!K22+PL!S32+(PL!S37-PL!S38))/PL!S32</f>
        <v>-0.6427755403281914</v>
      </c>
      <c r="N59" s="166">
        <f>(ＣＦ!L22+PL!T32+(PL!T37-PL!T38))/PL!T32</f>
        <v>9.7621985435548062</v>
      </c>
      <c r="O59" s="166">
        <f>(ＣＦ!M22+PL!U32+(PL!U37-PL!U38))/PL!U32</f>
        <v>7.9185531083926044</v>
      </c>
      <c r="P59" s="166">
        <f>(ＣＦ!N22+PL!V32+(PL!V37-PL!V38))/PL!V32</f>
        <v>14.962126209958628</v>
      </c>
      <c r="Q59" s="166">
        <f>(ＣＦ!O22+PL!W32+(PL!W37-PL!W38))/PL!W32</f>
        <v>-7.4766119660254748</v>
      </c>
      <c r="R59" s="166">
        <f>(ＣＦ!P22+PL!X32+(PL!X37-PL!X38))/PL!X32</f>
        <v>18.601583911701919</v>
      </c>
      <c r="S59" s="166">
        <f>(ＣＦ!Q22+PL!Y32+(PL!Y37-PL!Y38))/PL!Y32</f>
        <v>10.477111546027674</v>
      </c>
      <c r="T59" s="166">
        <f>(ＣＦ!R22+PL!Z32+(PL!Z37-PL!Z38))/PL!Z32</f>
        <v>10.242125448213672</v>
      </c>
      <c r="U59" s="166">
        <f>(ＣＦ!S22+PL!AA32+(PL!AA37-PL!AA38))/PL!AA32</f>
        <v>17.283094596049885</v>
      </c>
      <c r="V59" s="166">
        <f>(ＣＦ!T22+PL!AB32+(PL!AB37-PL!AB38))/PL!AB32</f>
        <v>7.6791057659583855</v>
      </c>
      <c r="W59" s="166">
        <f>(ＣＦ!U22+PL!AC32+(PL!AC37-PL!AC38))/PL!AC32</f>
        <v>-18.85140655516804</v>
      </c>
      <c r="X59" s="166">
        <f>(ＣＦ!V22+PL!AD32+(PL!AD37-PL!AD38))/PL!AD32</f>
        <v>31.607730525171316</v>
      </c>
    </row>
    <row r="60" spans="1:24" x14ac:dyDescent="0.2">
      <c r="A60" s="341"/>
      <c r="B60" s="163"/>
      <c r="C60" s="164" t="s">
        <v>444</v>
      </c>
      <c r="D60" s="204" t="s">
        <v>404</v>
      </c>
      <c r="E60" s="176" t="s">
        <v>455</v>
      </c>
      <c r="F60" s="166">
        <f>(ＣＦ!D22/(BS!L33+BS!L38+BS!L39))*100</f>
        <v>28.992873855071544</v>
      </c>
      <c r="G60" s="166">
        <f>(ＣＦ!E22/(BS!M33+BS!M38+BS!M39))*100</f>
        <v>-6.2626706727444397</v>
      </c>
      <c r="H60" s="166">
        <f>(ＣＦ!F22/(BS!N33+BS!N38+BS!N39))*100</f>
        <v>22.304624089770957</v>
      </c>
      <c r="I60" s="166">
        <f>(ＣＦ!G22/(BS!O33+BS!O38+BS!O39))*100</f>
        <v>-8.6160587776219444</v>
      </c>
      <c r="J60" s="166">
        <f>(ＣＦ!H22/(BS!P33+BS!P38+BS!P39))*100</f>
        <v>8.9251060128763768</v>
      </c>
      <c r="K60" s="166">
        <f>(ＣＦ!I22/(BS!Q33+BS!Q38+BS!Q39))*100</f>
        <v>15.868525316732759</v>
      </c>
      <c r="L60" s="166">
        <f>(ＣＦ!J22/(BS!R33+BS!R38+BS!R39))*100</f>
        <v>-2.4191676166427136</v>
      </c>
      <c r="M60" s="166">
        <f>(ＣＦ!K22/(BS!S33+BS!S38+BS!S39))*100</f>
        <v>-6.3329880184267715</v>
      </c>
      <c r="N60" s="166">
        <f>(ＣＦ!L22/(BS!T33+BS!T38+BS!T39))*100</f>
        <v>19.78059549931594</v>
      </c>
      <c r="O60" s="166">
        <f>(ＣＦ!M22/(BS!U33+BS!U38+BS!U39))*100</f>
        <v>9.2542981168978269</v>
      </c>
      <c r="P60" s="166">
        <f>(ＣＦ!N22/(BS!V33+BS!V38+BS!V39))*100</f>
        <v>38.002922717530836</v>
      </c>
      <c r="Q60" s="166">
        <f>(ＣＦ!O22/(BS!W33+BS!W38+BS!W39))*100</f>
        <v>-30.454594839176245</v>
      </c>
      <c r="R60" s="166">
        <f>(ＣＦ!P22/(BS!X33+BS!X38+BS!X39))*100</f>
        <v>29.014996216924015</v>
      </c>
      <c r="S60" s="166">
        <f>(ＣＦ!Q22/(BS!Y33+BS!Y38+BS!Y39))*100</f>
        <v>11.000192086647543</v>
      </c>
      <c r="T60" s="166">
        <f>(ＣＦ!R22/(BS!Z33+BS!Z38+BS!Z39))*100</f>
        <v>10.198830967658633</v>
      </c>
      <c r="U60" s="166">
        <f>(ＣＦ!S22/(BS!AA33+BS!AA38+BS!AA39))*100</f>
        <v>18.522046062057999</v>
      </c>
      <c r="V60" s="166">
        <f>(ＣＦ!T22/(BS!AB33+BS!AB38+BS!AB39))*100</f>
        <v>8.9243505149352966</v>
      </c>
      <c r="W60" s="166">
        <f>(ＣＦ!U22/(BS!AC33+BS!AC38+BS!AC39))*100</f>
        <v>-30.238463514937397</v>
      </c>
      <c r="X60" s="166">
        <f>(ＣＦ!V22/(BS!AD33+BS!AD38+BS!AD39))*100</f>
        <v>41.61302092510639</v>
      </c>
    </row>
    <row r="61" spans="1:24" x14ac:dyDescent="0.2">
      <c r="A61" s="341"/>
      <c r="B61" s="167"/>
      <c r="C61" s="168" t="s">
        <v>445</v>
      </c>
      <c r="D61" s="205" t="s">
        <v>404</v>
      </c>
      <c r="E61" s="177" t="s">
        <v>455</v>
      </c>
      <c r="F61" s="169">
        <f>(ＣＦ!D22/ＣＦ!D26)</f>
        <v>-0.51935003724593531</v>
      </c>
      <c r="G61" s="169">
        <f>(ＣＦ!E22/ＣＦ!E26)</f>
        <v>-6.3558138696235417E-2</v>
      </c>
      <c r="H61" s="169">
        <f>(ＣＦ!F22/ＣＦ!F26)</f>
        <v>-0.80345137987667892</v>
      </c>
      <c r="I61" s="169">
        <f>(ＣＦ!G22/ＣＦ!G26)</f>
        <v>-0.20609469772601571</v>
      </c>
      <c r="J61" s="169">
        <f>(ＣＦ!H22/ＣＦ!H26)</f>
        <v>-0.31464436195923495</v>
      </c>
      <c r="K61" s="169">
        <f>(ＣＦ!I22/ＣＦ!I26)</f>
        <v>-0.31646056510134324</v>
      </c>
      <c r="L61" s="169">
        <f>(ＣＦ!J22/ＣＦ!J26)</f>
        <v>-3.7518147512598868E-2</v>
      </c>
      <c r="M61" s="169">
        <f>(ＣＦ!K22/ＣＦ!K26)</f>
        <v>-0.21316779042374262</v>
      </c>
      <c r="N61" s="169">
        <f>(ＣＦ!L22/ＣＦ!L26)</f>
        <v>-1.2773584305212873</v>
      </c>
      <c r="O61" s="169">
        <f>(ＣＦ!M22/ＣＦ!M26)</f>
        <v>-29.607859647129388</v>
      </c>
      <c r="P61" s="169">
        <f>(ＣＦ!N22/ＣＦ!N26)</f>
        <v>-5.1923506463637272</v>
      </c>
      <c r="Q61" s="169">
        <f>(ＣＦ!O22/ＣＦ!O26)</f>
        <v>0.84466693061902542</v>
      </c>
      <c r="R61" s="169">
        <f>(ＣＦ!P22/ＣＦ!P26)</f>
        <v>-12.189545607707156</v>
      </c>
      <c r="S61" s="169">
        <f>(ＣＦ!Q22/ＣＦ!Q26)</f>
        <v>-0.2416203303791675</v>
      </c>
      <c r="T61" s="169">
        <f>(ＣＦ!R22/ＣＦ!R26)</f>
        <v>0.24191728429925791</v>
      </c>
      <c r="U61" s="169">
        <f>(ＣＦ!S22/ＣＦ!S26)</f>
        <v>-0.50239187176053313</v>
      </c>
      <c r="V61" s="169">
        <f>(ＣＦ!T22/ＣＦ!T26)</f>
        <v>-0.10797083662279496</v>
      </c>
      <c r="W61" s="169">
        <f>(ＣＦ!U22/ＣＦ!U26)</f>
        <v>-0.27340761328590141</v>
      </c>
      <c r="X61" s="169">
        <f>(ＣＦ!V22/ＣＦ!V26)</f>
        <v>-0.82339681173493751</v>
      </c>
    </row>
    <row r="62" spans="1:24"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c r="X62" s="155"/>
    </row>
    <row r="63" spans="1:24" x14ac:dyDescent="0.2">
      <c r="A63" s="341"/>
      <c r="B63" s="163"/>
      <c r="C63" s="164" t="s">
        <v>447</v>
      </c>
      <c r="D63" s="204" t="s">
        <v>404</v>
      </c>
      <c r="E63" s="166">
        <f>(PL!K47/PL!K6)*100</f>
        <v>76.692401185049249</v>
      </c>
      <c r="F63" s="166">
        <f>(PL!L47/PL!L6)*100</f>
        <v>81.738400863352268</v>
      </c>
      <c r="G63" s="166">
        <f>(PL!M47/PL!M6)*100</f>
        <v>87.215485837500523</v>
      </c>
      <c r="H63" s="166">
        <f>(PL!N47/PL!N6)*100</f>
        <v>81.328019095278108</v>
      </c>
      <c r="I63" s="166">
        <f>(PL!O47/PL!O6)*100</f>
        <v>81.907241857791362</v>
      </c>
      <c r="J63" s="166">
        <f>(PL!P47/PL!P6)*100</f>
        <v>88.544399434202347</v>
      </c>
      <c r="K63" s="166">
        <f>(PL!Q47/PL!Q6)*100</f>
        <v>89.971927132063627</v>
      </c>
      <c r="L63" s="166">
        <f>(PL!R47/PL!R6)*100</f>
        <v>82.628727013706055</v>
      </c>
      <c r="M63" s="166">
        <f>(PL!S47/PL!S6)*100</f>
        <v>87.459413109187338</v>
      </c>
      <c r="N63" s="166">
        <f>(PL!T47/PL!T6)*100</f>
        <v>87.827453483642444</v>
      </c>
      <c r="O63" s="166">
        <f>(PL!U47/PL!U6)*100</f>
        <v>89.706061508739936</v>
      </c>
      <c r="P63" s="166">
        <f>(PL!V47/PL!V6)*100</f>
        <v>89.300742329543525</v>
      </c>
      <c r="Q63" s="166">
        <f>(PL!W47/PL!W6)*100</f>
        <v>88.485001933547082</v>
      </c>
      <c r="R63" s="166">
        <f>(PL!X47/PL!X6)*100</f>
        <v>89.727773880208133</v>
      </c>
      <c r="S63" s="166">
        <f>(PL!Y47/PL!Y6)*100</f>
        <v>87.025916941073476</v>
      </c>
      <c r="T63" s="166">
        <f>(PL!Z47/PL!Z6)*100</f>
        <v>85.864525855008608</v>
      </c>
      <c r="U63" s="166">
        <f>(PL!AA47/PL!AA6)*100</f>
        <v>87.698849060504529</v>
      </c>
      <c r="V63" s="166">
        <f>(PL!AB47/PL!AB6)*100</f>
        <v>87.90546677751918</v>
      </c>
      <c r="W63" s="166">
        <f>(PL!AC47/PL!AC6)*100</f>
        <v>86.358244367867655</v>
      </c>
      <c r="X63" s="166">
        <f>(PL!AD47/PL!AD6)*100</f>
        <v>92.127761306959201</v>
      </c>
    </row>
    <row r="64" spans="1:24" x14ac:dyDescent="0.2">
      <c r="A64" s="341"/>
      <c r="B64" s="167"/>
      <c r="C64" s="168" t="s">
        <v>448</v>
      </c>
      <c r="D64" s="205" t="s">
        <v>404</v>
      </c>
      <c r="E64" s="172">
        <f>(PL!K34+PL!K11+PL!K17+PL!K32+PL!K18+PL!K26+PL!K24+PL!K13)/(BS!K18+BS!K19)*100</f>
        <v>720.12877119295217</v>
      </c>
      <c r="F64" s="172">
        <f>(PL!L34+PL!L11+PL!L17+PL!L32+PL!L18+PL!L26+PL!L24+PL!L13)/(BS!L18+BS!L19)*100</f>
        <v>751.67489427550208</v>
      </c>
      <c r="G64" s="172">
        <f>(PL!M34+PL!M11+PL!M17+PL!M32+PL!M18+PL!M26+PL!M24+PL!M13)/(BS!M18+BS!M19)*100</f>
        <v>661.12131094635936</v>
      </c>
      <c r="H64" s="172">
        <f>(PL!N34+PL!N11+PL!N17+PL!N32+PL!N18+PL!N26+PL!N24+PL!N13)/(BS!N18+BS!N19)*100</f>
        <v>514.08529328475561</v>
      </c>
      <c r="I64" s="172">
        <f>(PL!O34+PL!O11+PL!O17+PL!O32+PL!O18+PL!O26+PL!O24+PL!O13)/(BS!O18+BS!O19)*100</f>
        <v>1178.7431215226038</v>
      </c>
      <c r="J64" s="172">
        <f>(PL!P34+PL!P11+PL!P17+PL!P32+PL!P18+PL!P26+PL!P24+PL!P13)/(BS!P18+BS!P19)*100</f>
        <v>927.39005554073617</v>
      </c>
      <c r="K64" s="172">
        <f>(PL!Q34+PL!Q11+PL!Q17+PL!Q32+PL!Q18+PL!Q26+PL!Q24+PL!Q13)/(BS!Q18+BS!Q19)*100</f>
        <v>901.95238644472613</v>
      </c>
      <c r="L64" s="172">
        <f>(PL!R34+PL!R11+PL!R17+PL!R32+PL!R18+PL!R26+PL!R24+PL!R13)/(BS!R18+BS!R19)*100</f>
        <v>1113.5215363591697</v>
      </c>
      <c r="M64" s="172">
        <f>(PL!S34+PL!S11+PL!S17+PL!S32+PL!S18+PL!S26+PL!S24+PL!S13)/(BS!S18+BS!S19)*100</f>
        <v>1103.6771335074909</v>
      </c>
      <c r="N64" s="172">
        <f>(PL!T34+PL!T11+PL!T17+PL!T32+PL!T18+PL!T26+PL!T24+PL!T13)/(BS!T18+BS!T19)*100</f>
        <v>837.91093043144031</v>
      </c>
      <c r="O64" s="172">
        <f>(PL!U34+PL!U11+PL!U17+PL!U32+PL!U18+PL!U26+PL!U24+PL!U13)/(BS!U18+BS!U19)*100</f>
        <v>961.012053885108</v>
      </c>
      <c r="P64" s="172">
        <f>(PL!V34+PL!V11+PL!V17+PL!V32+PL!V18+PL!V26+PL!V24+PL!V13)/(BS!V18+BS!V19)*100</f>
        <v>1065.6341947626529</v>
      </c>
      <c r="Q64" s="172">
        <f>(PL!W34+PL!W11+PL!W17+PL!W32+PL!W18+PL!W26+PL!W24+PL!W13)/(BS!W18+BS!W19)*100</f>
        <v>1050.7792796687684</v>
      </c>
      <c r="R64" s="172">
        <f>(PL!X34+PL!X11+PL!X17+PL!X32+PL!X18+PL!X26+PL!X24+PL!X13)/(BS!X18+BS!X19)*100</f>
        <v>928.03290957301328</v>
      </c>
      <c r="S64" s="172">
        <f>(PL!Y34+PL!Y11+PL!Y17+PL!Y32+PL!Y18+PL!Y26+PL!Y24+PL!Y13)/(BS!Y18+BS!Y19)*100</f>
        <v>1063.6871674915699</v>
      </c>
      <c r="T64" s="172">
        <f>(PL!Z34+PL!Z11+PL!Z17+PL!Z32+PL!Z18+PL!Z26+PL!Z24+PL!Z13)/(BS!Z18+BS!Z19)*100</f>
        <v>959.19940241315396</v>
      </c>
      <c r="U64" s="172">
        <f>(PL!AA34+PL!AA11+PL!AA17+PL!AA32+PL!AA18+PL!AA26+PL!AA24+PL!AA13)/(BS!AA18+BS!AA19)*100</f>
        <v>1108.019530332248</v>
      </c>
      <c r="V64" s="172">
        <f>(PL!AB34+PL!AB11+PL!AB17+PL!AB32+PL!AB18+PL!AB26+PL!AB24+PL!AB13)/(BS!AB18+BS!AB19)*100</f>
        <v>924.70836032353088</v>
      </c>
      <c r="W64" s="172">
        <f>(PL!AC34+PL!AC11+PL!AC17+PL!AC32+PL!AC18+PL!AC26+PL!AC24+PL!AC13)/(BS!AC18+BS!AC19)*100</f>
        <v>890.98687270180324</v>
      </c>
      <c r="X64" s="172">
        <f>(PL!AD34+PL!AD11+PL!AD17+PL!AD32+PL!AD18+PL!AD26+PL!AD24+PL!AD13)/(BS!AD18+BS!AD19)*100</f>
        <v>568.60684455544856</v>
      </c>
    </row>
    <row r="65" spans="1:24"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c r="X65" s="155"/>
    </row>
    <row r="66" spans="1:24" x14ac:dyDescent="0.2">
      <c r="A66" s="341"/>
      <c r="B66" s="167"/>
      <c r="C66" s="168" t="s">
        <v>450</v>
      </c>
      <c r="D66" s="205" t="s">
        <v>404</v>
      </c>
      <c r="E66" s="169">
        <f>(PL!K11+PL!K17)/PL!K47*100</f>
        <v>22.10972769235093</v>
      </c>
      <c r="F66" s="169">
        <f>(PL!L11+PL!L17)/PL!L47*100</f>
        <v>18.798601829341333</v>
      </c>
      <c r="G66" s="169">
        <f>(PL!M11+PL!M17)/PL!M47*100</f>
        <v>20.684617399857359</v>
      </c>
      <c r="H66" s="169">
        <f>(PL!N11+PL!N17)/PL!N47*100</f>
        <v>21.868067749644521</v>
      </c>
      <c r="I66" s="169">
        <f>(PL!O11+PL!O17)/PL!O47*100</f>
        <v>22.534398285839796</v>
      </c>
      <c r="J66" s="169">
        <f>(PL!P11+PL!P17)/PL!P47*100</f>
        <v>20.520526036155719</v>
      </c>
      <c r="K66" s="169">
        <f>(PL!Q11+PL!Q17)/PL!Q47*100</f>
        <v>18.471571135137062</v>
      </c>
      <c r="L66" s="169">
        <f>(PL!R11+PL!R17)/PL!R47*100</f>
        <v>22.896640629274646</v>
      </c>
      <c r="M66" s="169">
        <f>(PL!S11+PL!S17)/PL!S47*100</f>
        <v>23.075603200592955</v>
      </c>
      <c r="N66" s="169">
        <f>(PL!T11+PL!T17)/PL!T47*100</f>
        <v>23.692230727598165</v>
      </c>
      <c r="O66" s="169">
        <f>(PL!U11+PL!U17)/PL!U47*100</f>
        <v>20.606142092977858</v>
      </c>
      <c r="P66" s="169">
        <f>(PL!V11+PL!V17)/PL!V47*100</f>
        <v>18.910811233431627</v>
      </c>
      <c r="Q66" s="169">
        <f>(PL!W11+PL!W17)/PL!W47*100</f>
        <v>21.218241622975764</v>
      </c>
      <c r="R66" s="169">
        <f>(PL!X11+PL!X17)/PL!X47*100</f>
        <v>19.422259609922563</v>
      </c>
      <c r="S66" s="169">
        <f>(PL!Y11+PL!Y17)/PL!Y47*100</f>
        <v>20.97689349533988</v>
      </c>
      <c r="T66" s="169">
        <f>(PL!Z11+PL!Z17)/PL!Z47*100</f>
        <v>22.036018352435459</v>
      </c>
      <c r="U66" s="169">
        <f>(PL!AA11+PL!AA17)/PL!AA47*100</f>
        <v>20.535753156205381</v>
      </c>
      <c r="V66" s="169">
        <f>(PL!AB11+PL!AB17)/PL!AB47*100</f>
        <v>23.307046816484281</v>
      </c>
      <c r="W66" s="169">
        <f>(PL!AC11+PL!AC17)/PL!AC47*100</f>
        <v>18.03553905078503</v>
      </c>
      <c r="X66" s="169">
        <f>(PL!AD11+PL!AD17)/PL!AD47*100</f>
        <v>15.101783293042931</v>
      </c>
    </row>
    <row r="67" spans="1:24"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c r="X67" s="155"/>
    </row>
    <row r="68" spans="1:24" x14ac:dyDescent="0.2">
      <c r="A68" s="341"/>
      <c r="B68" s="163"/>
      <c r="C68" s="164" t="s">
        <v>452</v>
      </c>
      <c r="D68" s="204" t="s">
        <v>404</v>
      </c>
      <c r="E68" s="166">
        <f>(BS!K33+BS!K34+BS!K38+BS!K39+BS!K40)/BS!K8*100</f>
        <v>62.404189023091853</v>
      </c>
      <c r="F68" s="166">
        <f>(BS!L33+BS!L34+BS!L38+BS!L39+BS!L40)/BS!L8*100</f>
        <v>59.291891729001321</v>
      </c>
      <c r="G68" s="166">
        <f>(BS!M33+BS!M34+BS!M38+BS!M39+BS!M40)/BS!M8*100</f>
        <v>51.517533089543797</v>
      </c>
      <c r="H68" s="166">
        <f>(BS!N33+BS!N34+BS!N38+BS!N39+BS!N40)/BS!N8*100</f>
        <v>50.882879114005227</v>
      </c>
      <c r="I68" s="166">
        <f>(BS!O33+BS!O34+BS!O38+BS!O39+BS!O40)/BS!O8*100</f>
        <v>45.99918361357647</v>
      </c>
      <c r="J68" s="166">
        <f>(BS!P33+BS!P34+BS!P38+BS!P39+BS!P40)/BS!P8*100</f>
        <v>47.610811508356576</v>
      </c>
      <c r="K68" s="166">
        <f>(BS!Q33+BS!Q34+BS!Q38+BS!Q39+BS!Q40)/BS!Q8*100</f>
        <v>50.99469618315252</v>
      </c>
      <c r="L68" s="166">
        <f>(BS!R33+BS!R34+BS!R38+BS!R39+BS!R40)/BS!R8*100</f>
        <v>49.823867858021693</v>
      </c>
      <c r="M68" s="166">
        <f>(BS!S33+BS!S34+BS!S38+BS!S39+BS!S40)/BS!S8*100</f>
        <v>42.922222717522715</v>
      </c>
      <c r="N68" s="166">
        <f>(BS!T33+BS!T34+BS!T38+BS!T39+BS!T40)/BS!T8*100</f>
        <v>52.195709771631492</v>
      </c>
      <c r="O68" s="166">
        <f>(BS!U33+BS!U34+BS!U38+BS!U39+BS!U40)/BS!U8*100</f>
        <v>45.674021710444798</v>
      </c>
      <c r="P68" s="166">
        <f>(BS!V33+BS!V34+BS!V38+BS!V39+BS!V40)/BS!V8*100</f>
        <v>33.427212533980175</v>
      </c>
      <c r="Q68" s="166">
        <f>(BS!W33+BS!W34+BS!W38+BS!W39+BS!W40)/BS!W8*100</f>
        <v>39.387075492943211</v>
      </c>
      <c r="R68" s="166">
        <f>(BS!X33+BS!X34+BS!X38+BS!X39+BS!X40)/BS!X8*100</f>
        <v>45.978787403230633</v>
      </c>
      <c r="S68" s="166">
        <f>(BS!Y33+BS!Y34+BS!Y38+BS!Y39+BS!Y40)/BS!Y8*100</f>
        <v>40.733157641934497</v>
      </c>
      <c r="T68" s="166">
        <f>(BS!Z33+BS!Z34+BS!Z38+BS!Z39+BS!Z40)/BS!Z8*100</f>
        <v>38.933618935289857</v>
      </c>
      <c r="U68" s="166">
        <f>(BS!AA33+BS!AA34+BS!AA38+BS!AA39+BS!AA40)/BS!AA8*100</f>
        <v>38.494038885140839</v>
      </c>
      <c r="V68" s="166">
        <f>(BS!AB33+BS!AB34+BS!AB38+BS!AB39+BS!AB40)/BS!AB8*100</f>
        <v>53.648001770862408</v>
      </c>
      <c r="W68" s="166">
        <f>(BS!AC33+BS!AC34+BS!AC38+BS!AC39+BS!AC40)/BS!AC8*100</f>
        <v>43.703978289490351</v>
      </c>
      <c r="X68" s="166">
        <f>(BS!AD33+BS!AD34+BS!AD38+BS!AD39+BS!AD40)/BS!AD8*100</f>
        <v>41.292180141771262</v>
      </c>
    </row>
    <row r="69" spans="1:24" x14ac:dyDescent="0.2">
      <c r="A69" s="341"/>
      <c r="B69" s="163"/>
      <c r="C69" s="164" t="s">
        <v>453</v>
      </c>
      <c r="D69" s="204" t="s">
        <v>404</v>
      </c>
      <c r="E69" s="166">
        <f>PL!K32/PL!K6*100</f>
        <v>5.7029618196030629</v>
      </c>
      <c r="F69" s="166">
        <f>PL!L32/PL!L6*100</f>
        <v>5.945303363112699</v>
      </c>
      <c r="G69" s="166">
        <f>PL!M32/PL!M6*100</f>
        <v>4.244840016840282</v>
      </c>
      <c r="H69" s="166">
        <f>PL!N32/PL!N6*100</f>
        <v>3.5438634943996008</v>
      </c>
      <c r="I69" s="166">
        <f>PL!O32/PL!O6*100</f>
        <v>4.0769136213300063</v>
      </c>
      <c r="J69" s="166">
        <f>PL!P32/PL!P6*100</f>
        <v>4.5487571540414988</v>
      </c>
      <c r="K69" s="166">
        <f>PL!Q32/PL!Q6*100</f>
        <v>4.65046368523622</v>
      </c>
      <c r="L69" s="166">
        <f>PL!R32/PL!R6*100</f>
        <v>4.9840487432043652</v>
      </c>
      <c r="M69" s="166">
        <f>PL!S32/PL!S6*100</f>
        <v>3.6059287389442183</v>
      </c>
      <c r="N69" s="166">
        <f>PL!T32/PL!T6*100</f>
        <v>3.7572857624832978</v>
      </c>
      <c r="O69" s="166">
        <f>PL!U32/PL!U6*100</f>
        <v>2.9647471492770618</v>
      </c>
      <c r="P69" s="166">
        <f>PL!V32/PL!V6*100</f>
        <v>5.3778017808328578</v>
      </c>
      <c r="Q69" s="166">
        <f>PL!W32/PL!W6*100</f>
        <v>4.9302968085122378</v>
      </c>
      <c r="R69" s="166">
        <f>PL!X32/PL!X6*100</f>
        <v>3.0097469651166824</v>
      </c>
      <c r="S69" s="166">
        <f>PL!Y32/PL!Y6*100</f>
        <v>2.4293992731990626</v>
      </c>
      <c r="T69" s="166">
        <f>PL!Z32/PL!Z6*100</f>
        <v>2.0917470234335727</v>
      </c>
      <c r="U69" s="166">
        <f>PL!AA32/PL!AA6*100</f>
        <v>1.9295521246583267</v>
      </c>
      <c r="V69" s="166">
        <f>PL!AB32/PL!AB6*100</f>
        <v>3.6019741385641071</v>
      </c>
      <c r="W69" s="166">
        <f>PL!AC32/PL!AC6*100</f>
        <v>1.9294484757484149</v>
      </c>
      <c r="X69" s="166">
        <f>PL!AD32/PL!AD6*100</f>
        <v>2.7120033429538473</v>
      </c>
    </row>
    <row r="70" spans="1:24" x14ac:dyDescent="0.2">
      <c r="A70" s="341"/>
      <c r="B70" s="163"/>
      <c r="C70" s="164" t="s">
        <v>566</v>
      </c>
      <c r="D70" s="204" t="s">
        <v>254</v>
      </c>
      <c r="E70" s="158">
        <f>PL!K28+PL!K13+PL!K24</f>
        <v>11710.6738069604</v>
      </c>
      <c r="F70" s="158">
        <f>PL!L28+PL!L13+PL!L24</f>
        <v>16337.529772031303</v>
      </c>
      <c r="G70" s="158">
        <f>PL!M28+PL!M13+PL!M24</f>
        <v>12101.516464271255</v>
      </c>
      <c r="H70" s="158">
        <f>PL!N28+PL!N13+PL!N24</f>
        <v>10916.393608185203</v>
      </c>
      <c r="I70" s="158">
        <f>PL!O28+PL!O13+PL!O24</f>
        <v>9936.5186920319484</v>
      </c>
      <c r="J70" s="158">
        <f>PL!P28+PL!P13+PL!P24</f>
        <v>10776.850051044756</v>
      </c>
      <c r="K70" s="158">
        <f>PL!Q28+PL!Q13+PL!Q24</f>
        <v>28565.249752089687</v>
      </c>
      <c r="L70" s="158">
        <f>PL!R28+PL!R13+PL!R24</f>
        <v>18656.308897384955</v>
      </c>
      <c r="M70" s="158">
        <f>PL!S28+PL!S13+PL!S24</f>
        <v>15834.739947706596</v>
      </c>
      <c r="N70" s="158">
        <f>PL!T28+PL!T13+PL!T24</f>
        <v>15603.657259633854</v>
      </c>
      <c r="O70" s="158">
        <f>PL!U28+PL!U13+PL!U24</f>
        <v>16376.033914222236</v>
      </c>
      <c r="P70" s="158">
        <f>PL!V28+PL!V13+PL!V24</f>
        <v>20064.133369713807</v>
      </c>
      <c r="Q70" s="158">
        <f>PL!W28+PL!W13+PL!W24</f>
        <v>19219.896894030921</v>
      </c>
      <c r="R70" s="158">
        <f>PL!X28+PL!X13+PL!X24</f>
        <v>17759.776727986344</v>
      </c>
      <c r="S70" s="158">
        <f>PL!Y28+PL!Y13+PL!Y24</f>
        <v>19831.989111843046</v>
      </c>
      <c r="T70" s="158">
        <f>PL!Z28+PL!Z13+PL!Z24</f>
        <v>19093.940231022025</v>
      </c>
      <c r="U70" s="158">
        <f>PL!AA28+PL!AA13+PL!AA24</f>
        <v>16598.540675275646</v>
      </c>
      <c r="V70" s="158">
        <f>PL!AB28+PL!AB13+PL!AB24</f>
        <v>16064.730885507481</v>
      </c>
      <c r="W70" s="158">
        <f>PL!AC28+PL!AC13+PL!AC24</f>
        <v>17888.507339035372</v>
      </c>
      <c r="X70" s="158">
        <f>PL!AD28+PL!AD13+PL!AD24</f>
        <v>26929.569249945467</v>
      </c>
    </row>
    <row r="71" spans="1:24" x14ac:dyDescent="0.2">
      <c r="A71" s="342"/>
      <c r="B71" s="167"/>
      <c r="C71" s="168" t="s">
        <v>567</v>
      </c>
      <c r="D71" s="205" t="s">
        <v>441</v>
      </c>
      <c r="E71" s="266">
        <f>(BS!K33+BS!K34+BS!K38+BS!K39+BS!K40-BS!K10)/E70</f>
        <v>25.041753445059197</v>
      </c>
      <c r="F71" s="266">
        <f>(BS!L33+BS!L34+BS!L38+BS!L39+BS!L40-BS!L10)/F70</f>
        <v>22.200791622090883</v>
      </c>
      <c r="G71" s="266">
        <f>(BS!M33+BS!M34+BS!M38+BS!M39+BS!M40-BS!M10)/G70</f>
        <v>16.890144274700511</v>
      </c>
      <c r="H71" s="266">
        <f>(BS!N33+BS!N34+BS!N38+BS!N39+BS!N40-BS!N10)/H70</f>
        <v>19.19642398394474</v>
      </c>
      <c r="I71" s="266">
        <f>(BS!O33+BS!O34+BS!O38+BS!O39+BS!O40-BS!O10)/I70</f>
        <v>16.143298696375556</v>
      </c>
      <c r="J71" s="266">
        <f>(BS!P33+BS!P34+BS!P38+BS!P39+BS!P40-BS!P10)/J70</f>
        <v>17.939822170956941</v>
      </c>
      <c r="K71" s="266">
        <f>(BS!Q33+BS!Q34+BS!Q38+BS!Q39+BS!Q40-BS!Q10)/K70</f>
        <v>8.4825059240566993</v>
      </c>
      <c r="L71" s="266">
        <f>(BS!R33+BS!R34+BS!R38+BS!R39+BS!R40-BS!R10)/L70</f>
        <v>8.6663679358951224</v>
      </c>
      <c r="M71" s="266">
        <f>(BS!S33+BS!S34+BS!S38+BS!S39+BS!S40-BS!S10)/M70</f>
        <v>7.480850244365163</v>
      </c>
      <c r="N71" s="266">
        <f>(BS!T33+BS!T34+BS!T38+BS!T39+BS!T40-BS!T10)/N70</f>
        <v>8.7712956717185513</v>
      </c>
      <c r="O71" s="266">
        <f>(BS!U33+BS!U34+BS!U38+BS!U39+BS!U40-BS!U10)/O70</f>
        <v>7.1487645827786697</v>
      </c>
      <c r="P71" s="266">
        <f>(BS!V33+BS!V34+BS!V38+BS!V39+BS!V40-BS!V10)/P70</f>
        <v>3.7666715658314365</v>
      </c>
      <c r="Q71" s="266">
        <f>(BS!W33+BS!W34+BS!W38+BS!W39+BS!W40-BS!W10)/Q70</f>
        <v>6.7039286195197265</v>
      </c>
      <c r="R71" s="266">
        <f>(BS!X33+BS!X34+BS!X38+BS!X39+BS!X40-BS!X10)/R70</f>
        <v>7.4444317962430553</v>
      </c>
      <c r="S71" s="266">
        <f>(BS!Y33+BS!Y34+BS!Y38+BS!Y39+BS!Y40-BS!Y10)/S70</f>
        <v>7.2423624043819199</v>
      </c>
      <c r="T71" s="266">
        <f>(BS!Z33+BS!Z34+BS!Z38+BS!Z39+BS!Z40-BS!Z10)/T70</f>
        <v>5.6525123790436513</v>
      </c>
      <c r="U71" s="266">
        <f>(BS!AA33+BS!AA34+BS!AA38+BS!AA39+BS!AA40-BS!AA10)/U70</f>
        <v>7.0520436867470426</v>
      </c>
      <c r="V71" s="266">
        <f>(BS!AB33+BS!AB34+BS!AB38+BS!AB39+BS!AB40-BS!AB10)/V70</f>
        <v>12.688353788887227</v>
      </c>
      <c r="W71" s="266">
        <f>(BS!AC33+BS!AC34+BS!AC38+BS!AC39+BS!AC40-BS!AC10)/W70</f>
        <v>7.2403701783859766</v>
      </c>
      <c r="X71" s="266">
        <f>(BS!AD33+BS!AD34+BS!AD38+BS!AD39+BS!AD40-BS!AD10)/X70</f>
        <v>5.6475997048314941</v>
      </c>
    </row>
    <row r="72" spans="1:24" x14ac:dyDescent="0.2">
      <c r="B72" s="76" t="s">
        <v>583</v>
      </c>
    </row>
  </sheetData>
  <sheetProtection algorithmName="SHA-512" hashValue="hBsHlCNrlzMXXCyneaguJ4IgZHEGA71AMDliDXfjlnHRLBZqhQO7ICB+Gjgfx4aLf25pbVB17PewkdiYVW+JiA==" saltValue="Jd4uc5Tc0unnSMou9OvL5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86"/>
  <sheetViews>
    <sheetView zoomScaleNormal="100" workbookViewId="0"/>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2" ht="12.6" x14ac:dyDescent="0.2">
      <c r="A1" s="252" t="s">
        <v>540</v>
      </c>
      <c r="B1" s="253"/>
      <c r="C1" s="252"/>
      <c r="D1" s="252"/>
      <c r="E1" s="252"/>
      <c r="F1" s="252"/>
      <c r="G1" s="252"/>
      <c r="H1" s="252"/>
      <c r="I1" s="252"/>
      <c r="J1" s="252"/>
      <c r="K1" s="252"/>
      <c r="L1" s="252"/>
      <c r="M1" s="252"/>
      <c r="N1" s="252"/>
      <c r="O1" s="252"/>
      <c r="P1" s="252"/>
      <c r="Q1" s="252"/>
    </row>
    <row r="2" spans="1:22" ht="12.6" x14ac:dyDescent="0.2">
      <c r="A2" s="254" t="str">
        <f>BS!A2</f>
        <v>６９　不動産賃貸業・管理業</v>
      </c>
      <c r="B2" s="253"/>
      <c r="C2" s="252"/>
      <c r="D2" s="252"/>
      <c r="E2" s="252"/>
      <c r="F2" s="252"/>
      <c r="G2" s="252"/>
      <c r="H2" s="252"/>
      <c r="I2" s="252"/>
      <c r="J2" s="252"/>
      <c r="K2" s="252"/>
      <c r="L2" s="252"/>
      <c r="M2" s="252"/>
      <c r="N2" s="252"/>
      <c r="O2" s="252"/>
      <c r="P2" s="252"/>
      <c r="Q2" s="252"/>
    </row>
    <row r="3" spans="1:22"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577</v>
      </c>
      <c r="T3" s="257" t="s">
        <v>576</v>
      </c>
      <c r="U3" s="257" t="s">
        <v>579</v>
      </c>
      <c r="V3" s="257" t="s">
        <v>581</v>
      </c>
    </row>
    <row r="4" spans="1:22" ht="12.6" x14ac:dyDescent="0.2">
      <c r="A4" s="255" t="s">
        <v>310</v>
      </c>
      <c r="B4" s="256" t="s">
        <v>254</v>
      </c>
      <c r="C4" s="258">
        <f>PL!K6</f>
        <v>107629.490764692</v>
      </c>
      <c r="D4" s="258">
        <f>PL!L6</f>
        <v>153443.90322522877</v>
      </c>
      <c r="E4" s="258">
        <f>PL!M6</f>
        <v>122702.14935468711</v>
      </c>
      <c r="F4" s="258">
        <f>PL!N6</f>
        <v>134643.77120936109</v>
      </c>
      <c r="G4" s="258">
        <f>PL!O6</f>
        <v>122190.1530570623</v>
      </c>
      <c r="H4" s="258">
        <f>PL!P6</f>
        <v>117117.86794373595</v>
      </c>
      <c r="I4" s="258">
        <f>PL!Q6</f>
        <v>128747.066465904</v>
      </c>
      <c r="J4" s="258">
        <f>PL!R6</f>
        <v>89330.530343840102</v>
      </c>
      <c r="K4" s="258">
        <f>PL!S6</f>
        <v>77413.875779371112</v>
      </c>
      <c r="L4" s="258">
        <f>PL!T6</f>
        <v>73200.946820408819</v>
      </c>
      <c r="M4" s="258">
        <f>PL!U6</f>
        <v>71135.359744677393</v>
      </c>
      <c r="N4" s="258">
        <f>PL!V6</f>
        <v>80506.792831506449</v>
      </c>
      <c r="O4" s="258">
        <f>PL!W6</f>
        <v>80809.01291244899</v>
      </c>
      <c r="P4" s="258">
        <f>PL!X6</f>
        <v>75808.624721591332</v>
      </c>
      <c r="Q4" s="258">
        <f>PL!Y6</f>
        <v>85473.774217329614</v>
      </c>
      <c r="R4" s="258">
        <f>PL!Z6</f>
        <v>86955.078162896534</v>
      </c>
      <c r="S4" s="258">
        <f>PL!AA6</f>
        <v>88371.048650735771</v>
      </c>
      <c r="T4" s="258">
        <f>PL!AB6</f>
        <v>66670.964787937322</v>
      </c>
      <c r="U4" s="258">
        <f>PL!AC6</f>
        <v>79707.523542258947</v>
      </c>
      <c r="V4" s="258">
        <f>PL!AD6</f>
        <v>106703.8265370353</v>
      </c>
    </row>
    <row r="5" spans="1:22" ht="12.6" x14ac:dyDescent="0.2">
      <c r="A5" s="259" t="s">
        <v>69</v>
      </c>
      <c r="B5" s="256" t="s">
        <v>254</v>
      </c>
      <c r="C5" s="258">
        <f>PL!K42</f>
        <v>13346.288818356014</v>
      </c>
      <c r="D5" s="258">
        <f>PL!L42</f>
        <v>20564.979137193121</v>
      </c>
      <c r="E5" s="258">
        <f>PL!M42</f>
        <v>15683.030068947846</v>
      </c>
      <c r="F5" s="258">
        <f>PL!N42</f>
        <v>16565.853197868142</v>
      </c>
      <c r="G5" s="258">
        <f>PL!O42</f>
        <v>16650.012585857883</v>
      </c>
      <c r="H5" s="258">
        <f>PL!P42</f>
        <v>15578.694900054616</v>
      </c>
      <c r="I5" s="258">
        <f>PL!Q42</f>
        <v>15956.705282171697</v>
      </c>
      <c r="J5" s="258">
        <f>PL!R42</f>
        <v>9608.8482881495511</v>
      </c>
      <c r="K5" s="258">
        <f>PL!S42</f>
        <v>7961.8069818990098</v>
      </c>
      <c r="L5" s="258">
        <f>PL!T42</f>
        <v>7932.5825174648262</v>
      </c>
      <c r="M5" s="258">
        <f>PL!U42</f>
        <v>9166.024701561093</v>
      </c>
      <c r="N5" s="258">
        <f>PL!V42</f>
        <v>11919.459922975877</v>
      </c>
      <c r="O5" s="258">
        <f>PL!W42</f>
        <v>11562.041267877517</v>
      </c>
      <c r="P5" s="258">
        <f>PL!X42</f>
        <v>9783.1164941565912</v>
      </c>
      <c r="Q5" s="258">
        <f>PL!Y42</f>
        <v>11277.73322352064</v>
      </c>
      <c r="R5" s="258">
        <f>PL!Z42</f>
        <v>11464.515317206055</v>
      </c>
      <c r="S5" s="258">
        <f>PL!AA42</f>
        <v>8432.6895448110172</v>
      </c>
      <c r="T5" s="258">
        <f>PL!AB42</f>
        <v>7265.1887489494075</v>
      </c>
      <c r="U5" s="258">
        <f>PL!AC42</f>
        <v>9918.339822350199</v>
      </c>
      <c r="V5" s="258">
        <f>PL!AD42</f>
        <v>16173.998709918667</v>
      </c>
    </row>
    <row r="6" spans="1:22" ht="12.6" x14ac:dyDescent="0.2">
      <c r="A6" s="255" t="s">
        <v>317</v>
      </c>
      <c r="B6" s="256" t="s">
        <v>318</v>
      </c>
      <c r="C6" s="260">
        <f>PL!K5</f>
        <v>5.5180161915015598</v>
      </c>
      <c r="D6" s="260">
        <f>PL!L5</f>
        <v>6.8928744112748701</v>
      </c>
      <c r="E6" s="260">
        <f>PL!M5</f>
        <v>6.5164774718826237</v>
      </c>
      <c r="F6" s="260">
        <f>PL!N5</f>
        <v>7.0538757410632709</v>
      </c>
      <c r="G6" s="260">
        <f>PL!O5</f>
        <v>7.5244098520277953</v>
      </c>
      <c r="H6" s="260">
        <f>PL!P5</f>
        <v>6.4555693157831548</v>
      </c>
      <c r="I6" s="260">
        <f>PL!Q5</f>
        <v>6.4912934958534283</v>
      </c>
      <c r="J6" s="260">
        <f>PL!R5</f>
        <v>4.873875028211871</v>
      </c>
      <c r="K6" s="260">
        <f>PL!S5</f>
        <v>4.4633525110334187</v>
      </c>
      <c r="L6" s="260">
        <f>PL!T5</f>
        <v>4.7179208744010532</v>
      </c>
      <c r="M6" s="260">
        <f>PL!U5</f>
        <v>4.470740099773467</v>
      </c>
      <c r="N6" s="260">
        <f>PL!V5</f>
        <v>4.3753422066729435</v>
      </c>
      <c r="O6" s="260">
        <f>PL!W5</f>
        <v>4.6349237279689053</v>
      </c>
      <c r="P6" s="260">
        <f>PL!X5</f>
        <v>4.3081710075024651</v>
      </c>
      <c r="Q6" s="260">
        <f>PL!Y5</f>
        <v>4.7574940863894222</v>
      </c>
      <c r="R6" s="260">
        <f>PL!Z5</f>
        <v>4.6238176317259763</v>
      </c>
      <c r="S6" s="260">
        <f>PL!AA5</f>
        <v>4.8296280406709853</v>
      </c>
      <c r="T6" s="260">
        <f>PL!AB5</f>
        <v>4.0625525295733658</v>
      </c>
      <c r="U6" s="260">
        <f>PL!AC5</f>
        <v>3.980112007223124</v>
      </c>
      <c r="V6" s="260">
        <f>PL!AD5</f>
        <v>4.2826150634134184</v>
      </c>
    </row>
    <row r="7" spans="1:22" ht="12.6" x14ac:dyDescent="0.2">
      <c r="A7" s="259" t="s">
        <v>344</v>
      </c>
      <c r="B7" s="256" t="s">
        <v>254</v>
      </c>
      <c r="C7" s="258">
        <f>BS!K33+BS!K34+BS!K38+BS!K39+BS!K40</f>
        <v>342640.83670073707</v>
      </c>
      <c r="D7" s="258">
        <f>BS!L33+BS!L34+BS!L38+BS!L39+BS!L40</f>
        <v>417534.9116240755</v>
      </c>
      <c r="E7" s="258">
        <f>BS!M33+BS!M34+BS!M38+BS!M39+BS!M40</f>
        <v>255291.14080948822</v>
      </c>
      <c r="F7" s="258">
        <f>BS!N33+BS!N34+BS!N38+BS!N39+BS!N40</f>
        <v>267545.03426213528</v>
      </c>
      <c r="G7" s="258">
        <f>BS!O33+BS!O34+BS!O38+BS!O39+BS!O40</f>
        <v>213850.11186300512</v>
      </c>
      <c r="H7" s="258">
        <f>BS!P33+BS!P34+BS!P38+BS!P39+BS!P40</f>
        <v>236879.30815550726</v>
      </c>
      <c r="I7" s="258">
        <f>BS!Q33+BS!Q34+BS!Q38+BS!Q39+BS!Q40</f>
        <v>295046.19319305505</v>
      </c>
      <c r="J7" s="258">
        <f>BS!R33+BS!R34+BS!R38+BS!R39+BS!R40</f>
        <v>211021.90943881264</v>
      </c>
      <c r="K7" s="258">
        <f>BS!S33+BS!S34+BS!S38+BS!S39+BS!S40</f>
        <v>156347.82558102839</v>
      </c>
      <c r="L7" s="258">
        <f>BS!T33+BS!T34+BS!T38+BS!T39+BS!T40</f>
        <v>165506.60197298467</v>
      </c>
      <c r="M7" s="258">
        <f>BS!U33+BS!U34+BS!U38+BS!U39+BS!U40</f>
        <v>169630.87952047744</v>
      </c>
      <c r="N7" s="258">
        <f>BS!V33+BS!V34+BS!V38+BS!V39+BS!V40</f>
        <v>171142.27705613722</v>
      </c>
      <c r="O7" s="258">
        <f>BS!W33+BS!W34+BS!W38+BS!W39+BS!W40</f>
        <v>174262.86479925964</v>
      </c>
      <c r="P7" s="258">
        <f>BS!X33+BS!X34+BS!X38+BS!X39+BS!X40</f>
        <v>177282.15666170861</v>
      </c>
      <c r="Q7" s="258">
        <f>BS!Y33+BS!Y34+BS!Y38+BS!Y39+BS!Y40</f>
        <v>198589.70862316265</v>
      </c>
      <c r="R7" s="258">
        <f>BS!Z33+BS!Z34+BS!Z38+BS!Z39+BS!Z40</f>
        <v>175302.43624230879</v>
      </c>
      <c r="S7" s="258">
        <f>BS!AA33+BS!AA34+BS!AA38+BS!AA39+BS!AA40</f>
        <v>178345.71006049163</v>
      </c>
      <c r="T7" s="258">
        <f>BS!AB33+BS!AB34+BS!AB38+BS!AB39+BS!AB40</f>
        <v>271254.83408808662</v>
      </c>
      <c r="U7" s="258">
        <f>BS!AC33+BS!AC34+BS!AC38+BS!AC39+BS!AC40</f>
        <v>184139.20029526961</v>
      </c>
      <c r="V7" s="258">
        <f>BS!AD33+BS!AD34+BS!AD38+BS!AD39+BS!AD40</f>
        <v>250124.15416783522</v>
      </c>
    </row>
    <row r="8" spans="1:22" ht="12.6" x14ac:dyDescent="0.2">
      <c r="A8" s="259" t="s">
        <v>486</v>
      </c>
      <c r="B8" s="256" t="s">
        <v>254</v>
      </c>
      <c r="C8" s="258">
        <f>BS!K10</f>
        <v>49385.030551321994</v>
      </c>
      <c r="D8" s="258">
        <f>BS!L10</f>
        <v>54828.817535502589</v>
      </c>
      <c r="E8" s="258">
        <f>BS!M10</f>
        <v>50894.781785283107</v>
      </c>
      <c r="F8" s="258">
        <f>BS!N10</f>
        <v>57989.314183787792</v>
      </c>
      <c r="G8" s="258">
        <f>BS!O10</f>
        <v>53441.922615414427</v>
      </c>
      <c r="H8" s="258">
        <f>BS!P10</f>
        <v>43544.53467669613</v>
      </c>
      <c r="I8" s="258">
        <f>BS!Q10</f>
        <v>52741.292948795141</v>
      </c>
      <c r="J8" s="258">
        <f>BS!R10</f>
        <v>49339.472208360785</v>
      </c>
      <c r="K8" s="258">
        <f>BS!S10</f>
        <v>37890.507373768698</v>
      </c>
      <c r="L8" s="258">
        <f>BS!T10</f>
        <v>28642.310588578486</v>
      </c>
      <c r="M8" s="258">
        <f>BS!U10</f>
        <v>52562.46826810317</v>
      </c>
      <c r="N8" s="258">
        <f>BS!V10</f>
        <v>95567.276399386537</v>
      </c>
      <c r="O8" s="258">
        <f>BS!W10</f>
        <v>45414.047947147461</v>
      </c>
      <c r="P8" s="258">
        <f>BS!X10</f>
        <v>45070.710093709611</v>
      </c>
      <c r="Q8" s="258">
        <f>BS!Y10</f>
        <v>54959.256275439002</v>
      </c>
      <c r="R8" s="258">
        <f>BS!Z10</f>
        <v>67373.702721737194</v>
      </c>
      <c r="S8" s="258">
        <f>BS!AA10</f>
        <v>61292.076082200008</v>
      </c>
      <c r="T8" s="258">
        <f>BS!AB10</f>
        <v>67419.845089504117</v>
      </c>
      <c r="U8" s="258">
        <f>BS!AC10</f>
        <v>54619.785221879232</v>
      </c>
      <c r="V8" s="258">
        <f>BS!AD10</f>
        <v>98036.726820603901</v>
      </c>
    </row>
    <row r="9" spans="1:22" ht="12.6" x14ac:dyDescent="0.2">
      <c r="A9" s="259" t="s">
        <v>326</v>
      </c>
      <c r="B9" s="256" t="s">
        <v>254</v>
      </c>
      <c r="C9" s="258">
        <f>PL!K13+PL!K24</f>
        <v>11710.6738069604</v>
      </c>
      <c r="D9" s="258">
        <f>PL!L13+PL!L24</f>
        <v>16337.529772031303</v>
      </c>
      <c r="E9" s="258">
        <f>PL!M13+PL!M24</f>
        <v>12101.516464271255</v>
      </c>
      <c r="F9" s="258">
        <f>PL!N13+PL!N24</f>
        <v>10916.393608185203</v>
      </c>
      <c r="G9" s="258">
        <f>PL!O13+PL!O24</f>
        <v>9936.5186920319484</v>
      </c>
      <c r="H9" s="258">
        <f>PL!P13+PL!P24</f>
        <v>10776.850051044756</v>
      </c>
      <c r="I9" s="258">
        <f>PL!Q13+PL!Q24</f>
        <v>12608.544469917992</v>
      </c>
      <c r="J9" s="258">
        <f>PL!R13+PL!R24</f>
        <v>9047.4606092354043</v>
      </c>
      <c r="K9" s="258">
        <f>PL!S13+PL!S24</f>
        <v>7872.9329658075876</v>
      </c>
      <c r="L9" s="258">
        <f>PL!T13+PL!T24</f>
        <v>7671.0747421690276</v>
      </c>
      <c r="M9" s="258">
        <f>PL!U13+PL!U24</f>
        <v>7210.0092126611435</v>
      </c>
      <c r="N9" s="258">
        <f>PL!V13+PL!V24</f>
        <v>8144.6734467379301</v>
      </c>
      <c r="O9" s="258">
        <f>PL!W13+PL!W24</f>
        <v>7657.855626153404</v>
      </c>
      <c r="P9" s="258">
        <f>PL!X13+PL!X24</f>
        <v>7976.6602338297544</v>
      </c>
      <c r="Q9" s="258">
        <f>PL!Y13+PL!Y24</f>
        <v>8554.2558883224046</v>
      </c>
      <c r="R9" s="258">
        <f>PL!Z13+PL!Z24</f>
        <v>7629.4249138159685</v>
      </c>
      <c r="S9" s="258">
        <f>PL!AA13+PL!AA24</f>
        <v>8165.8511304646272</v>
      </c>
      <c r="T9" s="258">
        <f>PL!AB13+PL!AB24</f>
        <v>8799.5421365580733</v>
      </c>
      <c r="U9" s="258">
        <f>PL!AC13+PL!AC24</f>
        <v>7970.1675166851728</v>
      </c>
      <c r="V9" s="258">
        <f>PL!AD13+PL!AD24</f>
        <v>10755.5705400268</v>
      </c>
    </row>
    <row r="10" spans="1:22" ht="12.6" x14ac:dyDescent="0.2">
      <c r="A10" s="255" t="s">
        <v>314</v>
      </c>
      <c r="B10" s="256" t="s">
        <v>254</v>
      </c>
      <c r="C10" s="258">
        <f>BS!K43</f>
        <v>77242.117479271197</v>
      </c>
      <c r="D10" s="258">
        <f>BS!L43</f>
        <v>97381.565516376853</v>
      </c>
      <c r="E10" s="258">
        <f>BS!M43</f>
        <v>108067.23261786168</v>
      </c>
      <c r="F10" s="258">
        <f>BS!N43</f>
        <v>109424.06256578342</v>
      </c>
      <c r="G10" s="258">
        <f>BS!O43</f>
        <v>137051.77133361096</v>
      </c>
      <c r="H10" s="258">
        <f>BS!P43</f>
        <v>157160.02652107546</v>
      </c>
      <c r="I10" s="258">
        <f>BS!Q43</f>
        <v>163719.42962408118</v>
      </c>
      <c r="J10" s="258">
        <f>BS!R43</f>
        <v>119099.25632925727</v>
      </c>
      <c r="K10" s="258">
        <f>BS!S43</f>
        <v>139529.1625517784</v>
      </c>
      <c r="L10" s="258">
        <f>BS!T43</f>
        <v>92707.483013790363</v>
      </c>
      <c r="M10" s="258">
        <f>BS!U43</f>
        <v>139258.00102999643</v>
      </c>
      <c r="N10" s="258">
        <f>BS!V43</f>
        <v>242661.69952737604</v>
      </c>
      <c r="O10" s="258">
        <f>BS!W43</f>
        <v>197230.06618806516</v>
      </c>
      <c r="P10" s="258">
        <f>BS!X43</f>
        <v>136400.56904993937</v>
      </c>
      <c r="Q10" s="258">
        <f>BS!Y43</f>
        <v>208170.8302791233</v>
      </c>
      <c r="R10" s="258">
        <f>BS!Z43</f>
        <v>205331.6753702501</v>
      </c>
      <c r="S10" s="258">
        <f>BS!AA43</f>
        <v>185282.57140160454</v>
      </c>
      <c r="T10" s="258">
        <f>BS!AB43</f>
        <v>169961.11935973505</v>
      </c>
      <c r="U10" s="258">
        <f>BS!AC43</f>
        <v>176280.54012982099</v>
      </c>
      <c r="V10" s="258">
        <f>BS!AD43</f>
        <v>235374.52721946963</v>
      </c>
    </row>
    <row r="11" spans="1:22" ht="12.6" x14ac:dyDescent="0.2">
      <c r="A11" s="255" t="s">
        <v>542</v>
      </c>
      <c r="B11" s="256" t="s">
        <v>254</v>
      </c>
      <c r="C11" s="258">
        <f>BS!K30</f>
        <v>471824.94162390404</v>
      </c>
      <c r="D11" s="258">
        <f>BS!L30</f>
        <v>606820.79475654091</v>
      </c>
      <c r="E11" s="258">
        <f>BS!M30</f>
        <v>387475.0138747273</v>
      </c>
      <c r="F11" s="258">
        <f>BS!N30</f>
        <v>416381.55008968187</v>
      </c>
      <c r="G11" s="258">
        <f>BS!O30</f>
        <v>327848.02701821778</v>
      </c>
      <c r="H11" s="258">
        <f>BS!P30</f>
        <v>340372.57301029452</v>
      </c>
      <c r="I11" s="258">
        <f>BS!Q30</f>
        <v>414862.68827572581</v>
      </c>
      <c r="J11" s="258">
        <f>BS!R30</f>
        <v>304436.52784579218</v>
      </c>
      <c r="K11" s="258">
        <f>BS!S30</f>
        <v>224729.29305052274</v>
      </c>
      <c r="L11" s="258">
        <f>BS!T30</f>
        <v>224381.03383388746</v>
      </c>
      <c r="M11" s="258">
        <f>BS!U30</f>
        <v>232136.66308754147</v>
      </c>
      <c r="N11" s="258">
        <f>BS!V30</f>
        <v>269323.18967678247</v>
      </c>
      <c r="O11" s="258">
        <f>BS!W30</f>
        <v>245206.60274025123</v>
      </c>
      <c r="P11" s="258">
        <f>BS!X30</f>
        <v>249173.22850795774</v>
      </c>
      <c r="Q11" s="258">
        <f>BS!Y30</f>
        <v>279367.38212480739</v>
      </c>
      <c r="R11" s="258">
        <f>BS!Z30</f>
        <v>244928.12846065586</v>
      </c>
      <c r="S11" s="258">
        <f>BS!AA30</f>
        <v>278024.77494530013</v>
      </c>
      <c r="T11" s="258">
        <f>BS!AB30</f>
        <v>335658.52188366349</v>
      </c>
      <c r="U11" s="258">
        <f>BS!AC30</f>
        <v>245052.2709769519</v>
      </c>
      <c r="V11" s="258">
        <f>BS!AD30</f>
        <v>370367.65764232964</v>
      </c>
    </row>
    <row r="12" spans="1:22" ht="12.6" x14ac:dyDescent="0.2">
      <c r="A12" s="255" t="s">
        <v>543</v>
      </c>
      <c r="B12" s="256" t="s">
        <v>254</v>
      </c>
      <c r="C12" s="258">
        <f>BS!K11</f>
        <v>7714.8310239237107</v>
      </c>
      <c r="D12" s="258">
        <f>BS!L11</f>
        <v>8251.2848981930838</v>
      </c>
      <c r="E12" s="258">
        <f>BS!M11</f>
        <v>4396.9986525855484</v>
      </c>
      <c r="F12" s="258">
        <f>BS!N11</f>
        <v>6996.0065442815794</v>
      </c>
      <c r="G12" s="258">
        <f>BS!O11</f>
        <v>4029.7898018731012</v>
      </c>
      <c r="H12" s="258">
        <f>BS!P11</f>
        <v>3429.3466215045632</v>
      </c>
      <c r="I12" s="258">
        <f>BS!Q11</f>
        <v>5974.8593837330918</v>
      </c>
      <c r="J12" s="258">
        <f>BS!R11</f>
        <v>2397.6119658284524</v>
      </c>
      <c r="K12" s="258">
        <f>BS!S11</f>
        <v>5320.5956715829116</v>
      </c>
      <c r="L12" s="258">
        <f>BS!T11</f>
        <v>2491.4904512742619</v>
      </c>
      <c r="M12" s="258">
        <f>BS!U11</f>
        <v>4487.6068449762579</v>
      </c>
      <c r="N12" s="258">
        <f>BS!V11</f>
        <v>2052.8326014799336</v>
      </c>
      <c r="O12" s="258">
        <f>BS!W11</f>
        <v>2116.199566463577</v>
      </c>
      <c r="P12" s="258">
        <f>BS!X11</f>
        <v>1836.9566196483945</v>
      </c>
      <c r="Q12" s="258">
        <f>BS!Y11</f>
        <v>3120.0258317000344</v>
      </c>
      <c r="R12" s="258">
        <f>BS!Z11</f>
        <v>11665.2951290212</v>
      </c>
      <c r="S12" s="258">
        <f>BS!AA11</f>
        <v>9410.9481487837311</v>
      </c>
      <c r="T12" s="258">
        <f>BS!AB11</f>
        <v>7900.6167442327232</v>
      </c>
      <c r="U12" s="258">
        <f>BS!AC11</f>
        <v>4249.5501897290114</v>
      </c>
      <c r="V12" s="258">
        <f>BS!AD11</f>
        <v>5586.3176840858814</v>
      </c>
    </row>
    <row r="13" spans="1:22" ht="12.6" x14ac:dyDescent="0.2">
      <c r="A13" s="255" t="s">
        <v>544</v>
      </c>
      <c r="B13" s="256" t="s">
        <v>254</v>
      </c>
      <c r="C13" s="258">
        <f>BS!K13</f>
        <v>28041.093975027601</v>
      </c>
      <c r="D13" s="258">
        <f>BS!L13</f>
        <v>14998.692716820975</v>
      </c>
      <c r="E13" s="258">
        <f>BS!M13</f>
        <v>7697.3158101846557</v>
      </c>
      <c r="F13" s="258">
        <f>BS!N13</f>
        <v>9604.9012635558702</v>
      </c>
      <c r="G13" s="258">
        <f>BS!O13</f>
        <v>8672.3930807692414</v>
      </c>
      <c r="H13" s="258">
        <f>BS!P13</f>
        <v>7057.0648808083433</v>
      </c>
      <c r="I13" s="258">
        <f>BS!Q13</f>
        <v>9581.2419671078078</v>
      </c>
      <c r="J13" s="258">
        <f>BS!R13</f>
        <v>8939.6861944987868</v>
      </c>
      <c r="K13" s="258">
        <f>BS!S13</f>
        <v>5165.5536082832095</v>
      </c>
      <c r="L13" s="258">
        <f>BS!T13</f>
        <v>4479.0913098928395</v>
      </c>
      <c r="M13" s="258">
        <f>BS!U13</f>
        <v>2426.9118405860709</v>
      </c>
      <c r="N13" s="258">
        <f>BS!V13</f>
        <v>2216.1985822632455</v>
      </c>
      <c r="O13" s="258">
        <f>BS!W13</f>
        <v>23082.265404026963</v>
      </c>
      <c r="P13" s="258">
        <f>BS!X13</f>
        <v>5683.8579662607926</v>
      </c>
      <c r="Q13" s="258">
        <f>BS!Y13</f>
        <v>4005.8570812395942</v>
      </c>
      <c r="R13" s="258">
        <f>BS!Z13</f>
        <v>4383.5548288863201</v>
      </c>
      <c r="S13" s="258">
        <f>BS!AA13</f>
        <v>21453.733956840708</v>
      </c>
      <c r="T13" s="258">
        <f>BS!AB13</f>
        <v>3760.4301529159397</v>
      </c>
      <c r="U13" s="258">
        <f>BS!AC13</f>
        <v>17056.201948535243</v>
      </c>
      <c r="V13" s="258">
        <f>BS!AD13</f>
        <v>2853.8696456950547</v>
      </c>
    </row>
    <row r="14" spans="1:22" ht="12.6" x14ac:dyDescent="0.2">
      <c r="A14" s="255" t="s">
        <v>545</v>
      </c>
      <c r="B14" s="256" t="s">
        <v>254</v>
      </c>
      <c r="C14" s="258">
        <f>BS!K32</f>
        <v>8654.0499727345195</v>
      </c>
      <c r="D14" s="258">
        <f>BS!L32</f>
        <v>5733.4933113662009</v>
      </c>
      <c r="E14" s="258">
        <f>BS!M32</f>
        <v>4471.1117176863199</v>
      </c>
      <c r="F14" s="258">
        <f>BS!N32</f>
        <v>4805.6028397417576</v>
      </c>
      <c r="G14" s="258">
        <f>BS!O32</f>
        <v>4732.0736514746113</v>
      </c>
      <c r="H14" s="258">
        <f>BS!P32</f>
        <v>3712.1003542737035</v>
      </c>
      <c r="I14" s="258">
        <f>BS!Q32</f>
        <v>10463.826170555263</v>
      </c>
      <c r="J14" s="258">
        <f>BS!R32</f>
        <v>2678.6517625821775</v>
      </c>
      <c r="K14" s="258">
        <f>BS!S32</f>
        <v>2355.439168405273</v>
      </c>
      <c r="L14" s="258">
        <f>BS!T32</f>
        <v>2935.4377258678478</v>
      </c>
      <c r="M14" s="258">
        <f>BS!U32</f>
        <v>2123.465085866078</v>
      </c>
      <c r="N14" s="258">
        <f>BS!V32</f>
        <v>2897.2069281304216</v>
      </c>
      <c r="O14" s="258">
        <f>BS!W32</f>
        <v>2603.7085143673235</v>
      </c>
      <c r="P14" s="258">
        <f>BS!X32</f>
        <v>2314.814759682039</v>
      </c>
      <c r="Q14" s="258">
        <f>BS!Y32</f>
        <v>2439.6313475815487</v>
      </c>
      <c r="R14" s="258">
        <f>BS!Z32</f>
        <v>5943.0306559840346</v>
      </c>
      <c r="S14" s="258">
        <f>BS!AA32</f>
        <v>9841.5584023338633</v>
      </c>
      <c r="T14" s="258">
        <f>BS!AB32</f>
        <v>9140.8836383707367</v>
      </c>
      <c r="U14" s="258">
        <f>BS!AC32</f>
        <v>4950.0330348100888</v>
      </c>
      <c r="V14" s="258">
        <f>BS!AD32</f>
        <v>12051.915876725563</v>
      </c>
    </row>
    <row r="15" spans="1:22"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c r="V15" s="252"/>
    </row>
    <row r="16" spans="1:22" ht="12.6" x14ac:dyDescent="0.2">
      <c r="A16" s="255" t="s">
        <v>547</v>
      </c>
      <c r="B16" s="256" t="s">
        <v>110</v>
      </c>
      <c r="C16" s="261"/>
      <c r="D16" s="262">
        <f>D4/C4-1</f>
        <v>0.42566783634329197</v>
      </c>
      <c r="E16" s="262">
        <f t="shared" ref="E16:M16" si="0">E4/D4-1</f>
        <v>-0.20034522861047244</v>
      </c>
      <c r="F16" s="262">
        <f t="shared" si="0"/>
        <v>9.7322026692092445E-2</v>
      </c>
      <c r="G16" s="262">
        <f t="shared" si="0"/>
        <v>-9.2493087800803897E-2</v>
      </c>
      <c r="H16" s="262">
        <f t="shared" si="0"/>
        <v>-4.1511406495723158E-2</v>
      </c>
      <c r="I16" s="262">
        <f t="shared" si="0"/>
        <v>9.9294827735036728E-2</v>
      </c>
      <c r="J16" s="262">
        <f t="shared" si="0"/>
        <v>-0.30615482903062929</v>
      </c>
      <c r="K16" s="262">
        <f t="shared" si="0"/>
        <v>-0.13339957256047696</v>
      </c>
      <c r="L16" s="262">
        <f t="shared" si="0"/>
        <v>-5.4420850481238126E-2</v>
      </c>
      <c r="M16" s="262">
        <f t="shared" si="0"/>
        <v>-2.8218037681932429E-2</v>
      </c>
      <c r="N16" s="262">
        <f t="shared" ref="N16:R16" si="1">N4/M4-1</f>
        <v>0.13174085462511864</v>
      </c>
      <c r="O16" s="262">
        <f t="shared" si="1"/>
        <v>3.7539699485367173E-3</v>
      </c>
      <c r="P16" s="262">
        <f t="shared" si="1"/>
        <v>-6.1879090099457579E-2</v>
      </c>
      <c r="Q16" s="262">
        <f t="shared" si="1"/>
        <v>0.12749406193864798</v>
      </c>
      <c r="R16" s="262">
        <f t="shared" si="1"/>
        <v>1.7330508207119566E-2</v>
      </c>
      <c r="S16" s="262">
        <f>S4/R4-1</f>
        <v>1.6283930941751734E-2</v>
      </c>
      <c r="T16" s="262">
        <f>T4/S4-1</f>
        <v>-0.24555648251456819</v>
      </c>
      <c r="U16" s="262">
        <f>U4/T4-1</f>
        <v>0.19553577476773376</v>
      </c>
      <c r="V16" s="262">
        <f>V4/U4-1</f>
        <v>0.33869203050153218</v>
      </c>
    </row>
    <row r="17" spans="1:22" ht="12.6" x14ac:dyDescent="0.2">
      <c r="A17" s="255" t="s">
        <v>548</v>
      </c>
      <c r="B17" s="256" t="s">
        <v>110</v>
      </c>
      <c r="C17" s="262">
        <f>C5/C4</f>
        <v>0.12400215520423405</v>
      </c>
      <c r="D17" s="262">
        <f t="shared" ref="D17:M17" si="2">D5/D4</f>
        <v>0.13402278425495559</v>
      </c>
      <c r="E17" s="262">
        <f t="shared" si="2"/>
        <v>0.12781381704744171</v>
      </c>
      <c r="F17" s="262">
        <f t="shared" si="2"/>
        <v>0.12303467920628476</v>
      </c>
      <c r="G17" s="262">
        <f t="shared" si="2"/>
        <v>0.13626312897801507</v>
      </c>
      <c r="H17" s="262">
        <f t="shared" si="2"/>
        <v>0.13301723446279523</v>
      </c>
      <c r="I17" s="262">
        <f t="shared" si="2"/>
        <v>0.12393839891021906</v>
      </c>
      <c r="J17" s="262">
        <f t="shared" si="2"/>
        <v>0.10756510961218245</v>
      </c>
      <c r="K17" s="262">
        <f t="shared" si="2"/>
        <v>0.10284728547360285</v>
      </c>
      <c r="L17" s="262">
        <f t="shared" si="2"/>
        <v>0.10836721192864653</v>
      </c>
      <c r="M17" s="262">
        <f t="shared" si="2"/>
        <v>0.12885328385855149</v>
      </c>
      <c r="N17" s="262">
        <f>N5/N4</f>
        <v>0.1480553317770619</v>
      </c>
      <c r="O17" s="262">
        <f>O5/O4</f>
        <v>0.14307861030803823</v>
      </c>
      <c r="P17" s="262">
        <f t="shared" ref="P17:Q17" si="3">P5/P4</f>
        <v>0.12905017773485905</v>
      </c>
      <c r="Q17" s="262">
        <f t="shared" si="3"/>
        <v>0.13194378424012665</v>
      </c>
      <c r="R17" s="262">
        <f>R5/R4</f>
        <v>0.13184411490872455</v>
      </c>
      <c r="S17" s="262">
        <f>S5/S4</f>
        <v>9.542366729333597E-2</v>
      </c>
      <c r="T17" s="262">
        <f>T5/T4</f>
        <v>0.10897080568817398</v>
      </c>
      <c r="U17" s="262">
        <f>U5/U4</f>
        <v>0.12443417360836385</v>
      </c>
      <c r="V17" s="262">
        <f>V5/V4</f>
        <v>0.15157843195346807</v>
      </c>
    </row>
    <row r="18" spans="1:22" ht="12.6" x14ac:dyDescent="0.2">
      <c r="A18" s="255" t="s">
        <v>549</v>
      </c>
      <c r="B18" s="256" t="s">
        <v>254</v>
      </c>
      <c r="C18" s="263">
        <f>C5/C6</f>
        <v>2418.6751823800337</v>
      </c>
      <c r="D18" s="263">
        <f t="shared" ref="D18:M18" si="4">D5/D6</f>
        <v>2983.51281485042</v>
      </c>
      <c r="E18" s="263">
        <f t="shared" si="4"/>
        <v>2406.6729512404786</v>
      </c>
      <c r="F18" s="263">
        <f t="shared" si="4"/>
        <v>2348.4753355424259</v>
      </c>
      <c r="G18" s="263">
        <f t="shared" si="4"/>
        <v>2212.7997960359348</v>
      </c>
      <c r="H18" s="263">
        <f t="shared" si="4"/>
        <v>2413.2178182900811</v>
      </c>
      <c r="I18" s="263">
        <f t="shared" si="4"/>
        <v>2458.1703619416803</v>
      </c>
      <c r="J18" s="263">
        <f t="shared" si="4"/>
        <v>1971.5007530004004</v>
      </c>
      <c r="K18" s="263">
        <f t="shared" si="4"/>
        <v>1783.8176487779988</v>
      </c>
      <c r="L18" s="263">
        <f t="shared" si="4"/>
        <v>1681.3725216347293</v>
      </c>
      <c r="M18" s="263">
        <f t="shared" si="4"/>
        <v>2050.225353521565</v>
      </c>
      <c r="N18" s="263">
        <f>N5/N6</f>
        <v>2724.2348963692971</v>
      </c>
      <c r="O18" s="263">
        <f>O5/O6</f>
        <v>2494.5483348750122</v>
      </c>
      <c r="P18" s="263">
        <f t="shared" ref="P18:R18" si="5">P5/P6</f>
        <v>2270.8282649690045</v>
      </c>
      <c r="Q18" s="263">
        <f t="shared" si="5"/>
        <v>2370.5196514662584</v>
      </c>
      <c r="R18" s="263">
        <f t="shared" si="5"/>
        <v>2479.4479865605308</v>
      </c>
      <c r="S18" s="263">
        <f t="shared" ref="S18:T18" si="6">S5/S6</f>
        <v>1746.0329188496792</v>
      </c>
      <c r="T18" s="263">
        <f t="shared" si="6"/>
        <v>1788.3310298297536</v>
      </c>
      <c r="U18" s="263">
        <f>U5/U6</f>
        <v>2491.9750510413664</v>
      </c>
      <c r="V18" s="263">
        <f>V5/V6</f>
        <v>3776.6641340460174</v>
      </c>
    </row>
    <row r="19" spans="1:22" ht="12.6" x14ac:dyDescent="0.2">
      <c r="A19" s="255" t="s">
        <v>550</v>
      </c>
      <c r="B19" s="256" t="s">
        <v>441</v>
      </c>
      <c r="C19" s="264">
        <f>(C7-C8)/(C5+C9)</f>
        <v>11.703565613061288</v>
      </c>
      <c r="D19" s="264">
        <f t="shared" ref="D19:M19" si="7">(D7-D8)/(D5+D9)</f>
        <v>9.8287651655551311</v>
      </c>
      <c r="E19" s="264">
        <f t="shared" si="7"/>
        <v>7.3564763340596402</v>
      </c>
      <c r="F19" s="264">
        <f t="shared" si="7"/>
        <v>7.6251305636404503</v>
      </c>
      <c r="G19" s="264">
        <f t="shared" si="7"/>
        <v>6.0334380431565</v>
      </c>
      <c r="H19" s="264">
        <f t="shared" si="7"/>
        <v>7.335639382055219</v>
      </c>
      <c r="I19" s="264">
        <f t="shared" si="7"/>
        <v>8.4825059240566993</v>
      </c>
      <c r="J19" s="264">
        <f t="shared" si="7"/>
        <v>8.6663679358951224</v>
      </c>
      <c r="K19" s="264">
        <f t="shared" si="7"/>
        <v>7.4808502443651621</v>
      </c>
      <c r="L19" s="264">
        <f t="shared" si="7"/>
        <v>8.7712956717185513</v>
      </c>
      <c r="M19" s="264">
        <f t="shared" si="7"/>
        <v>7.1487645827786697</v>
      </c>
      <c r="N19" s="264">
        <f>(N7-N8)/(N5+N9)</f>
        <v>3.7666715658314365</v>
      </c>
      <c r="O19" s="264">
        <f>(O7-O8)/(O5+O9)</f>
        <v>6.7039286195197265</v>
      </c>
      <c r="P19" s="264">
        <f t="shared" ref="P19:Q19" si="8">(P7-P8)/(P5+P9)</f>
        <v>7.4444317962430544</v>
      </c>
      <c r="Q19" s="264">
        <f t="shared" si="8"/>
        <v>7.2423624043819199</v>
      </c>
      <c r="R19" s="264">
        <f>(R7-R8)/(R5+R9)</f>
        <v>5.6525123790436513</v>
      </c>
      <c r="S19" s="264">
        <f>(S7-S8)/(S5+S9)</f>
        <v>7.0520436867470426</v>
      </c>
      <c r="T19" s="264">
        <f>(T7-T8)/(T5+T9)</f>
        <v>12.688353788887227</v>
      </c>
      <c r="U19" s="264">
        <f>(U7-U8)/(U5+U9)</f>
        <v>7.2403701783859766</v>
      </c>
      <c r="V19" s="264">
        <f>(V7-V8)/(V5+V9)</f>
        <v>5.6475997048314941</v>
      </c>
    </row>
    <row r="20" spans="1:22" ht="12.6" x14ac:dyDescent="0.2">
      <c r="A20" s="255" t="s">
        <v>551</v>
      </c>
      <c r="B20" s="256" t="s">
        <v>552</v>
      </c>
      <c r="C20" s="264">
        <f>(C12+C13-C14)/(C4/12)</f>
        <v>3.0216857666420474</v>
      </c>
      <c r="D20" s="264">
        <f t="shared" ref="D20:M20" si="9">(D12+D13-D14)/(D4/12)</f>
        <v>1.3698674709495673</v>
      </c>
      <c r="E20" s="264">
        <f t="shared" si="9"/>
        <v>0.74553244113577721</v>
      </c>
      <c r="F20" s="264">
        <f t="shared" si="9"/>
        <v>1.0512455076518794</v>
      </c>
      <c r="G20" s="264">
        <f t="shared" si="9"/>
        <v>0.78272519005151486</v>
      </c>
      <c r="H20" s="264">
        <f t="shared" si="9"/>
        <v>0.69410189242450537</v>
      </c>
      <c r="I20" s="264">
        <f t="shared" si="9"/>
        <v>0.47463063695987695</v>
      </c>
      <c r="J20" s="264">
        <f t="shared" si="9"/>
        <v>1.1631382504168188</v>
      </c>
      <c r="K20" s="264">
        <f t="shared" si="9"/>
        <v>1.2603492636849707</v>
      </c>
      <c r="L20" s="264">
        <f t="shared" si="9"/>
        <v>0.66149046599614203</v>
      </c>
      <c r="M20" s="264">
        <f t="shared" si="9"/>
        <v>0.80821469663906231</v>
      </c>
      <c r="N20" s="264">
        <f t="shared" ref="N20:R20" si="10">(N12+N13-N14)/(N4/12)</f>
        <v>0.20447828671807064</v>
      </c>
      <c r="O20" s="264">
        <f t="shared" si="10"/>
        <v>3.3552826312485333</v>
      </c>
      <c r="P20" s="264">
        <f t="shared" si="10"/>
        <v>0.82407507251523715</v>
      </c>
      <c r="Q20" s="264">
        <f t="shared" si="10"/>
        <v>0.65792132498222411</v>
      </c>
      <c r="R20" s="264">
        <f t="shared" si="10"/>
        <v>1.3946262160319385</v>
      </c>
      <c r="S20" s="264">
        <f t="shared" ref="S20:T20" si="11">(S12+S13-S14)/(S4/12)</f>
        <v>2.854752640047872</v>
      </c>
      <c r="T20" s="264">
        <f t="shared" si="11"/>
        <v>0.45360014215373623</v>
      </c>
      <c r="U20" s="264">
        <f>(U12+U13-U14)/(U4/12)</f>
        <v>2.4623601451799368</v>
      </c>
      <c r="V20" s="264">
        <f>(V12+V13-V14)/(V4/12)</f>
        <v>-0.40617795977815846</v>
      </c>
    </row>
    <row r="21" spans="1:22" ht="12.6" x14ac:dyDescent="0.2">
      <c r="A21" s="255" t="s">
        <v>553</v>
      </c>
      <c r="B21" s="256" t="s">
        <v>110</v>
      </c>
      <c r="C21" s="262">
        <f>C10/(C10+C11)</f>
        <v>0.14067884095147767</v>
      </c>
      <c r="D21" s="262">
        <f t="shared" ref="D21:V21" si="12">D10/(D10+D11)</f>
        <v>0.13828633786265079</v>
      </c>
      <c r="E21" s="262">
        <f t="shared" si="12"/>
        <v>0.21807874784189132</v>
      </c>
      <c r="F21" s="262">
        <f t="shared" si="12"/>
        <v>0.20810744490375696</v>
      </c>
      <c r="G21" s="262">
        <f t="shared" si="12"/>
        <v>0.29479851748589569</v>
      </c>
      <c r="H21" s="262">
        <f t="shared" si="12"/>
        <v>0.31587885229853435</v>
      </c>
      <c r="I21" s="262">
        <f t="shared" si="12"/>
        <v>0.28296662575463916</v>
      </c>
      <c r="J21" s="262">
        <f t="shared" si="12"/>
        <v>0.28120234648232922</v>
      </c>
      <c r="K21" s="262">
        <f t="shared" si="12"/>
        <v>0.38304989329916034</v>
      </c>
      <c r="L21" s="262">
        <f t="shared" si="12"/>
        <v>0.29237098818789753</v>
      </c>
      <c r="M21" s="262">
        <f t="shared" si="12"/>
        <v>0.37495961704480618</v>
      </c>
      <c r="N21" s="262">
        <f>N10/(N10+N11)</f>
        <v>0.4739626200776651</v>
      </c>
      <c r="O21" s="262">
        <f>O10/(O10+O11)</f>
        <v>0.44578146442021149</v>
      </c>
      <c r="P21" s="262">
        <f>P10/(P10+P11)</f>
        <v>0.3537599544208076</v>
      </c>
      <c r="Q21" s="262">
        <f>Q10/(Q10+Q11)</f>
        <v>0.42698361888944925</v>
      </c>
      <c r="R21" s="262">
        <f t="shared" ref="R21:S21" si="13">R10/(R10+R11)</f>
        <v>0.45602932712013072</v>
      </c>
      <c r="S21" s="262">
        <f t="shared" si="13"/>
        <v>0.39991287179563284</v>
      </c>
      <c r="T21" s="262">
        <f t="shared" ref="T21:U21" si="14">T10/(T10+T11)</f>
        <v>0.33614421888709428</v>
      </c>
      <c r="U21" s="262">
        <f t="shared" si="14"/>
        <v>0.41838787647883546</v>
      </c>
      <c r="V21" s="262">
        <f t="shared" si="12"/>
        <v>0.38857212375454847</v>
      </c>
    </row>
    <row r="23" spans="1:22" x14ac:dyDescent="0.2">
      <c r="A23" s="286"/>
      <c r="B23" s="287"/>
      <c r="C23" s="287"/>
      <c r="D23" s="287"/>
      <c r="E23" s="287"/>
      <c r="F23" s="287"/>
      <c r="G23" s="287"/>
      <c r="H23" s="287"/>
      <c r="I23" s="287"/>
      <c r="J23" s="288"/>
      <c r="K23" s="286"/>
      <c r="L23" s="287"/>
      <c r="M23" s="287"/>
      <c r="N23" s="287"/>
      <c r="O23" s="287"/>
      <c r="P23" s="287"/>
      <c r="Q23" s="287"/>
      <c r="R23" s="287"/>
      <c r="S23" s="287"/>
      <c r="T23" s="287"/>
      <c r="U23" s="287"/>
      <c r="V23" s="288"/>
    </row>
    <row r="24" spans="1:22" x14ac:dyDescent="0.2">
      <c r="A24" s="289"/>
      <c r="B24" s="290"/>
      <c r="C24" s="290"/>
      <c r="D24" s="290"/>
      <c r="E24" s="290"/>
      <c r="F24" s="290"/>
      <c r="G24" s="290"/>
      <c r="H24" s="290"/>
      <c r="I24" s="290"/>
      <c r="J24" s="291"/>
      <c r="K24" s="289"/>
      <c r="L24" s="290"/>
      <c r="M24" s="290"/>
      <c r="N24" s="290"/>
      <c r="O24" s="290"/>
      <c r="P24" s="290"/>
      <c r="Q24" s="290"/>
      <c r="R24" s="290"/>
      <c r="S24" s="290"/>
      <c r="T24" s="290"/>
      <c r="U24" s="290"/>
      <c r="V24" s="291"/>
    </row>
    <row r="25" spans="1:22" x14ac:dyDescent="0.2">
      <c r="A25" s="289"/>
      <c r="B25" s="290"/>
      <c r="C25" s="290"/>
      <c r="D25" s="290"/>
      <c r="E25" s="290"/>
      <c r="F25" s="290"/>
      <c r="G25" s="290"/>
      <c r="H25" s="290"/>
      <c r="I25" s="290"/>
      <c r="J25" s="291"/>
      <c r="K25" s="289"/>
      <c r="L25" s="290"/>
      <c r="M25" s="290"/>
      <c r="N25" s="290"/>
      <c r="O25" s="290"/>
      <c r="P25" s="290"/>
      <c r="Q25" s="290"/>
      <c r="R25" s="290"/>
      <c r="S25" s="290"/>
      <c r="T25" s="290"/>
      <c r="U25" s="290"/>
      <c r="V25" s="291"/>
    </row>
    <row r="26" spans="1:22" x14ac:dyDescent="0.2">
      <c r="A26" s="289"/>
      <c r="B26" s="290"/>
      <c r="C26" s="290"/>
      <c r="D26" s="290"/>
      <c r="E26" s="290"/>
      <c r="F26" s="290"/>
      <c r="G26" s="290"/>
      <c r="H26" s="290"/>
      <c r="I26" s="290"/>
      <c r="J26" s="291"/>
      <c r="K26" s="289"/>
      <c r="L26" s="290"/>
      <c r="M26" s="290"/>
      <c r="N26" s="290"/>
      <c r="O26" s="290"/>
      <c r="P26" s="290"/>
      <c r="Q26" s="290"/>
      <c r="R26" s="290"/>
      <c r="S26" s="290"/>
      <c r="T26" s="290"/>
      <c r="U26" s="290"/>
      <c r="V26" s="291"/>
    </row>
    <row r="27" spans="1:22" x14ac:dyDescent="0.2">
      <c r="A27" s="289"/>
      <c r="B27" s="290"/>
      <c r="C27" s="290"/>
      <c r="D27" s="290"/>
      <c r="E27" s="290"/>
      <c r="F27" s="290"/>
      <c r="G27" s="290"/>
      <c r="H27" s="290"/>
      <c r="I27" s="290"/>
      <c r="J27" s="291"/>
      <c r="K27" s="289"/>
      <c r="L27" s="290"/>
      <c r="M27" s="290"/>
      <c r="N27" s="290"/>
      <c r="O27" s="290"/>
      <c r="P27" s="290"/>
      <c r="Q27" s="290"/>
      <c r="R27" s="290"/>
      <c r="S27" s="290"/>
      <c r="T27" s="290"/>
      <c r="U27" s="290"/>
      <c r="V27" s="291"/>
    </row>
    <row r="28" spans="1:22" x14ac:dyDescent="0.2">
      <c r="A28" s="289"/>
      <c r="B28" s="290"/>
      <c r="C28" s="290"/>
      <c r="D28" s="290"/>
      <c r="E28" s="290"/>
      <c r="F28" s="290"/>
      <c r="G28" s="290"/>
      <c r="H28" s="290"/>
      <c r="I28" s="290"/>
      <c r="J28" s="291"/>
      <c r="K28" s="289"/>
      <c r="L28" s="290"/>
      <c r="M28" s="290"/>
      <c r="N28" s="290"/>
      <c r="O28" s="290"/>
      <c r="P28" s="290"/>
      <c r="Q28" s="290"/>
      <c r="R28" s="290"/>
      <c r="S28" s="290"/>
      <c r="T28" s="290"/>
      <c r="U28" s="290"/>
      <c r="V28" s="291"/>
    </row>
    <row r="29" spans="1:22" x14ac:dyDescent="0.2">
      <c r="A29" s="289"/>
      <c r="B29" s="290"/>
      <c r="C29" s="290"/>
      <c r="D29" s="290"/>
      <c r="E29" s="290"/>
      <c r="F29" s="290"/>
      <c r="G29" s="290"/>
      <c r="H29" s="290"/>
      <c r="I29" s="290"/>
      <c r="J29" s="291"/>
      <c r="K29" s="289"/>
      <c r="L29" s="290"/>
      <c r="M29" s="290"/>
      <c r="N29" s="290"/>
      <c r="O29" s="290"/>
      <c r="P29" s="290"/>
      <c r="Q29" s="290"/>
      <c r="R29" s="290"/>
      <c r="S29" s="290"/>
      <c r="T29" s="290"/>
      <c r="U29" s="290"/>
      <c r="V29" s="291"/>
    </row>
    <row r="30" spans="1:22" x14ac:dyDescent="0.2">
      <c r="A30" s="289"/>
      <c r="B30" s="290"/>
      <c r="C30" s="290"/>
      <c r="D30" s="290"/>
      <c r="E30" s="290"/>
      <c r="F30" s="290"/>
      <c r="G30" s="290"/>
      <c r="H30" s="290"/>
      <c r="I30" s="290"/>
      <c r="J30" s="291"/>
      <c r="K30" s="289"/>
      <c r="L30" s="290"/>
      <c r="M30" s="290"/>
      <c r="N30" s="290"/>
      <c r="O30" s="290"/>
      <c r="P30" s="290"/>
      <c r="Q30" s="290"/>
      <c r="R30" s="290"/>
      <c r="S30" s="290"/>
      <c r="T30" s="290"/>
      <c r="U30" s="290"/>
      <c r="V30" s="291"/>
    </row>
    <row r="31" spans="1:22" x14ac:dyDescent="0.2">
      <c r="A31" s="289"/>
      <c r="B31" s="290"/>
      <c r="C31" s="290"/>
      <c r="D31" s="290"/>
      <c r="E31" s="290"/>
      <c r="F31" s="290"/>
      <c r="G31" s="290"/>
      <c r="H31" s="290"/>
      <c r="I31" s="290"/>
      <c r="J31" s="291"/>
      <c r="K31" s="289"/>
      <c r="L31" s="290"/>
      <c r="M31" s="290"/>
      <c r="N31" s="290"/>
      <c r="O31" s="290"/>
      <c r="P31" s="290"/>
      <c r="Q31" s="290"/>
      <c r="R31" s="290"/>
      <c r="S31" s="290"/>
      <c r="T31" s="290"/>
      <c r="U31" s="290"/>
      <c r="V31" s="291"/>
    </row>
    <row r="32" spans="1:22" x14ac:dyDescent="0.2">
      <c r="A32" s="289"/>
      <c r="B32" s="290"/>
      <c r="C32" s="290"/>
      <c r="D32" s="290"/>
      <c r="E32" s="290"/>
      <c r="F32" s="290"/>
      <c r="G32" s="290"/>
      <c r="H32" s="290"/>
      <c r="I32" s="290"/>
      <c r="J32" s="291"/>
      <c r="K32" s="289"/>
      <c r="L32" s="290"/>
      <c r="M32" s="290"/>
      <c r="N32" s="290"/>
      <c r="O32" s="290"/>
      <c r="P32" s="290"/>
      <c r="Q32" s="290"/>
      <c r="R32" s="290"/>
      <c r="S32" s="290"/>
      <c r="T32" s="290"/>
      <c r="U32" s="290"/>
      <c r="V32" s="291"/>
    </row>
    <row r="33" spans="1:22" x14ac:dyDescent="0.2">
      <c r="A33" s="289"/>
      <c r="B33" s="290"/>
      <c r="C33" s="290"/>
      <c r="D33" s="290"/>
      <c r="E33" s="290"/>
      <c r="F33" s="290"/>
      <c r="G33" s="290"/>
      <c r="H33" s="290"/>
      <c r="I33" s="290"/>
      <c r="J33" s="291"/>
      <c r="K33" s="289"/>
      <c r="L33" s="290"/>
      <c r="M33" s="290"/>
      <c r="N33" s="290"/>
      <c r="O33" s="290"/>
      <c r="P33" s="290"/>
      <c r="Q33" s="290"/>
      <c r="R33" s="290"/>
      <c r="S33" s="290"/>
      <c r="T33" s="290"/>
      <c r="U33" s="290"/>
      <c r="V33" s="291"/>
    </row>
    <row r="34" spans="1:22" x14ac:dyDescent="0.2">
      <c r="A34" s="289"/>
      <c r="B34" s="290"/>
      <c r="C34" s="290"/>
      <c r="D34" s="290"/>
      <c r="E34" s="290"/>
      <c r="F34" s="290"/>
      <c r="G34" s="290"/>
      <c r="H34" s="290"/>
      <c r="I34" s="290"/>
      <c r="J34" s="291"/>
      <c r="K34" s="289"/>
      <c r="L34" s="290"/>
      <c r="M34" s="290"/>
      <c r="N34" s="290"/>
      <c r="O34" s="290"/>
      <c r="P34" s="290"/>
      <c r="Q34" s="290"/>
      <c r="R34" s="290"/>
      <c r="S34" s="290"/>
      <c r="T34" s="290"/>
      <c r="U34" s="290"/>
      <c r="V34" s="291"/>
    </row>
    <row r="35" spans="1:22" x14ac:dyDescent="0.2">
      <c r="A35" s="289"/>
      <c r="B35" s="290"/>
      <c r="C35" s="290"/>
      <c r="D35" s="290"/>
      <c r="E35" s="290"/>
      <c r="F35" s="290"/>
      <c r="G35" s="290"/>
      <c r="H35" s="290"/>
      <c r="I35" s="290"/>
      <c r="J35" s="291"/>
      <c r="K35" s="289"/>
      <c r="L35" s="290"/>
      <c r="M35" s="290"/>
      <c r="N35" s="290"/>
      <c r="O35" s="290"/>
      <c r="P35" s="290"/>
      <c r="Q35" s="290"/>
      <c r="R35" s="290"/>
      <c r="S35" s="290"/>
      <c r="T35" s="290"/>
      <c r="U35" s="290"/>
      <c r="V35" s="291"/>
    </row>
    <row r="36" spans="1:22" x14ac:dyDescent="0.2">
      <c r="A36" s="289"/>
      <c r="B36" s="290"/>
      <c r="C36" s="290"/>
      <c r="D36" s="290"/>
      <c r="E36" s="290"/>
      <c r="F36" s="290"/>
      <c r="G36" s="290"/>
      <c r="H36" s="290"/>
      <c r="I36" s="290"/>
      <c r="J36" s="291"/>
      <c r="K36" s="289"/>
      <c r="L36" s="290"/>
      <c r="M36" s="290"/>
      <c r="N36" s="290"/>
      <c r="O36" s="290"/>
      <c r="P36" s="290"/>
      <c r="Q36" s="290"/>
      <c r="R36" s="290"/>
      <c r="S36" s="290"/>
      <c r="T36" s="290"/>
      <c r="U36" s="290"/>
      <c r="V36" s="291"/>
    </row>
    <row r="37" spans="1:22" x14ac:dyDescent="0.2">
      <c r="A37" s="289"/>
      <c r="B37" s="290"/>
      <c r="C37" s="290"/>
      <c r="D37" s="290"/>
      <c r="E37" s="290"/>
      <c r="F37" s="290"/>
      <c r="G37" s="290"/>
      <c r="H37" s="290"/>
      <c r="I37" s="290"/>
      <c r="J37" s="291"/>
      <c r="K37" s="289"/>
      <c r="L37" s="290"/>
      <c r="M37" s="290"/>
      <c r="N37" s="290"/>
      <c r="O37" s="290"/>
      <c r="P37" s="290"/>
      <c r="Q37" s="290"/>
      <c r="R37" s="290"/>
      <c r="S37" s="290"/>
      <c r="T37" s="290"/>
      <c r="U37" s="290"/>
      <c r="V37" s="291"/>
    </row>
    <row r="38" spans="1:22" x14ac:dyDescent="0.2">
      <c r="A38" s="289"/>
      <c r="B38" s="290"/>
      <c r="C38" s="290"/>
      <c r="D38" s="290"/>
      <c r="E38" s="290"/>
      <c r="F38" s="290"/>
      <c r="G38" s="290"/>
      <c r="H38" s="290"/>
      <c r="I38" s="290"/>
      <c r="J38" s="291"/>
      <c r="K38" s="289"/>
      <c r="L38" s="290"/>
      <c r="M38" s="290"/>
      <c r="N38" s="290"/>
      <c r="O38" s="290"/>
      <c r="P38" s="290"/>
      <c r="Q38" s="290"/>
      <c r="R38" s="290"/>
      <c r="S38" s="290"/>
      <c r="T38" s="290"/>
      <c r="U38" s="290"/>
      <c r="V38" s="291"/>
    </row>
    <row r="39" spans="1:22" x14ac:dyDescent="0.2">
      <c r="A39" s="289"/>
      <c r="B39" s="290"/>
      <c r="C39" s="290"/>
      <c r="D39" s="290"/>
      <c r="E39" s="290"/>
      <c r="F39" s="290"/>
      <c r="G39" s="290"/>
      <c r="H39" s="290"/>
      <c r="I39" s="290"/>
      <c r="J39" s="291"/>
      <c r="K39" s="289"/>
      <c r="L39" s="290"/>
      <c r="M39" s="290"/>
      <c r="N39" s="290"/>
      <c r="O39" s="290"/>
      <c r="P39" s="290"/>
      <c r="Q39" s="290"/>
      <c r="R39" s="290"/>
      <c r="S39" s="290"/>
      <c r="T39" s="290"/>
      <c r="U39" s="290"/>
      <c r="V39" s="291"/>
    </row>
    <row r="40" spans="1:22" x14ac:dyDescent="0.2">
      <c r="A40" s="289"/>
      <c r="B40" s="290"/>
      <c r="C40" s="290"/>
      <c r="D40" s="290"/>
      <c r="E40" s="290"/>
      <c r="F40" s="290"/>
      <c r="G40" s="290"/>
      <c r="H40" s="290"/>
      <c r="I40" s="290"/>
      <c r="J40" s="291"/>
      <c r="K40" s="289"/>
      <c r="L40" s="290"/>
      <c r="M40" s="290"/>
      <c r="N40" s="290"/>
      <c r="O40" s="290"/>
      <c r="P40" s="290"/>
      <c r="Q40" s="290"/>
      <c r="R40" s="290"/>
      <c r="S40" s="290"/>
      <c r="T40" s="290"/>
      <c r="U40" s="290"/>
      <c r="V40" s="291"/>
    </row>
    <row r="41" spans="1:22" x14ac:dyDescent="0.2">
      <c r="A41" s="289"/>
      <c r="B41" s="290"/>
      <c r="C41" s="290"/>
      <c r="D41" s="290"/>
      <c r="E41" s="290"/>
      <c r="F41" s="290"/>
      <c r="G41" s="290"/>
      <c r="H41" s="290"/>
      <c r="I41" s="290"/>
      <c r="J41" s="291"/>
      <c r="K41" s="289"/>
      <c r="L41" s="290"/>
      <c r="M41" s="290"/>
      <c r="N41" s="290"/>
      <c r="O41" s="290"/>
      <c r="P41" s="290"/>
      <c r="Q41" s="290"/>
      <c r="R41" s="290"/>
      <c r="S41" s="290"/>
      <c r="T41" s="290"/>
      <c r="U41" s="290"/>
      <c r="V41" s="291"/>
    </row>
    <row r="42" spans="1:22" x14ac:dyDescent="0.2">
      <c r="A42" s="289"/>
      <c r="B42" s="290"/>
      <c r="C42" s="290"/>
      <c r="D42" s="290"/>
      <c r="E42" s="290"/>
      <c r="F42" s="290"/>
      <c r="G42" s="290"/>
      <c r="H42" s="290"/>
      <c r="I42" s="290"/>
      <c r="J42" s="291"/>
      <c r="K42" s="289"/>
      <c r="L42" s="290"/>
      <c r="M42" s="290"/>
      <c r="N42" s="290"/>
      <c r="O42" s="290"/>
      <c r="P42" s="290"/>
      <c r="Q42" s="290"/>
      <c r="R42" s="290"/>
      <c r="S42" s="290"/>
      <c r="T42" s="290"/>
      <c r="U42" s="290"/>
      <c r="V42" s="291"/>
    </row>
    <row r="43" spans="1:22" x14ac:dyDescent="0.2">
      <c r="A43" s="292"/>
      <c r="B43" s="293"/>
      <c r="C43" s="293"/>
      <c r="D43" s="293"/>
      <c r="E43" s="293"/>
      <c r="F43" s="293"/>
      <c r="G43" s="293"/>
      <c r="H43" s="293"/>
      <c r="I43" s="293"/>
      <c r="J43" s="294"/>
      <c r="K43" s="292"/>
      <c r="L43" s="293"/>
      <c r="M43" s="293"/>
      <c r="N43" s="293"/>
      <c r="O43" s="293"/>
      <c r="P43" s="293"/>
      <c r="Q43" s="293"/>
      <c r="R43" s="293"/>
      <c r="S43" s="293"/>
      <c r="T43" s="293"/>
      <c r="U43" s="293"/>
      <c r="V43" s="294"/>
    </row>
    <row r="44" spans="1:22" x14ac:dyDescent="0.2">
      <c r="A44" s="286"/>
      <c r="B44" s="287"/>
      <c r="C44" s="287"/>
      <c r="D44" s="287"/>
      <c r="E44" s="287"/>
      <c r="F44" s="287"/>
      <c r="G44" s="287"/>
      <c r="H44" s="287"/>
      <c r="I44" s="287"/>
      <c r="J44" s="288"/>
      <c r="K44" s="286"/>
      <c r="L44" s="287"/>
      <c r="M44" s="287"/>
      <c r="N44" s="287"/>
      <c r="O44" s="287"/>
      <c r="P44" s="287"/>
      <c r="Q44" s="287"/>
      <c r="R44" s="287"/>
      <c r="S44" s="287"/>
      <c r="T44" s="287"/>
      <c r="U44" s="287"/>
      <c r="V44" s="288"/>
    </row>
    <row r="45" spans="1:22" x14ac:dyDescent="0.2">
      <c r="A45" s="289"/>
      <c r="B45" s="290"/>
      <c r="C45" s="290"/>
      <c r="D45" s="290"/>
      <c r="E45" s="290"/>
      <c r="F45" s="290"/>
      <c r="G45" s="290"/>
      <c r="H45" s="290"/>
      <c r="I45" s="290"/>
      <c r="J45" s="291"/>
      <c r="K45" s="289"/>
      <c r="L45" s="290"/>
      <c r="M45" s="290"/>
      <c r="N45" s="290"/>
      <c r="O45" s="290"/>
      <c r="P45" s="290"/>
      <c r="Q45" s="290"/>
      <c r="R45" s="290"/>
      <c r="S45" s="290"/>
      <c r="T45" s="290"/>
      <c r="U45" s="290"/>
      <c r="V45" s="291"/>
    </row>
    <row r="46" spans="1:22" x14ac:dyDescent="0.2">
      <c r="A46" s="289"/>
      <c r="B46" s="290"/>
      <c r="C46" s="290"/>
      <c r="D46" s="290"/>
      <c r="E46" s="290"/>
      <c r="F46" s="290"/>
      <c r="G46" s="290"/>
      <c r="H46" s="290"/>
      <c r="I46" s="290"/>
      <c r="J46" s="291"/>
      <c r="K46" s="289"/>
      <c r="L46" s="290"/>
      <c r="M46" s="290"/>
      <c r="N46" s="290"/>
      <c r="O46" s="290"/>
      <c r="P46" s="290"/>
      <c r="Q46" s="290"/>
      <c r="R46" s="290"/>
      <c r="S46" s="290"/>
      <c r="T46" s="290"/>
      <c r="U46" s="290"/>
      <c r="V46" s="291"/>
    </row>
    <row r="47" spans="1:22" x14ac:dyDescent="0.2">
      <c r="A47" s="289"/>
      <c r="B47" s="290"/>
      <c r="C47" s="290"/>
      <c r="D47" s="290"/>
      <c r="E47" s="290"/>
      <c r="F47" s="290"/>
      <c r="G47" s="290"/>
      <c r="H47" s="290"/>
      <c r="I47" s="290"/>
      <c r="J47" s="291"/>
      <c r="K47" s="289"/>
      <c r="L47" s="290"/>
      <c r="M47" s="290"/>
      <c r="N47" s="290"/>
      <c r="O47" s="290"/>
      <c r="P47" s="290"/>
      <c r="Q47" s="290"/>
      <c r="R47" s="290"/>
      <c r="S47" s="290"/>
      <c r="T47" s="290"/>
      <c r="U47" s="290"/>
      <c r="V47" s="291"/>
    </row>
    <row r="48" spans="1:22" x14ac:dyDescent="0.2">
      <c r="A48" s="289"/>
      <c r="B48" s="290"/>
      <c r="C48" s="290"/>
      <c r="D48" s="290"/>
      <c r="E48" s="290"/>
      <c r="F48" s="290"/>
      <c r="G48" s="290"/>
      <c r="H48" s="290"/>
      <c r="I48" s="290"/>
      <c r="J48" s="291"/>
      <c r="K48" s="289"/>
      <c r="L48" s="290"/>
      <c r="M48" s="290"/>
      <c r="N48" s="290"/>
      <c r="O48" s="290"/>
      <c r="P48" s="290"/>
      <c r="Q48" s="290"/>
      <c r="R48" s="290"/>
      <c r="S48" s="290"/>
      <c r="T48" s="290"/>
      <c r="U48" s="290"/>
      <c r="V48" s="291"/>
    </row>
    <row r="49" spans="1:22" x14ac:dyDescent="0.2">
      <c r="A49" s="289"/>
      <c r="B49" s="290"/>
      <c r="C49" s="290"/>
      <c r="D49" s="290"/>
      <c r="E49" s="290"/>
      <c r="F49" s="290"/>
      <c r="G49" s="290"/>
      <c r="H49" s="290"/>
      <c r="I49" s="290"/>
      <c r="J49" s="291"/>
      <c r="K49" s="289"/>
      <c r="L49" s="290"/>
      <c r="M49" s="290"/>
      <c r="N49" s="290"/>
      <c r="O49" s="290"/>
      <c r="P49" s="290"/>
      <c r="Q49" s="290"/>
      <c r="R49" s="290"/>
      <c r="S49" s="290"/>
      <c r="T49" s="290"/>
      <c r="U49" s="290"/>
      <c r="V49" s="291"/>
    </row>
    <row r="50" spans="1:22" x14ac:dyDescent="0.2">
      <c r="A50" s="289"/>
      <c r="B50" s="290"/>
      <c r="C50" s="290"/>
      <c r="D50" s="290"/>
      <c r="E50" s="290"/>
      <c r="F50" s="290"/>
      <c r="G50" s="290"/>
      <c r="H50" s="290"/>
      <c r="I50" s="290"/>
      <c r="J50" s="291"/>
      <c r="K50" s="289"/>
      <c r="L50" s="290"/>
      <c r="M50" s="290"/>
      <c r="N50" s="290"/>
      <c r="O50" s="290"/>
      <c r="P50" s="290"/>
      <c r="Q50" s="290"/>
      <c r="R50" s="290"/>
      <c r="S50" s="290"/>
      <c r="T50" s="290"/>
      <c r="U50" s="290"/>
      <c r="V50" s="291"/>
    </row>
    <row r="51" spans="1:22" x14ac:dyDescent="0.2">
      <c r="A51" s="289"/>
      <c r="B51" s="290"/>
      <c r="C51" s="290"/>
      <c r="D51" s="290"/>
      <c r="E51" s="290"/>
      <c r="F51" s="290"/>
      <c r="G51" s="290"/>
      <c r="H51" s="290"/>
      <c r="I51" s="290"/>
      <c r="J51" s="291"/>
      <c r="K51" s="289"/>
      <c r="L51" s="290"/>
      <c r="M51" s="290"/>
      <c r="N51" s="290"/>
      <c r="O51" s="290"/>
      <c r="P51" s="290"/>
      <c r="Q51" s="290"/>
      <c r="R51" s="290"/>
      <c r="S51" s="290"/>
      <c r="T51" s="290"/>
      <c r="U51" s="290"/>
      <c r="V51" s="291"/>
    </row>
    <row r="52" spans="1:22" x14ac:dyDescent="0.2">
      <c r="A52" s="289"/>
      <c r="B52" s="290"/>
      <c r="C52" s="290"/>
      <c r="D52" s="290"/>
      <c r="E52" s="290"/>
      <c r="F52" s="290"/>
      <c r="G52" s="290"/>
      <c r="H52" s="290"/>
      <c r="I52" s="290"/>
      <c r="J52" s="291"/>
      <c r="K52" s="289"/>
      <c r="L52" s="290"/>
      <c r="M52" s="290"/>
      <c r="N52" s="290"/>
      <c r="O52" s="290"/>
      <c r="P52" s="290"/>
      <c r="Q52" s="290"/>
      <c r="R52" s="290"/>
      <c r="S52" s="290"/>
      <c r="T52" s="290"/>
      <c r="U52" s="290"/>
      <c r="V52" s="291"/>
    </row>
    <row r="53" spans="1:22" x14ac:dyDescent="0.2">
      <c r="A53" s="289"/>
      <c r="B53" s="290"/>
      <c r="C53" s="290"/>
      <c r="D53" s="290"/>
      <c r="E53" s="290"/>
      <c r="F53" s="290"/>
      <c r="G53" s="290"/>
      <c r="H53" s="290"/>
      <c r="I53" s="290"/>
      <c r="J53" s="291"/>
      <c r="K53" s="289"/>
      <c r="L53" s="290"/>
      <c r="M53" s="290"/>
      <c r="N53" s="290"/>
      <c r="O53" s="290"/>
      <c r="P53" s="290"/>
      <c r="Q53" s="290"/>
      <c r="R53" s="290"/>
      <c r="S53" s="290"/>
      <c r="T53" s="290"/>
      <c r="U53" s="290"/>
      <c r="V53" s="291"/>
    </row>
    <row r="54" spans="1:22" x14ac:dyDescent="0.2">
      <c r="A54" s="289"/>
      <c r="B54" s="290"/>
      <c r="C54" s="290"/>
      <c r="D54" s="290"/>
      <c r="E54" s="290"/>
      <c r="F54" s="290"/>
      <c r="G54" s="290"/>
      <c r="H54" s="290"/>
      <c r="I54" s="290"/>
      <c r="J54" s="291"/>
      <c r="K54" s="289"/>
      <c r="L54" s="290"/>
      <c r="M54" s="290"/>
      <c r="N54" s="290"/>
      <c r="O54" s="290"/>
      <c r="P54" s="290"/>
      <c r="Q54" s="290"/>
      <c r="R54" s="290"/>
      <c r="S54" s="290"/>
      <c r="T54" s="290"/>
      <c r="U54" s="290"/>
      <c r="V54" s="291"/>
    </row>
    <row r="55" spans="1:22" x14ac:dyDescent="0.2">
      <c r="A55" s="289"/>
      <c r="B55" s="290"/>
      <c r="C55" s="290"/>
      <c r="D55" s="290"/>
      <c r="E55" s="290"/>
      <c r="F55" s="290"/>
      <c r="G55" s="290"/>
      <c r="H55" s="290"/>
      <c r="I55" s="290"/>
      <c r="J55" s="291"/>
      <c r="K55" s="289"/>
      <c r="L55" s="290"/>
      <c r="M55" s="290"/>
      <c r="N55" s="290"/>
      <c r="O55" s="290"/>
      <c r="P55" s="290"/>
      <c r="Q55" s="290"/>
      <c r="R55" s="290"/>
      <c r="S55" s="290"/>
      <c r="T55" s="290"/>
      <c r="U55" s="290"/>
      <c r="V55" s="291"/>
    </row>
    <row r="56" spans="1:22" x14ac:dyDescent="0.2">
      <c r="A56" s="289"/>
      <c r="B56" s="290"/>
      <c r="C56" s="290"/>
      <c r="D56" s="290"/>
      <c r="E56" s="290"/>
      <c r="F56" s="290"/>
      <c r="G56" s="290"/>
      <c r="H56" s="290"/>
      <c r="I56" s="290"/>
      <c r="J56" s="291"/>
      <c r="K56" s="289"/>
      <c r="L56" s="290"/>
      <c r="M56" s="290"/>
      <c r="N56" s="290"/>
      <c r="O56" s="290"/>
      <c r="P56" s="290"/>
      <c r="Q56" s="290"/>
      <c r="R56" s="290"/>
      <c r="S56" s="290"/>
      <c r="T56" s="290"/>
      <c r="U56" s="290"/>
      <c r="V56" s="291"/>
    </row>
    <row r="57" spans="1:22" x14ac:dyDescent="0.2">
      <c r="A57" s="289"/>
      <c r="B57" s="290"/>
      <c r="C57" s="290"/>
      <c r="D57" s="290"/>
      <c r="E57" s="290"/>
      <c r="F57" s="290"/>
      <c r="G57" s="290"/>
      <c r="H57" s="290"/>
      <c r="I57" s="290"/>
      <c r="J57" s="291"/>
      <c r="K57" s="289"/>
      <c r="L57" s="290"/>
      <c r="M57" s="290"/>
      <c r="N57" s="290"/>
      <c r="O57" s="290"/>
      <c r="P57" s="290"/>
      <c r="Q57" s="290"/>
      <c r="R57" s="290"/>
      <c r="S57" s="290"/>
      <c r="T57" s="290"/>
      <c r="U57" s="290"/>
      <c r="V57" s="291"/>
    </row>
    <row r="58" spans="1:22" x14ac:dyDescent="0.2">
      <c r="A58" s="289"/>
      <c r="B58" s="290"/>
      <c r="C58" s="290"/>
      <c r="D58" s="290"/>
      <c r="E58" s="290"/>
      <c r="F58" s="290"/>
      <c r="G58" s="290"/>
      <c r="H58" s="290"/>
      <c r="I58" s="290"/>
      <c r="J58" s="291"/>
      <c r="K58" s="289"/>
      <c r="L58" s="290"/>
      <c r="M58" s="290"/>
      <c r="N58" s="290"/>
      <c r="O58" s="290"/>
      <c r="P58" s="290"/>
      <c r="Q58" s="290"/>
      <c r="R58" s="290"/>
      <c r="S58" s="290"/>
      <c r="T58" s="290"/>
      <c r="U58" s="290"/>
      <c r="V58" s="291"/>
    </row>
    <row r="59" spans="1:22" x14ac:dyDescent="0.2">
      <c r="A59" s="289"/>
      <c r="B59" s="290"/>
      <c r="C59" s="290"/>
      <c r="D59" s="290"/>
      <c r="E59" s="290"/>
      <c r="F59" s="290"/>
      <c r="G59" s="290"/>
      <c r="H59" s="290"/>
      <c r="I59" s="290"/>
      <c r="J59" s="291"/>
      <c r="K59" s="289"/>
      <c r="L59" s="290"/>
      <c r="M59" s="290"/>
      <c r="N59" s="290"/>
      <c r="O59" s="290"/>
      <c r="P59" s="290"/>
      <c r="Q59" s="290"/>
      <c r="R59" s="290"/>
      <c r="S59" s="290"/>
      <c r="T59" s="290"/>
      <c r="U59" s="290"/>
      <c r="V59" s="291"/>
    </row>
    <row r="60" spans="1:22" x14ac:dyDescent="0.2">
      <c r="A60" s="289"/>
      <c r="B60" s="290"/>
      <c r="C60" s="290"/>
      <c r="D60" s="290"/>
      <c r="E60" s="290"/>
      <c r="F60" s="290"/>
      <c r="G60" s="290"/>
      <c r="H60" s="290"/>
      <c r="I60" s="290"/>
      <c r="J60" s="291"/>
      <c r="K60" s="289"/>
      <c r="L60" s="290"/>
      <c r="M60" s="290"/>
      <c r="N60" s="290"/>
      <c r="O60" s="290"/>
      <c r="P60" s="290"/>
      <c r="Q60" s="290"/>
      <c r="R60" s="290"/>
      <c r="S60" s="290"/>
      <c r="T60" s="290"/>
      <c r="U60" s="290"/>
      <c r="V60" s="291"/>
    </row>
    <row r="61" spans="1:22" x14ac:dyDescent="0.2">
      <c r="A61" s="289"/>
      <c r="B61" s="290"/>
      <c r="C61" s="290"/>
      <c r="D61" s="290"/>
      <c r="E61" s="290"/>
      <c r="F61" s="290"/>
      <c r="G61" s="290"/>
      <c r="H61" s="290"/>
      <c r="I61" s="290"/>
      <c r="J61" s="291"/>
      <c r="K61" s="289"/>
      <c r="L61" s="290"/>
      <c r="M61" s="290"/>
      <c r="N61" s="290"/>
      <c r="O61" s="290"/>
      <c r="P61" s="290"/>
      <c r="Q61" s="290"/>
      <c r="R61" s="290"/>
      <c r="S61" s="290"/>
      <c r="T61" s="290"/>
      <c r="U61" s="290"/>
      <c r="V61" s="291"/>
    </row>
    <row r="62" spans="1:22" x14ac:dyDescent="0.2">
      <c r="A62" s="289"/>
      <c r="B62" s="290"/>
      <c r="C62" s="290"/>
      <c r="D62" s="290"/>
      <c r="E62" s="290"/>
      <c r="F62" s="290"/>
      <c r="G62" s="290"/>
      <c r="H62" s="290"/>
      <c r="I62" s="290"/>
      <c r="J62" s="291"/>
      <c r="K62" s="289"/>
      <c r="L62" s="290"/>
      <c r="M62" s="290"/>
      <c r="N62" s="290"/>
      <c r="O62" s="290"/>
      <c r="P62" s="290"/>
      <c r="Q62" s="290"/>
      <c r="R62" s="290"/>
      <c r="S62" s="290"/>
      <c r="T62" s="290"/>
      <c r="U62" s="290"/>
      <c r="V62" s="291"/>
    </row>
    <row r="63" spans="1:22" x14ac:dyDescent="0.2">
      <c r="A63" s="289"/>
      <c r="B63" s="290"/>
      <c r="C63" s="290"/>
      <c r="D63" s="290"/>
      <c r="E63" s="290"/>
      <c r="F63" s="290"/>
      <c r="G63" s="290"/>
      <c r="H63" s="290"/>
      <c r="I63" s="290"/>
      <c r="J63" s="291"/>
      <c r="K63" s="289"/>
      <c r="L63" s="290"/>
      <c r="M63" s="290"/>
      <c r="N63" s="290"/>
      <c r="O63" s="290"/>
      <c r="P63" s="290"/>
      <c r="Q63" s="290"/>
      <c r="R63" s="290"/>
      <c r="S63" s="290"/>
      <c r="T63" s="290"/>
      <c r="U63" s="290"/>
      <c r="V63" s="291"/>
    </row>
    <row r="64" spans="1:22" x14ac:dyDescent="0.2">
      <c r="A64" s="292"/>
      <c r="B64" s="293"/>
      <c r="C64" s="293"/>
      <c r="D64" s="293"/>
      <c r="E64" s="293"/>
      <c r="F64" s="293"/>
      <c r="G64" s="293"/>
      <c r="H64" s="293"/>
      <c r="I64" s="293"/>
      <c r="J64" s="294"/>
      <c r="K64" s="292"/>
      <c r="L64" s="293"/>
      <c r="M64" s="293"/>
      <c r="N64" s="293"/>
      <c r="O64" s="293"/>
      <c r="P64" s="293"/>
      <c r="Q64" s="293"/>
      <c r="R64" s="293"/>
      <c r="S64" s="293"/>
      <c r="T64" s="293"/>
      <c r="U64" s="293"/>
      <c r="V64" s="294"/>
    </row>
    <row r="65" spans="1:22" x14ac:dyDescent="0.2">
      <c r="A65" s="286"/>
      <c r="B65" s="287"/>
      <c r="C65" s="287"/>
      <c r="D65" s="287"/>
      <c r="E65" s="287"/>
      <c r="F65" s="287"/>
      <c r="G65" s="287"/>
      <c r="H65" s="287"/>
      <c r="I65" s="287"/>
      <c r="J65" s="288"/>
      <c r="K65" s="286"/>
      <c r="L65" s="287"/>
      <c r="M65" s="287"/>
      <c r="N65" s="287"/>
      <c r="O65" s="287"/>
      <c r="P65" s="287"/>
      <c r="Q65" s="287"/>
      <c r="R65" s="287"/>
      <c r="S65" s="287"/>
      <c r="T65" s="287"/>
      <c r="U65" s="287"/>
      <c r="V65" s="288"/>
    </row>
    <row r="66" spans="1:22" x14ac:dyDescent="0.2">
      <c r="A66" s="289"/>
      <c r="B66" s="290"/>
      <c r="C66" s="290"/>
      <c r="D66" s="290"/>
      <c r="E66" s="290"/>
      <c r="F66" s="290"/>
      <c r="G66" s="290"/>
      <c r="H66" s="290"/>
      <c r="I66" s="290"/>
      <c r="J66" s="291"/>
      <c r="K66" s="289"/>
      <c r="L66" s="290"/>
      <c r="M66" s="290"/>
      <c r="N66" s="290"/>
      <c r="O66" s="290"/>
      <c r="P66" s="290"/>
      <c r="Q66" s="290"/>
      <c r="R66" s="290"/>
      <c r="S66" s="290"/>
      <c r="T66" s="290"/>
      <c r="U66" s="290"/>
      <c r="V66" s="291"/>
    </row>
    <row r="67" spans="1:22" x14ac:dyDescent="0.2">
      <c r="A67" s="289"/>
      <c r="B67" s="290"/>
      <c r="C67" s="290"/>
      <c r="D67" s="290"/>
      <c r="E67" s="290"/>
      <c r="F67" s="290"/>
      <c r="G67" s="290"/>
      <c r="H67" s="290"/>
      <c r="I67" s="290"/>
      <c r="J67" s="291"/>
      <c r="K67" s="289"/>
      <c r="L67" s="290"/>
      <c r="M67" s="290"/>
      <c r="N67" s="290"/>
      <c r="O67" s="290"/>
      <c r="P67" s="290"/>
      <c r="Q67" s="290"/>
      <c r="R67" s="290"/>
      <c r="S67" s="290"/>
      <c r="T67" s="290"/>
      <c r="U67" s="290"/>
      <c r="V67" s="291"/>
    </row>
    <row r="68" spans="1:22" x14ac:dyDescent="0.2">
      <c r="A68" s="289"/>
      <c r="B68" s="290"/>
      <c r="C68" s="290"/>
      <c r="D68" s="290"/>
      <c r="E68" s="290"/>
      <c r="F68" s="290"/>
      <c r="G68" s="290"/>
      <c r="H68" s="290"/>
      <c r="I68" s="290"/>
      <c r="J68" s="291"/>
      <c r="K68" s="289"/>
      <c r="L68" s="290"/>
      <c r="M68" s="290"/>
      <c r="N68" s="290"/>
      <c r="O68" s="290"/>
      <c r="P68" s="290"/>
      <c r="Q68" s="290"/>
      <c r="R68" s="290"/>
      <c r="S68" s="290"/>
      <c r="T68" s="290"/>
      <c r="U68" s="290"/>
      <c r="V68" s="291"/>
    </row>
    <row r="69" spans="1:22" x14ac:dyDescent="0.2">
      <c r="A69" s="289"/>
      <c r="B69" s="290"/>
      <c r="C69" s="290"/>
      <c r="D69" s="290"/>
      <c r="E69" s="290"/>
      <c r="F69" s="290"/>
      <c r="G69" s="290"/>
      <c r="H69" s="290"/>
      <c r="I69" s="290"/>
      <c r="J69" s="291"/>
      <c r="K69" s="289"/>
      <c r="L69" s="290"/>
      <c r="M69" s="290"/>
      <c r="N69" s="290"/>
      <c r="O69" s="290"/>
      <c r="P69" s="290"/>
      <c r="Q69" s="290"/>
      <c r="R69" s="290"/>
      <c r="S69" s="290"/>
      <c r="T69" s="290"/>
      <c r="U69" s="290"/>
      <c r="V69" s="291"/>
    </row>
    <row r="70" spans="1:22" x14ac:dyDescent="0.2">
      <c r="A70" s="289"/>
      <c r="B70" s="290"/>
      <c r="C70" s="290"/>
      <c r="D70" s="290"/>
      <c r="E70" s="290"/>
      <c r="F70" s="290"/>
      <c r="G70" s="290"/>
      <c r="H70" s="290"/>
      <c r="I70" s="290"/>
      <c r="J70" s="291"/>
      <c r="K70" s="289"/>
      <c r="L70" s="290"/>
      <c r="M70" s="290"/>
      <c r="N70" s="290"/>
      <c r="O70" s="290"/>
      <c r="P70" s="290"/>
      <c r="Q70" s="290"/>
      <c r="R70" s="290"/>
      <c r="S70" s="290"/>
      <c r="T70" s="290"/>
      <c r="U70" s="290"/>
      <c r="V70" s="291"/>
    </row>
    <row r="71" spans="1:22" x14ac:dyDescent="0.2">
      <c r="A71" s="289"/>
      <c r="B71" s="290"/>
      <c r="C71" s="290"/>
      <c r="D71" s="290"/>
      <c r="E71" s="290"/>
      <c r="F71" s="290"/>
      <c r="G71" s="290"/>
      <c r="H71" s="290"/>
      <c r="I71" s="290"/>
      <c r="J71" s="291"/>
      <c r="K71" s="289"/>
      <c r="L71" s="290"/>
      <c r="M71" s="290"/>
      <c r="N71" s="290"/>
      <c r="O71" s="290"/>
      <c r="P71" s="290"/>
      <c r="Q71" s="290"/>
      <c r="R71" s="290"/>
      <c r="S71" s="290"/>
      <c r="T71" s="290"/>
      <c r="U71" s="290"/>
      <c r="V71" s="291"/>
    </row>
    <row r="72" spans="1:22" x14ac:dyDescent="0.2">
      <c r="A72" s="289"/>
      <c r="B72" s="290"/>
      <c r="C72" s="290"/>
      <c r="D72" s="290"/>
      <c r="E72" s="290"/>
      <c r="F72" s="290"/>
      <c r="G72" s="290"/>
      <c r="H72" s="290"/>
      <c r="I72" s="290"/>
      <c r="J72" s="291"/>
      <c r="K72" s="289"/>
      <c r="L72" s="290"/>
      <c r="M72" s="290"/>
      <c r="N72" s="290"/>
      <c r="O72" s="290"/>
      <c r="P72" s="290"/>
      <c r="Q72" s="290"/>
      <c r="R72" s="290"/>
      <c r="S72" s="290"/>
      <c r="T72" s="290"/>
      <c r="U72" s="290"/>
      <c r="V72" s="291"/>
    </row>
    <row r="73" spans="1:22" x14ac:dyDescent="0.2">
      <c r="A73" s="289"/>
      <c r="B73" s="290"/>
      <c r="C73" s="290"/>
      <c r="D73" s="290"/>
      <c r="E73" s="290"/>
      <c r="F73" s="290"/>
      <c r="G73" s="290"/>
      <c r="H73" s="290"/>
      <c r="I73" s="290"/>
      <c r="J73" s="291"/>
      <c r="K73" s="289"/>
      <c r="L73" s="290"/>
      <c r="M73" s="290"/>
      <c r="N73" s="290"/>
      <c r="O73" s="290"/>
      <c r="P73" s="290"/>
      <c r="Q73" s="290"/>
      <c r="R73" s="290"/>
      <c r="S73" s="290"/>
      <c r="T73" s="290"/>
      <c r="U73" s="290"/>
      <c r="V73" s="291"/>
    </row>
    <row r="74" spans="1:22" x14ac:dyDescent="0.2">
      <c r="A74" s="289"/>
      <c r="B74" s="290"/>
      <c r="C74" s="290"/>
      <c r="D74" s="290"/>
      <c r="E74" s="290"/>
      <c r="F74" s="290"/>
      <c r="G74" s="290"/>
      <c r="H74" s="290"/>
      <c r="I74" s="290"/>
      <c r="J74" s="291"/>
      <c r="K74" s="289"/>
      <c r="L74" s="290"/>
      <c r="M74" s="290"/>
      <c r="N74" s="290"/>
      <c r="O74" s="290"/>
      <c r="P74" s="290"/>
      <c r="Q74" s="290"/>
      <c r="R74" s="290"/>
      <c r="S74" s="290"/>
      <c r="T74" s="290"/>
      <c r="U74" s="290"/>
      <c r="V74" s="291"/>
    </row>
    <row r="75" spans="1:22" x14ac:dyDescent="0.2">
      <c r="A75" s="289"/>
      <c r="B75" s="290"/>
      <c r="C75" s="290"/>
      <c r="D75" s="290"/>
      <c r="E75" s="290"/>
      <c r="F75" s="290"/>
      <c r="G75" s="290"/>
      <c r="H75" s="290"/>
      <c r="I75" s="290"/>
      <c r="J75" s="291"/>
      <c r="K75" s="289"/>
      <c r="L75" s="290"/>
      <c r="M75" s="290"/>
      <c r="N75" s="290"/>
      <c r="O75" s="290"/>
      <c r="P75" s="290"/>
      <c r="Q75" s="290"/>
      <c r="R75" s="290"/>
      <c r="S75" s="290"/>
      <c r="T75" s="290"/>
      <c r="U75" s="290"/>
      <c r="V75" s="291"/>
    </row>
    <row r="76" spans="1:22" x14ac:dyDescent="0.2">
      <c r="A76" s="289"/>
      <c r="B76" s="290"/>
      <c r="C76" s="290"/>
      <c r="D76" s="290"/>
      <c r="E76" s="290"/>
      <c r="F76" s="290"/>
      <c r="G76" s="290"/>
      <c r="H76" s="290"/>
      <c r="I76" s="290"/>
      <c r="J76" s="291"/>
      <c r="K76" s="289"/>
      <c r="L76" s="290"/>
      <c r="M76" s="290"/>
      <c r="N76" s="290"/>
      <c r="O76" s="290"/>
      <c r="P76" s="290"/>
      <c r="Q76" s="290"/>
      <c r="R76" s="290"/>
      <c r="S76" s="290"/>
      <c r="T76" s="290"/>
      <c r="U76" s="290"/>
      <c r="V76" s="291"/>
    </row>
    <row r="77" spans="1:22" x14ac:dyDescent="0.2">
      <c r="A77" s="289"/>
      <c r="B77" s="290"/>
      <c r="C77" s="290"/>
      <c r="D77" s="290"/>
      <c r="E77" s="290"/>
      <c r="F77" s="290"/>
      <c r="G77" s="290"/>
      <c r="H77" s="290"/>
      <c r="I77" s="290"/>
      <c r="J77" s="291"/>
      <c r="K77" s="289"/>
      <c r="L77" s="290"/>
      <c r="M77" s="290"/>
      <c r="N77" s="290"/>
      <c r="O77" s="290"/>
      <c r="P77" s="290"/>
      <c r="Q77" s="290"/>
      <c r="R77" s="290"/>
      <c r="S77" s="290"/>
      <c r="T77" s="290"/>
      <c r="U77" s="290"/>
      <c r="V77" s="291"/>
    </row>
    <row r="78" spans="1:22" x14ac:dyDescent="0.2">
      <c r="A78" s="289"/>
      <c r="B78" s="290"/>
      <c r="C78" s="290"/>
      <c r="D78" s="290"/>
      <c r="E78" s="290"/>
      <c r="F78" s="290"/>
      <c r="G78" s="290"/>
      <c r="H78" s="290"/>
      <c r="I78" s="290"/>
      <c r="J78" s="291"/>
      <c r="K78" s="289"/>
      <c r="L78" s="290"/>
      <c r="M78" s="290"/>
      <c r="N78" s="290"/>
      <c r="O78" s="290"/>
      <c r="P78" s="290"/>
      <c r="Q78" s="290"/>
      <c r="R78" s="290"/>
      <c r="S78" s="290"/>
      <c r="T78" s="290"/>
      <c r="U78" s="290"/>
      <c r="V78" s="291"/>
    </row>
    <row r="79" spans="1:22" x14ac:dyDescent="0.2">
      <c r="A79" s="289"/>
      <c r="B79" s="290"/>
      <c r="C79" s="290"/>
      <c r="D79" s="290"/>
      <c r="E79" s="290"/>
      <c r="F79" s="290"/>
      <c r="G79" s="290"/>
      <c r="H79" s="290"/>
      <c r="I79" s="290"/>
      <c r="J79" s="291"/>
      <c r="K79" s="289"/>
      <c r="L79" s="290"/>
      <c r="M79" s="290"/>
      <c r="N79" s="290"/>
      <c r="O79" s="290"/>
      <c r="P79" s="290"/>
      <c r="Q79" s="290"/>
      <c r="R79" s="290"/>
      <c r="S79" s="290"/>
      <c r="T79" s="290"/>
      <c r="U79" s="290"/>
      <c r="V79" s="291"/>
    </row>
    <row r="80" spans="1:22" x14ac:dyDescent="0.2">
      <c r="A80" s="289"/>
      <c r="B80" s="290"/>
      <c r="C80" s="290"/>
      <c r="D80" s="290"/>
      <c r="E80" s="290"/>
      <c r="F80" s="290"/>
      <c r="G80" s="290"/>
      <c r="H80" s="290"/>
      <c r="I80" s="290"/>
      <c r="J80" s="291"/>
      <c r="K80" s="289"/>
      <c r="L80" s="290"/>
      <c r="M80" s="290"/>
      <c r="N80" s="290"/>
      <c r="O80" s="290"/>
      <c r="P80" s="290"/>
      <c r="Q80" s="290"/>
      <c r="R80" s="290"/>
      <c r="S80" s="290"/>
      <c r="T80" s="290"/>
      <c r="U80" s="290"/>
      <c r="V80" s="291"/>
    </row>
    <row r="81" spans="1:22" x14ac:dyDescent="0.2">
      <c r="A81" s="289"/>
      <c r="B81" s="290"/>
      <c r="C81" s="290"/>
      <c r="D81" s="290"/>
      <c r="E81" s="290"/>
      <c r="F81" s="290"/>
      <c r="G81" s="290"/>
      <c r="H81" s="290"/>
      <c r="I81" s="290"/>
      <c r="J81" s="291"/>
      <c r="K81" s="289"/>
      <c r="L81" s="290"/>
      <c r="M81" s="290"/>
      <c r="N81" s="290"/>
      <c r="O81" s="290"/>
      <c r="P81" s="290"/>
      <c r="Q81" s="290"/>
      <c r="R81" s="290"/>
      <c r="S81" s="290"/>
      <c r="T81" s="290"/>
      <c r="U81" s="290"/>
      <c r="V81" s="291"/>
    </row>
    <row r="82" spans="1:22" x14ac:dyDescent="0.2">
      <c r="A82" s="289"/>
      <c r="B82" s="290"/>
      <c r="C82" s="290"/>
      <c r="D82" s="290"/>
      <c r="E82" s="290"/>
      <c r="F82" s="290"/>
      <c r="G82" s="290"/>
      <c r="H82" s="290"/>
      <c r="I82" s="290"/>
      <c r="J82" s="291"/>
      <c r="K82" s="289"/>
      <c r="L82" s="290"/>
      <c r="M82" s="290"/>
      <c r="N82" s="290"/>
      <c r="O82" s="290"/>
      <c r="P82" s="290"/>
      <c r="Q82" s="290"/>
      <c r="R82" s="290"/>
      <c r="S82" s="290"/>
      <c r="T82" s="290"/>
      <c r="U82" s="290"/>
      <c r="V82" s="291"/>
    </row>
    <row r="83" spans="1:22" x14ac:dyDescent="0.2">
      <c r="A83" s="289"/>
      <c r="B83" s="290"/>
      <c r="C83" s="290"/>
      <c r="D83" s="290"/>
      <c r="E83" s="290"/>
      <c r="F83" s="290"/>
      <c r="G83" s="290"/>
      <c r="H83" s="290"/>
      <c r="I83" s="290"/>
      <c r="J83" s="291"/>
      <c r="K83" s="289"/>
      <c r="L83" s="290"/>
      <c r="M83" s="290"/>
      <c r="N83" s="290"/>
      <c r="O83" s="290"/>
      <c r="P83" s="290"/>
      <c r="Q83" s="290"/>
      <c r="R83" s="290"/>
      <c r="S83" s="290"/>
      <c r="T83" s="290"/>
      <c r="U83" s="290"/>
      <c r="V83" s="291"/>
    </row>
    <row r="84" spans="1:22" x14ac:dyDescent="0.2">
      <c r="A84" s="289"/>
      <c r="B84" s="290"/>
      <c r="C84" s="290"/>
      <c r="D84" s="290"/>
      <c r="E84" s="290"/>
      <c r="F84" s="290"/>
      <c r="G84" s="290"/>
      <c r="H84" s="290"/>
      <c r="I84" s="290"/>
      <c r="J84" s="291"/>
      <c r="K84" s="289"/>
      <c r="L84" s="290"/>
      <c r="M84" s="290"/>
      <c r="N84" s="290"/>
      <c r="O84" s="290"/>
      <c r="P84" s="290"/>
      <c r="Q84" s="290"/>
      <c r="R84" s="290"/>
      <c r="S84" s="290"/>
      <c r="T84" s="290"/>
      <c r="U84" s="290"/>
      <c r="V84" s="291"/>
    </row>
    <row r="85" spans="1:22" x14ac:dyDescent="0.2">
      <c r="A85" s="292"/>
      <c r="B85" s="293"/>
      <c r="C85" s="293"/>
      <c r="D85" s="293"/>
      <c r="E85" s="293"/>
      <c r="F85" s="293"/>
      <c r="G85" s="293"/>
      <c r="H85" s="293"/>
      <c r="I85" s="293"/>
      <c r="J85" s="294"/>
      <c r="K85" s="292"/>
      <c r="L85" s="293"/>
      <c r="M85" s="293"/>
      <c r="N85" s="293"/>
      <c r="O85" s="293"/>
      <c r="P85" s="293"/>
      <c r="Q85" s="293"/>
      <c r="R85" s="293"/>
      <c r="S85" s="293"/>
      <c r="T85" s="293"/>
      <c r="U85" s="293"/>
      <c r="V85" s="294"/>
    </row>
    <row r="86" spans="1:22" x14ac:dyDescent="0.2">
      <c r="A86" s="76" t="s">
        <v>583</v>
      </c>
    </row>
  </sheetData>
  <sheetProtection algorithmName="SHA-512" hashValue="To0Ia3CTqZexdcD3/S6qRYkrZxUuo1xovMwf2hcCsPGOJuQscVGuA9Lge4IQbTDPJpSXG+gCnLGPIXiLiNaH5Q==" saltValue="+P0OcgAt5hL2RCP23McLgw==" spinCount="100000" sheet="1" objects="1" scenarios="1"/>
  <mergeCells count="6">
    <mergeCell ref="K23:V43"/>
    <mergeCell ref="K44:V64"/>
    <mergeCell ref="K65:V85"/>
    <mergeCell ref="A65:J85"/>
    <mergeCell ref="A44:J64"/>
    <mergeCell ref="A23:J43"/>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D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9" width="10.44140625" customWidth="1"/>
    <col min="30" max="30" width="10.44140625" style="1" customWidth="1"/>
  </cols>
  <sheetData>
    <row r="1" spans="1:30"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c r="AD1" s="207"/>
    </row>
    <row r="2" spans="1:30" ht="21" customHeight="1" x14ac:dyDescent="0.2">
      <c r="A2" s="345" t="str">
        <f>BS!A2</f>
        <v>６９　不動産賃貸業・管理業</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46" t="s">
        <v>33</v>
      </c>
      <c r="B4" s="347"/>
      <c r="C4" s="347"/>
      <c r="D4" s="347"/>
      <c r="E4" s="347"/>
      <c r="F4" s="347"/>
      <c r="G4" s="347"/>
      <c r="H4" s="347"/>
      <c r="I4" s="347"/>
      <c r="J4" s="347"/>
      <c r="K4" s="68">
        <v>71519</v>
      </c>
      <c r="L4" s="68">
        <v>55841</v>
      </c>
      <c r="M4" s="68">
        <v>55360.826280551599</v>
      </c>
      <c r="N4" s="68">
        <v>50396.946920934199</v>
      </c>
      <c r="O4" s="68">
        <v>60432.064040404199</v>
      </c>
      <c r="P4" s="68">
        <v>63161.500913264499</v>
      </c>
      <c r="Q4" s="68">
        <v>63840.894955141201</v>
      </c>
      <c r="R4" s="68">
        <v>121143.91328152489</v>
      </c>
      <c r="S4" s="68">
        <v>120117.85040100326</v>
      </c>
      <c r="T4" s="68">
        <v>111183.23767123211</v>
      </c>
      <c r="U4" s="68">
        <v>108322.99483610119</v>
      </c>
      <c r="V4" s="68">
        <v>105538.35862919933</v>
      </c>
      <c r="W4" s="68">
        <v>102827.23420270068</v>
      </c>
      <c r="X4" s="68">
        <v>100187.5897304992</v>
      </c>
      <c r="Y4" s="68">
        <v>107176.70191099987</v>
      </c>
      <c r="Z4" s="68">
        <v>111925</v>
      </c>
      <c r="AA4" s="68">
        <v>116545</v>
      </c>
      <c r="AB4" s="68">
        <v>159434</v>
      </c>
      <c r="AC4" s="68">
        <v>163918</v>
      </c>
      <c r="AD4" s="68">
        <v>160455</v>
      </c>
    </row>
    <row r="5" spans="1:30" s="31" customFormat="1" ht="18" customHeight="1" x14ac:dyDescent="0.2">
      <c r="A5" s="363" t="s">
        <v>34</v>
      </c>
      <c r="B5" s="364"/>
      <c r="C5" s="364"/>
      <c r="D5" s="364"/>
      <c r="E5" s="364"/>
      <c r="F5" s="364"/>
      <c r="G5" s="364"/>
      <c r="H5" s="364"/>
      <c r="I5" s="364"/>
      <c r="J5" s="364"/>
      <c r="K5" s="251">
        <v>5.5180161915015598</v>
      </c>
      <c r="L5" s="251">
        <v>6.8928744112748701</v>
      </c>
      <c r="M5" s="251">
        <v>6.5164774718826237</v>
      </c>
      <c r="N5" s="251">
        <v>7.0538757410632709</v>
      </c>
      <c r="O5" s="251">
        <v>7.5244098520277953</v>
      </c>
      <c r="P5" s="251">
        <v>6.4555693157831548</v>
      </c>
      <c r="Q5" s="251">
        <v>6.4912934958534283</v>
      </c>
      <c r="R5" s="251">
        <v>4.873875028211871</v>
      </c>
      <c r="S5" s="251">
        <v>4.4633525110334187</v>
      </c>
      <c r="T5" s="251">
        <v>4.7179208744010532</v>
      </c>
      <c r="U5" s="251">
        <v>4.470740099773467</v>
      </c>
      <c r="V5" s="251">
        <v>4.3753422066729435</v>
      </c>
      <c r="W5" s="251">
        <v>4.6349237279689053</v>
      </c>
      <c r="X5" s="251">
        <v>4.3081710075024651</v>
      </c>
      <c r="Y5" s="251">
        <v>4.7574940863894222</v>
      </c>
      <c r="Z5" s="251">
        <v>4.6238176317259763</v>
      </c>
      <c r="AA5" s="251">
        <v>4.8296280406709853</v>
      </c>
      <c r="AB5" s="251">
        <v>4.0625525295733658</v>
      </c>
      <c r="AC5" s="251">
        <v>3.980112007223124</v>
      </c>
      <c r="AD5" s="251">
        <v>4.2826150634134184</v>
      </c>
    </row>
    <row r="6" spans="1:30" s="31" customFormat="1" ht="18" customHeight="1" x14ac:dyDescent="0.2">
      <c r="A6" s="359" t="s">
        <v>514</v>
      </c>
      <c r="B6" s="360"/>
      <c r="C6" s="360"/>
      <c r="D6" s="360"/>
      <c r="E6" s="360"/>
      <c r="F6" s="360"/>
      <c r="G6" s="360"/>
      <c r="H6" s="360"/>
      <c r="I6" s="360"/>
      <c r="J6" s="360"/>
      <c r="K6" s="71">
        <v>107629.490764692</v>
      </c>
      <c r="L6" s="71">
        <v>153443.90322522877</v>
      </c>
      <c r="M6" s="71">
        <v>122702.14935468711</v>
      </c>
      <c r="N6" s="71">
        <v>134643.77120936109</v>
      </c>
      <c r="O6" s="71">
        <v>122190.1530570623</v>
      </c>
      <c r="P6" s="71">
        <v>117117.86794373595</v>
      </c>
      <c r="Q6" s="71">
        <v>128747.066465904</v>
      </c>
      <c r="R6" s="71">
        <v>89330.530343840102</v>
      </c>
      <c r="S6" s="71">
        <v>77413.875779371112</v>
      </c>
      <c r="T6" s="71">
        <v>73200.946820408819</v>
      </c>
      <c r="U6" s="71">
        <v>71135.359744677393</v>
      </c>
      <c r="V6" s="71">
        <v>80506.792831506449</v>
      </c>
      <c r="W6" s="71">
        <v>80809.01291244899</v>
      </c>
      <c r="X6" s="71">
        <v>75808.624721591332</v>
      </c>
      <c r="Y6" s="71">
        <v>85473.774217329614</v>
      </c>
      <c r="Z6" s="71">
        <v>86955.078162896534</v>
      </c>
      <c r="AA6" s="71">
        <v>88371.048650735771</v>
      </c>
      <c r="AB6" s="71">
        <v>66670.964787937322</v>
      </c>
      <c r="AC6" s="71">
        <v>79707.523542258947</v>
      </c>
      <c r="AD6" s="71">
        <v>106703.8265370353</v>
      </c>
    </row>
    <row r="7" spans="1:30" s="31" customFormat="1" ht="18" customHeight="1" x14ac:dyDescent="0.2">
      <c r="A7" s="366" t="s">
        <v>35</v>
      </c>
      <c r="B7" s="367"/>
      <c r="C7" s="367"/>
      <c r="D7" s="367"/>
      <c r="E7" s="367"/>
      <c r="F7" s="367"/>
      <c r="G7" s="367"/>
      <c r="H7" s="367"/>
      <c r="I7" s="367"/>
      <c r="J7" s="367"/>
      <c r="K7" s="211">
        <v>94283.20194633599</v>
      </c>
      <c r="L7" s="211">
        <v>132878.92408803565</v>
      </c>
      <c r="M7" s="211">
        <v>107019.11928573926</v>
      </c>
      <c r="N7" s="211">
        <v>118077.91801149295</v>
      </c>
      <c r="O7" s="211">
        <v>105540.14047120442</v>
      </c>
      <c r="P7" s="211">
        <v>101539.17304368134</v>
      </c>
      <c r="Q7" s="211"/>
      <c r="R7" s="211"/>
      <c r="S7" s="211"/>
      <c r="T7" s="211"/>
      <c r="U7" s="211"/>
      <c r="V7" s="211"/>
      <c r="W7" s="211"/>
      <c r="X7" s="211"/>
      <c r="Y7" s="211"/>
      <c r="Z7" s="211"/>
      <c r="AA7" s="211"/>
      <c r="AB7" s="211"/>
      <c r="AC7" s="211"/>
      <c r="AD7" s="211"/>
    </row>
    <row r="8" spans="1:30" s="31" customFormat="1" ht="18" customHeight="1" x14ac:dyDescent="0.2">
      <c r="A8" s="212"/>
      <c r="B8" s="366" t="s">
        <v>36</v>
      </c>
      <c r="C8" s="367"/>
      <c r="D8" s="367"/>
      <c r="E8" s="367"/>
      <c r="F8" s="367"/>
      <c r="G8" s="367"/>
      <c r="H8" s="367"/>
      <c r="I8" s="367"/>
      <c r="J8" s="372"/>
      <c r="K8" s="211">
        <v>37324.584795648698</v>
      </c>
      <c r="L8" s="211">
        <v>63964.91825003134</v>
      </c>
      <c r="M8" s="211">
        <v>45030.693062260434</v>
      </c>
      <c r="N8" s="211">
        <v>60000.26452262672</v>
      </c>
      <c r="O8" s="211">
        <v>46495.462122600977</v>
      </c>
      <c r="P8" s="211">
        <v>44844.664698015084</v>
      </c>
      <c r="Q8" s="211">
        <v>55036.868112878241</v>
      </c>
      <c r="R8" s="211">
        <v>31142.143901654341</v>
      </c>
      <c r="S8" s="211">
        <v>25690.856510955422</v>
      </c>
      <c r="T8" s="211">
        <v>23143.958807320083</v>
      </c>
      <c r="U8" s="211">
        <v>23325.464568060546</v>
      </c>
      <c r="V8" s="211">
        <v>23109.311508302457</v>
      </c>
      <c r="W8" s="211">
        <v>25703.542310345474</v>
      </c>
      <c r="X8" s="211">
        <v>25399.990288405916</v>
      </c>
      <c r="Y8" s="211">
        <v>31593.43246801744</v>
      </c>
      <c r="Z8" s="211">
        <v>32103.204999699003</v>
      </c>
      <c r="AA8" s="211">
        <v>35659.168698785877</v>
      </c>
      <c r="AB8" s="211">
        <v>19699.800487976216</v>
      </c>
      <c r="AC8" s="211">
        <v>30125.036939201305</v>
      </c>
      <c r="AD8" s="211">
        <v>39347.867140319715</v>
      </c>
    </row>
    <row r="9" spans="1:30" s="31" customFormat="1" ht="18" customHeight="1" x14ac:dyDescent="0.2">
      <c r="A9" s="212"/>
      <c r="B9" s="73"/>
      <c r="C9" s="346" t="s">
        <v>37</v>
      </c>
      <c r="D9" s="347"/>
      <c r="E9" s="347"/>
      <c r="F9" s="347"/>
      <c r="G9" s="347"/>
      <c r="H9" s="347"/>
      <c r="I9" s="347"/>
      <c r="J9" s="347"/>
      <c r="K9" s="68">
        <v>17193.373089668501</v>
      </c>
      <c r="L9" s="68">
        <v>13513.995093211081</v>
      </c>
      <c r="M9" s="68">
        <v>7733.8828809957386</v>
      </c>
      <c r="N9" s="68">
        <v>11875.433389726002</v>
      </c>
      <c r="O9" s="68">
        <v>11285.644308463177</v>
      </c>
      <c r="P9" s="68">
        <v>7872.7118229193857</v>
      </c>
      <c r="Q9" s="68">
        <v>3565.5448576165804</v>
      </c>
      <c r="R9" s="68">
        <v>7431.0866799554915</v>
      </c>
      <c r="S9" s="68">
        <v>5684.9713650126196</v>
      </c>
      <c r="T9" s="68">
        <v>4126.2260207444469</v>
      </c>
      <c r="U9" s="68">
        <v>4185.6418862514638</v>
      </c>
      <c r="V9" s="68">
        <v>4886.6588491404773</v>
      </c>
      <c r="W9" s="68">
        <v>6050.5983668034869</v>
      </c>
      <c r="X9" s="68">
        <v>4882.402522782244</v>
      </c>
      <c r="Y9" s="68">
        <v>4765.8275097060487</v>
      </c>
      <c r="Z9" s="68">
        <v>7825.231988918521</v>
      </c>
      <c r="AA9" s="68">
        <v>8223.1466043159307</v>
      </c>
      <c r="AB9" s="68">
        <v>5932.6337167730844</v>
      </c>
      <c r="AC9" s="68">
        <v>6193.7415048987905</v>
      </c>
      <c r="AD9" s="68">
        <v>4712.1087532329939</v>
      </c>
    </row>
    <row r="10" spans="1:30" s="31" customFormat="1" ht="18" customHeight="1" x14ac:dyDescent="0.2">
      <c r="A10" s="212"/>
      <c r="B10" s="73"/>
      <c r="C10" s="355" t="s">
        <v>38</v>
      </c>
      <c r="D10" s="356"/>
      <c r="E10" s="356"/>
      <c r="F10" s="356"/>
      <c r="G10" s="356"/>
      <c r="H10" s="356"/>
      <c r="I10" s="356"/>
      <c r="J10" s="356"/>
      <c r="K10" s="69">
        <v>2123.3718312616197</v>
      </c>
      <c r="L10" s="69">
        <v>2322.8094052756933</v>
      </c>
      <c r="M10" s="69">
        <v>724.80334030736401</v>
      </c>
      <c r="N10" s="69">
        <v>1253.6295423490717</v>
      </c>
      <c r="O10" s="69">
        <v>608.66708360226608</v>
      </c>
      <c r="P10" s="69">
        <v>500.29591920261709</v>
      </c>
      <c r="Q10" s="69">
        <v>451.01932505840784</v>
      </c>
      <c r="R10" s="69">
        <v>3541.5913818844833</v>
      </c>
      <c r="S10" s="69">
        <v>335.59360289876764</v>
      </c>
      <c r="T10" s="69">
        <v>963.77639633809702</v>
      </c>
      <c r="U10" s="69">
        <v>454.8241983280285</v>
      </c>
      <c r="V10" s="69">
        <v>343.70652648268003</v>
      </c>
      <c r="W10" s="69">
        <v>117.08883125777304</v>
      </c>
      <c r="X10" s="69">
        <v>781.3523142092838</v>
      </c>
      <c r="Y10" s="69">
        <v>1123.1559144229689</v>
      </c>
      <c r="Z10" s="69"/>
      <c r="AA10" s="69"/>
      <c r="AB10" s="69"/>
      <c r="AC10" s="69"/>
      <c r="AD10" s="69"/>
    </row>
    <row r="11" spans="1:30" s="31" customFormat="1" ht="18" customHeight="1" x14ac:dyDescent="0.2">
      <c r="A11" s="212"/>
      <c r="B11" s="73"/>
      <c r="C11" s="355" t="s">
        <v>39</v>
      </c>
      <c r="D11" s="356"/>
      <c r="E11" s="356"/>
      <c r="F11" s="356"/>
      <c r="G11" s="356"/>
      <c r="H11" s="356"/>
      <c r="I11" s="356"/>
      <c r="J11" s="356"/>
      <c r="K11" s="69">
        <v>1226.0836980382801</v>
      </c>
      <c r="L11" s="69">
        <v>2995.7558066653537</v>
      </c>
      <c r="M11" s="69">
        <v>3020.4612814436109</v>
      </c>
      <c r="N11" s="69">
        <v>3241.8051741119734</v>
      </c>
      <c r="O11" s="69">
        <v>3105.4325069477932</v>
      </c>
      <c r="P11" s="69">
        <v>2302.7126867315728</v>
      </c>
      <c r="Q11" s="69">
        <v>2082.1181006289203</v>
      </c>
      <c r="R11" s="69">
        <v>1136.8746123793196</v>
      </c>
      <c r="S11" s="69">
        <v>941.48523016334275</v>
      </c>
      <c r="T11" s="69">
        <v>1701.7857271360299</v>
      </c>
      <c r="U11" s="69">
        <v>922.07779478912789</v>
      </c>
      <c r="V11" s="69">
        <v>745.48535707469068</v>
      </c>
      <c r="W11" s="69">
        <v>1549.84265240131</v>
      </c>
      <c r="X11" s="69">
        <v>1353.0734728647578</v>
      </c>
      <c r="Y11" s="69">
        <v>2099.4369040791689</v>
      </c>
      <c r="Z11" s="69">
        <v>1982.9168303873785</v>
      </c>
      <c r="AA11" s="69">
        <v>1659.3380325196276</v>
      </c>
      <c r="AB11" s="69">
        <v>1706.2034070524478</v>
      </c>
      <c r="AC11" s="69">
        <v>981.41579326248495</v>
      </c>
      <c r="AD11" s="69">
        <v>890.04905425197092</v>
      </c>
    </row>
    <row r="12" spans="1:30" s="31" customFormat="1" ht="18" customHeight="1" x14ac:dyDescent="0.2">
      <c r="A12" s="212"/>
      <c r="B12" s="73"/>
      <c r="C12" s="355" t="s">
        <v>40</v>
      </c>
      <c r="D12" s="356"/>
      <c r="E12" s="356"/>
      <c r="F12" s="356"/>
      <c r="G12" s="356"/>
      <c r="H12" s="356"/>
      <c r="I12" s="356"/>
      <c r="J12" s="356"/>
      <c r="K12" s="69">
        <v>5769.1049930787594</v>
      </c>
      <c r="L12" s="69">
        <v>12184.506008130225</v>
      </c>
      <c r="M12" s="69">
        <v>7228.187440638123</v>
      </c>
      <c r="N12" s="69">
        <v>12011.596317534244</v>
      </c>
      <c r="O12" s="69">
        <v>10213.257474143387</v>
      </c>
      <c r="P12" s="69">
        <v>5043.5474006907561</v>
      </c>
      <c r="Q12" s="69">
        <v>8894.2854578563474</v>
      </c>
      <c r="R12" s="69">
        <v>4545.1722242926362</v>
      </c>
      <c r="S12" s="69">
        <v>3687.5893897464325</v>
      </c>
      <c r="T12" s="69">
        <v>3820.4168850458809</v>
      </c>
      <c r="U12" s="69">
        <v>2682.1640930741532</v>
      </c>
      <c r="V12" s="69">
        <v>3383.2638316402931</v>
      </c>
      <c r="W12" s="69">
        <v>3137.4690763269305</v>
      </c>
      <c r="X12" s="69">
        <v>2123.4785127147652</v>
      </c>
      <c r="Y12" s="69">
        <v>5200.4550364266515</v>
      </c>
      <c r="Z12" s="69">
        <v>4466.2806025547688</v>
      </c>
      <c r="AA12" s="69">
        <v>2647.5094770260416</v>
      </c>
      <c r="AB12" s="69">
        <v>2130.9082692524807</v>
      </c>
      <c r="AC12" s="69">
        <v>4679.7640771605311</v>
      </c>
      <c r="AD12" s="69">
        <v>3687.8711663706335</v>
      </c>
    </row>
    <row r="13" spans="1:30" s="31" customFormat="1" ht="18" customHeight="1" x14ac:dyDescent="0.2">
      <c r="A13" s="212"/>
      <c r="B13" s="73"/>
      <c r="C13" s="355" t="s">
        <v>41</v>
      </c>
      <c r="D13" s="356"/>
      <c r="E13" s="356"/>
      <c r="F13" s="356"/>
      <c r="G13" s="356"/>
      <c r="H13" s="356"/>
      <c r="I13" s="356"/>
      <c r="J13" s="356"/>
      <c r="K13" s="69">
        <v>2402.1952208503999</v>
      </c>
      <c r="L13" s="69">
        <v>5916.5845883848788</v>
      </c>
      <c r="M13" s="69">
        <v>3779.0518293367222</v>
      </c>
      <c r="N13" s="69">
        <v>3803.8292455846545</v>
      </c>
      <c r="O13" s="69">
        <v>2182.6431526962583</v>
      </c>
      <c r="P13" s="69">
        <v>3177.2806263592756</v>
      </c>
      <c r="Q13" s="69">
        <v>5157.6241685973046</v>
      </c>
      <c r="R13" s="69">
        <v>1852.9255962171701</v>
      </c>
      <c r="S13" s="69">
        <v>1519.0293465333168</v>
      </c>
      <c r="T13" s="69">
        <v>779.74454389392031</v>
      </c>
      <c r="U13" s="69">
        <v>1983.1417416846723</v>
      </c>
      <c r="V13" s="69">
        <v>1974.4759171489743</v>
      </c>
      <c r="W13" s="69">
        <v>1101.0153628736327</v>
      </c>
      <c r="X13" s="69">
        <v>2148.1440999080828</v>
      </c>
      <c r="Y13" s="69">
        <v>2683.7647365907942</v>
      </c>
      <c r="Z13" s="69">
        <v>2404.3230784215789</v>
      </c>
      <c r="AA13" s="69">
        <v>1972.8477841177228</v>
      </c>
      <c r="AB13" s="69">
        <v>2730.9783170465525</v>
      </c>
      <c r="AC13" s="69">
        <v>2507.3403958076601</v>
      </c>
      <c r="AD13" s="69">
        <v>2574.382761521922</v>
      </c>
    </row>
    <row r="14" spans="1:30" s="31" customFormat="1" ht="18" customHeight="1" x14ac:dyDescent="0.2">
      <c r="A14" s="212"/>
      <c r="B14" s="73"/>
      <c r="C14" s="363" t="s">
        <v>42</v>
      </c>
      <c r="D14" s="364"/>
      <c r="E14" s="364"/>
      <c r="F14" s="364"/>
      <c r="G14" s="364"/>
      <c r="H14" s="364"/>
      <c r="I14" s="364"/>
      <c r="J14" s="364"/>
      <c r="K14" s="70">
        <v>8610.4559627511608</v>
      </c>
      <c r="L14" s="70">
        <v>27031.249440375352</v>
      </c>
      <c r="M14" s="70">
        <v>22544.306289538901</v>
      </c>
      <c r="N14" s="70">
        <v>27813.970853320814</v>
      </c>
      <c r="O14" s="70">
        <v>19099.817596748097</v>
      </c>
      <c r="P14" s="70">
        <v>25948.116242111519</v>
      </c>
      <c r="Q14" s="70">
        <v>34886.276203120688</v>
      </c>
      <c r="R14" s="70">
        <v>12634.493406925241</v>
      </c>
      <c r="S14" s="70">
        <v>13522.187576600954</v>
      </c>
      <c r="T14" s="70">
        <v>11752.009234161716</v>
      </c>
      <c r="U14" s="70">
        <v>13097.614853933106</v>
      </c>
      <c r="V14" s="70">
        <v>11775.72102681535</v>
      </c>
      <c r="W14" s="70">
        <v>13747.528020682315</v>
      </c>
      <c r="X14" s="70">
        <v>14111.539365926743</v>
      </c>
      <c r="Y14" s="70">
        <v>15720.792366791791</v>
      </c>
      <c r="Z14" s="70">
        <v>15424.452499416755</v>
      </c>
      <c r="AA14" s="70">
        <v>21156.326800806557</v>
      </c>
      <c r="AB14" s="70">
        <v>7199.0767778516492</v>
      </c>
      <c r="AC14" s="70">
        <v>15762.775168071839</v>
      </c>
      <c r="AD14" s="70">
        <v>27483.455404942193</v>
      </c>
    </row>
    <row r="15" spans="1:30" s="31" customFormat="1" ht="18" customHeight="1" x14ac:dyDescent="0.2">
      <c r="A15" s="366" t="s">
        <v>392</v>
      </c>
      <c r="B15" s="367"/>
      <c r="C15" s="367"/>
      <c r="D15" s="367"/>
      <c r="E15" s="367"/>
      <c r="F15" s="367"/>
      <c r="G15" s="367"/>
      <c r="H15" s="367"/>
      <c r="I15" s="367"/>
      <c r="J15" s="367"/>
      <c r="K15" s="211"/>
      <c r="L15" s="211"/>
      <c r="M15" s="211"/>
      <c r="N15" s="211"/>
      <c r="O15" s="211"/>
      <c r="P15" s="211"/>
      <c r="Q15" s="211">
        <v>73710.198353025597</v>
      </c>
      <c r="R15" s="211">
        <v>58188.386442185751</v>
      </c>
      <c r="S15" s="211">
        <v>51723.019268415694</v>
      </c>
      <c r="T15" s="211">
        <v>50056.988013088725</v>
      </c>
      <c r="U15" s="211">
        <v>47809.895176616839</v>
      </c>
      <c r="V15" s="211">
        <v>57397.481323203989</v>
      </c>
      <c r="W15" s="211">
        <v>55105.470602103524</v>
      </c>
      <c r="X15" s="211">
        <v>50408.63443318542</v>
      </c>
      <c r="Y15" s="211">
        <v>53880.341749312189</v>
      </c>
      <c r="Z15" s="211">
        <v>54851.873163197488</v>
      </c>
      <c r="AA15" s="211">
        <v>52711.879951949886</v>
      </c>
      <c r="AB15" s="211">
        <v>46971.164306233302</v>
      </c>
      <c r="AC15" s="211">
        <v>49582.486596957009</v>
      </c>
      <c r="AD15" s="211">
        <v>67355.959396715596</v>
      </c>
    </row>
    <row r="16" spans="1:30" s="31" customFormat="1" ht="18" customHeight="1" x14ac:dyDescent="0.2">
      <c r="A16" s="73"/>
      <c r="B16" s="366" t="s">
        <v>43</v>
      </c>
      <c r="C16" s="367"/>
      <c r="D16" s="367"/>
      <c r="E16" s="367"/>
      <c r="F16" s="367"/>
      <c r="G16" s="367"/>
      <c r="H16" s="367"/>
      <c r="I16" s="367"/>
      <c r="J16" s="367"/>
      <c r="K16" s="211">
        <v>56958.617150687198</v>
      </c>
      <c r="L16" s="211">
        <v>68914.023745993094</v>
      </c>
      <c r="M16" s="211">
        <v>61988.426223479182</v>
      </c>
      <c r="N16" s="211">
        <v>58077.653488866221</v>
      </c>
      <c r="O16" s="211">
        <v>59044.678348603105</v>
      </c>
      <c r="P16" s="211">
        <v>56694.50834566624</v>
      </c>
      <c r="Q16" s="211">
        <v>57753.49307085391</v>
      </c>
      <c r="R16" s="211">
        <v>48579.5381540362</v>
      </c>
      <c r="S16" s="211">
        <v>43761.212286516682</v>
      </c>
      <c r="T16" s="211">
        <v>42124.405495623905</v>
      </c>
      <c r="U16" s="211">
        <v>38643.870475055752</v>
      </c>
      <c r="V16" s="211">
        <v>45478.021400228106</v>
      </c>
      <c r="W16" s="211">
        <v>43543.429334226006</v>
      </c>
      <c r="X16" s="211">
        <v>40625.517939028832</v>
      </c>
      <c r="Y16" s="211">
        <v>42602.608525791547</v>
      </c>
      <c r="Z16" s="211">
        <v>43387.357845991457</v>
      </c>
      <c r="AA16" s="211">
        <v>44279.190407138878</v>
      </c>
      <c r="AB16" s="211">
        <v>39705.975557283891</v>
      </c>
      <c r="AC16" s="211">
        <v>39664.146774606816</v>
      </c>
      <c r="AD16" s="211">
        <v>51181.96068679692</v>
      </c>
    </row>
    <row r="17" spans="1:30" s="31" customFormat="1" ht="18" customHeight="1" x14ac:dyDescent="0.2">
      <c r="A17" s="212"/>
      <c r="B17" s="73"/>
      <c r="C17" s="346" t="s">
        <v>44</v>
      </c>
      <c r="D17" s="347"/>
      <c r="E17" s="347"/>
      <c r="F17" s="347"/>
      <c r="G17" s="347"/>
      <c r="H17" s="347"/>
      <c r="I17" s="347"/>
      <c r="J17" s="347"/>
      <c r="K17" s="68">
        <v>17024.090521399899</v>
      </c>
      <c r="L17" s="68">
        <v>20581.938002542935</v>
      </c>
      <c r="M17" s="68">
        <v>19115.239055003429</v>
      </c>
      <c r="N17" s="68">
        <v>20704.409537215633</v>
      </c>
      <c r="O17" s="68">
        <v>19447.575629380062</v>
      </c>
      <c r="P17" s="68">
        <v>18977.342206417154</v>
      </c>
      <c r="Q17" s="68">
        <v>19314.651090521398</v>
      </c>
      <c r="R17" s="68">
        <v>15763.749479270238</v>
      </c>
      <c r="S17" s="68">
        <v>14682.018389210079</v>
      </c>
      <c r="T17" s="68">
        <v>13530.074388484951</v>
      </c>
      <c r="U17" s="68">
        <v>12227.263933199478</v>
      </c>
      <c r="V17" s="68">
        <v>12850.095105648033</v>
      </c>
      <c r="W17" s="68">
        <v>13622.018418808624</v>
      </c>
      <c r="X17" s="68">
        <v>11858.21774966422</v>
      </c>
      <c r="Y17" s="68">
        <v>13504.085984835321</v>
      </c>
      <c r="Z17" s="68">
        <v>14469.96018151413</v>
      </c>
      <c r="AA17" s="68">
        <v>14255.951280621219</v>
      </c>
      <c r="AB17" s="68">
        <v>11953.456063324009</v>
      </c>
      <c r="AC17" s="68">
        <v>11433.170396173697</v>
      </c>
      <c r="AD17" s="68">
        <v>13955.584830637874</v>
      </c>
    </row>
    <row r="18" spans="1:30" s="31" customFormat="1" ht="18" customHeight="1" x14ac:dyDescent="0.2">
      <c r="A18" s="212"/>
      <c r="B18" s="73"/>
      <c r="C18" s="355" t="s">
        <v>45</v>
      </c>
      <c r="D18" s="356"/>
      <c r="E18" s="356"/>
      <c r="F18" s="356"/>
      <c r="G18" s="356"/>
      <c r="H18" s="356"/>
      <c r="I18" s="356"/>
      <c r="J18" s="356"/>
      <c r="K18" s="69">
        <v>8776.6073351137402</v>
      </c>
      <c r="L18" s="69">
        <v>11956.573127272077</v>
      </c>
      <c r="M18" s="69">
        <v>10988.984115174924</v>
      </c>
      <c r="N18" s="69">
        <v>7265.5688775403596</v>
      </c>
      <c r="O18" s="69">
        <v>8711.1774361505813</v>
      </c>
      <c r="P18" s="69">
        <v>7718.3488424304678</v>
      </c>
      <c r="Q18" s="69">
        <v>7537.2031815533737</v>
      </c>
      <c r="R18" s="69">
        <v>6151.9828579643436</v>
      </c>
      <c r="S18" s="69">
        <v>6587.0905590577622</v>
      </c>
      <c r="T18" s="69">
        <v>5089.2327345121557</v>
      </c>
      <c r="U18" s="69">
        <v>5699.5088422170984</v>
      </c>
      <c r="V18" s="69">
        <v>7739.6113380524157</v>
      </c>
      <c r="W18" s="69">
        <v>6718.0181873368656</v>
      </c>
      <c r="X18" s="69">
        <v>5792.4709963476207</v>
      </c>
      <c r="Y18" s="69">
        <v>5585.869629363111</v>
      </c>
      <c r="Z18" s="69">
        <v>6259.810971512843</v>
      </c>
      <c r="AA18" s="69">
        <v>6156.4452271654727</v>
      </c>
      <c r="AB18" s="69">
        <v>5957.8755911537064</v>
      </c>
      <c r="AC18" s="69">
        <v>4745.9124684293365</v>
      </c>
      <c r="AD18" s="69">
        <v>4885.0904365710012</v>
      </c>
    </row>
    <row r="19" spans="1:30" s="31" customFormat="1" ht="18" customHeight="1" x14ac:dyDescent="0.2">
      <c r="A19" s="212"/>
      <c r="B19" s="73"/>
      <c r="C19" s="355" t="s">
        <v>46</v>
      </c>
      <c r="D19" s="356"/>
      <c r="E19" s="356"/>
      <c r="F19" s="356"/>
      <c r="G19" s="356"/>
      <c r="H19" s="356"/>
      <c r="I19" s="356"/>
      <c r="J19" s="356"/>
      <c r="K19" s="69">
        <v>2022.64754820397</v>
      </c>
      <c r="L19" s="69">
        <v>3322.2900736018337</v>
      </c>
      <c r="M19" s="69">
        <v>2776.553564117025</v>
      </c>
      <c r="N19" s="69">
        <v>1892.5891545406625</v>
      </c>
      <c r="O19" s="69">
        <v>1994.0017824807198</v>
      </c>
      <c r="P19" s="69">
        <v>1917.7238955178843</v>
      </c>
      <c r="Q19" s="69">
        <v>2127.0750886957339</v>
      </c>
      <c r="R19" s="69">
        <v>1742.1830816471956</v>
      </c>
      <c r="S19" s="69">
        <v>1411.3519345752879</v>
      </c>
      <c r="T19" s="69">
        <v>1205.803242714675</v>
      </c>
      <c r="U19" s="69">
        <v>1156.1407066905888</v>
      </c>
      <c r="V19" s="69">
        <v>1647.2345713644434</v>
      </c>
      <c r="W19" s="69">
        <v>1244.611097089075</v>
      </c>
      <c r="X19" s="69">
        <v>1085.3354171435369</v>
      </c>
      <c r="Y19" s="69">
        <v>1219.7667749781363</v>
      </c>
      <c r="Z19" s="69"/>
      <c r="AA19" s="69"/>
      <c r="AB19" s="69"/>
      <c r="AC19" s="69"/>
      <c r="AD19" s="69"/>
    </row>
    <row r="20" spans="1:30" s="31" customFormat="1" ht="18" customHeight="1" x14ac:dyDescent="0.2">
      <c r="A20" s="212"/>
      <c r="B20" s="73"/>
      <c r="C20" s="355" t="s">
        <v>47</v>
      </c>
      <c r="D20" s="356"/>
      <c r="E20" s="356"/>
      <c r="F20" s="356"/>
      <c r="G20" s="356"/>
      <c r="H20" s="356"/>
      <c r="I20" s="356"/>
      <c r="J20" s="356"/>
      <c r="K20" s="69">
        <v>128.12567289811099</v>
      </c>
      <c r="L20" s="69">
        <v>104.42148242330903</v>
      </c>
      <c r="M20" s="69">
        <v>98.468094256443166</v>
      </c>
      <c r="N20" s="69">
        <v>105.05802297316316</v>
      </c>
      <c r="O20" s="69">
        <v>87.037203823836322</v>
      </c>
      <c r="P20" s="69">
        <v>64.133079916592621</v>
      </c>
      <c r="Q20" s="69">
        <v>62.015990924843123</v>
      </c>
      <c r="R20" s="69">
        <v>53.951755392000344</v>
      </c>
      <c r="S20" s="69">
        <v>77.484529033111855</v>
      </c>
      <c r="T20" s="69">
        <v>77.569932606432289</v>
      </c>
      <c r="U20" s="69">
        <v>59.152879220608867</v>
      </c>
      <c r="V20" s="69">
        <v>64.366663630621147</v>
      </c>
      <c r="W20" s="69">
        <v>61.652959452993613</v>
      </c>
      <c r="X20" s="69">
        <v>74.70844799057943</v>
      </c>
      <c r="Y20" s="69">
        <v>46.721006107278761</v>
      </c>
      <c r="Z20" s="69">
        <v>89.995372656549307</v>
      </c>
      <c r="AA20" s="69">
        <v>204.97282594705911</v>
      </c>
      <c r="AB20" s="69">
        <v>64.961532671826589</v>
      </c>
      <c r="AC20" s="69">
        <v>113.4861699142254</v>
      </c>
      <c r="AD20" s="69">
        <v>253.21187871989031</v>
      </c>
    </row>
    <row r="21" spans="1:30" s="31" customFormat="1" ht="18" customHeight="1" x14ac:dyDescent="0.2">
      <c r="A21" s="212"/>
      <c r="B21" s="73"/>
      <c r="C21" s="355" t="s">
        <v>48</v>
      </c>
      <c r="D21" s="356"/>
      <c r="E21" s="356"/>
      <c r="F21" s="356"/>
      <c r="G21" s="356"/>
      <c r="H21" s="356"/>
      <c r="I21" s="356"/>
      <c r="J21" s="356"/>
      <c r="K21" s="69">
        <v>667.34965533634397</v>
      </c>
      <c r="L21" s="69">
        <v>620.40436238606048</v>
      </c>
      <c r="M21" s="69">
        <v>448.91034137271697</v>
      </c>
      <c r="N21" s="69">
        <v>606.05654860226059</v>
      </c>
      <c r="O21" s="69">
        <v>515.2262976072949</v>
      </c>
      <c r="P21" s="69">
        <v>651.55609453363911</v>
      </c>
      <c r="Q21" s="69">
        <v>344.99362456032759</v>
      </c>
      <c r="R21" s="69">
        <v>365.94278699002996</v>
      </c>
      <c r="S21" s="69">
        <v>429.21929058772332</v>
      </c>
      <c r="T21" s="69">
        <v>439.51071849771245</v>
      </c>
      <c r="U21" s="69">
        <v>287.76336400926027</v>
      </c>
      <c r="V21" s="69">
        <v>355.00756825741888</v>
      </c>
      <c r="W21" s="69">
        <v>433.99674872522496</v>
      </c>
      <c r="X21" s="69">
        <v>390.99883271399113</v>
      </c>
      <c r="Y21" s="69">
        <v>291.87406088490212</v>
      </c>
      <c r="Z21" s="69"/>
      <c r="AA21" s="69"/>
      <c r="AB21" s="69"/>
      <c r="AC21" s="69"/>
      <c r="AD21" s="69"/>
    </row>
    <row r="22" spans="1:30" s="31" customFormat="1" ht="18" customHeight="1" x14ac:dyDescent="0.2">
      <c r="A22" s="212"/>
      <c r="B22" s="73"/>
      <c r="C22" s="355" t="s">
        <v>49</v>
      </c>
      <c r="D22" s="356"/>
      <c r="E22" s="356"/>
      <c r="F22" s="356"/>
      <c r="G22" s="356"/>
      <c r="H22" s="356"/>
      <c r="I22" s="356"/>
      <c r="J22" s="356"/>
      <c r="K22" s="69">
        <v>843.21984367790287</v>
      </c>
      <c r="L22" s="69">
        <v>1140.3269998746441</v>
      </c>
      <c r="M22" s="69">
        <v>649.93932016501503</v>
      </c>
      <c r="N22" s="69">
        <v>908.89154836709531</v>
      </c>
      <c r="O22" s="69">
        <v>679.4804805166018</v>
      </c>
      <c r="P22" s="69">
        <v>733.75190307798005</v>
      </c>
      <c r="Q22" s="69">
        <v>720.35747382190175</v>
      </c>
      <c r="R22" s="69">
        <v>493.41659239293978</v>
      </c>
      <c r="S22" s="69">
        <v>464.18036415266971</v>
      </c>
      <c r="T22" s="69">
        <v>357.04691901052456</v>
      </c>
      <c r="U22" s="69">
        <v>431.22821793517443</v>
      </c>
      <c r="V22" s="69">
        <v>446.73356912850795</v>
      </c>
      <c r="W22" s="69">
        <v>449.94832243883911</v>
      </c>
      <c r="X22" s="69">
        <v>455.93544326678341</v>
      </c>
      <c r="Y22" s="69">
        <v>510.62619661775818</v>
      </c>
      <c r="Z22" s="69">
        <v>615.7127582008568</v>
      </c>
      <c r="AA22" s="69">
        <v>442.63977004590498</v>
      </c>
      <c r="AB22" s="69">
        <v>426.15837901576828</v>
      </c>
      <c r="AC22" s="69">
        <v>375.68528776583418</v>
      </c>
      <c r="AD22" s="69">
        <v>535.85541740674955</v>
      </c>
    </row>
    <row r="23" spans="1:30" s="31" customFormat="1" ht="18" customHeight="1" x14ac:dyDescent="0.2">
      <c r="A23" s="212"/>
      <c r="B23" s="73"/>
      <c r="C23" s="355" t="s">
        <v>50</v>
      </c>
      <c r="D23" s="356"/>
      <c r="E23" s="356"/>
      <c r="F23" s="356"/>
      <c r="G23" s="356"/>
      <c r="H23" s="356"/>
      <c r="I23" s="356"/>
      <c r="J23" s="356"/>
      <c r="K23" s="69">
        <v>550.65898572407298</v>
      </c>
      <c r="L23" s="69">
        <v>638.18699521856706</v>
      </c>
      <c r="M23" s="69">
        <v>623.14929664017961</v>
      </c>
      <c r="N23" s="69">
        <v>690.33749589577496</v>
      </c>
      <c r="O23" s="69">
        <v>580.61550837245272</v>
      </c>
      <c r="P23" s="69">
        <v>662.03002176897758</v>
      </c>
      <c r="Q23" s="69">
        <v>562.4468016076919</v>
      </c>
      <c r="R23" s="69">
        <v>486.50846793610054</v>
      </c>
      <c r="S23" s="69">
        <v>411.64497379101755</v>
      </c>
      <c r="T23" s="69">
        <v>388.27044900932634</v>
      </c>
      <c r="U23" s="69">
        <v>383.6963611441717</v>
      </c>
      <c r="V23" s="69">
        <v>420.02830333823209</v>
      </c>
      <c r="W23" s="69">
        <v>449.1863110720717</v>
      </c>
      <c r="X23" s="69">
        <v>453.53569709710814</v>
      </c>
      <c r="Y23" s="69">
        <v>599.63658969416633</v>
      </c>
      <c r="Z23" s="69">
        <v>582.50291399202206</v>
      </c>
      <c r="AA23" s="69">
        <v>477.55116049594574</v>
      </c>
      <c r="AB23" s="69">
        <v>328.05128768016863</v>
      </c>
      <c r="AC23" s="69">
        <v>321.54548615771301</v>
      </c>
      <c r="AD23" s="69">
        <v>455.23998005671376</v>
      </c>
    </row>
    <row r="24" spans="1:30" s="31" customFormat="1" ht="18" customHeight="1" x14ac:dyDescent="0.2">
      <c r="A24" s="212"/>
      <c r="B24" s="73"/>
      <c r="C24" s="355" t="s">
        <v>41</v>
      </c>
      <c r="D24" s="356"/>
      <c r="E24" s="356"/>
      <c r="F24" s="356"/>
      <c r="G24" s="356"/>
      <c r="H24" s="356"/>
      <c r="I24" s="356"/>
      <c r="J24" s="356"/>
      <c r="K24" s="69">
        <v>9308.478586109999</v>
      </c>
      <c r="L24" s="69">
        <v>10420.945183646423</v>
      </c>
      <c r="M24" s="69">
        <v>8322.464634934533</v>
      </c>
      <c r="N24" s="69">
        <v>7112.5643626005476</v>
      </c>
      <c r="O24" s="69">
        <v>7753.8755393356896</v>
      </c>
      <c r="P24" s="69">
        <v>7599.569424685481</v>
      </c>
      <c r="Q24" s="69">
        <v>7450.920301320687</v>
      </c>
      <c r="R24" s="69">
        <v>7194.5350130182333</v>
      </c>
      <c r="S24" s="69">
        <v>6353.9036192742706</v>
      </c>
      <c r="T24" s="69">
        <v>6891.3301982751073</v>
      </c>
      <c r="U24" s="69">
        <v>5226.8674709764709</v>
      </c>
      <c r="V24" s="69">
        <v>6170.1975295889561</v>
      </c>
      <c r="W24" s="69">
        <v>6556.8402632797715</v>
      </c>
      <c r="X24" s="69">
        <v>5828.5161339216711</v>
      </c>
      <c r="Y24" s="69">
        <v>5870.4911517316114</v>
      </c>
      <c r="Z24" s="69">
        <v>5225.1018353943891</v>
      </c>
      <c r="AA24" s="69">
        <v>6193.0033463469044</v>
      </c>
      <c r="AB24" s="69">
        <v>6068.5638195115216</v>
      </c>
      <c r="AC24" s="69">
        <v>5462.8271208775122</v>
      </c>
      <c r="AD24" s="69">
        <v>8181.1877785048782</v>
      </c>
    </row>
    <row r="25" spans="1:30" s="31" customFormat="1" ht="18" customHeight="1" x14ac:dyDescent="0.2">
      <c r="A25" s="212"/>
      <c r="B25" s="73"/>
      <c r="C25" s="355" t="s">
        <v>51</v>
      </c>
      <c r="D25" s="356"/>
      <c r="E25" s="356"/>
      <c r="F25" s="356"/>
      <c r="G25" s="356"/>
      <c r="H25" s="356"/>
      <c r="I25" s="356"/>
      <c r="J25" s="356"/>
      <c r="K25" s="69"/>
      <c r="L25" s="69">
        <v>62.928672480793686</v>
      </c>
      <c r="M25" s="69">
        <v>96.437616355632272</v>
      </c>
      <c r="N25" s="69">
        <v>57.405289221438657</v>
      </c>
      <c r="O25" s="69">
        <v>53.151729533088542</v>
      </c>
      <c r="P25" s="69">
        <v>57.013637791264756</v>
      </c>
      <c r="Q25" s="69">
        <v>56.230520072685593</v>
      </c>
      <c r="R25" s="69">
        <v>34.565770435499012</v>
      </c>
      <c r="S25" s="69">
        <v>32.896355470491962</v>
      </c>
      <c r="T25" s="69">
        <v>53.540111540828164</v>
      </c>
      <c r="U25" s="69">
        <v>62.560309726996735</v>
      </c>
      <c r="V25" s="69">
        <v>26.037377494625751</v>
      </c>
      <c r="W25" s="69">
        <v>39.889887378670814</v>
      </c>
      <c r="X25" s="69">
        <v>121.11350024652532</v>
      </c>
      <c r="Y25" s="69">
        <v>33.44125630621545</v>
      </c>
      <c r="Z25" s="69">
        <v>15.743171806435623</v>
      </c>
      <c r="AA25" s="69">
        <v>10.875352867990905</v>
      </c>
      <c r="AB25" s="69">
        <v>6.8485893849492578</v>
      </c>
      <c r="AC25" s="69">
        <v>7.6810417403823861</v>
      </c>
      <c r="AD25" s="69">
        <v>8.7509145866442299</v>
      </c>
    </row>
    <row r="26" spans="1:30" s="31" customFormat="1" ht="18" customHeight="1" x14ac:dyDescent="0.2">
      <c r="A26" s="212"/>
      <c r="B26" s="73"/>
      <c r="C26" s="355" t="s">
        <v>52</v>
      </c>
      <c r="D26" s="356"/>
      <c r="E26" s="356"/>
      <c r="F26" s="356"/>
      <c r="G26" s="356"/>
      <c r="H26" s="356"/>
      <c r="I26" s="356"/>
      <c r="J26" s="356"/>
      <c r="K26" s="69">
        <v>4916.7018554510096</v>
      </c>
      <c r="L26" s="69">
        <v>4773.5892981859206</v>
      </c>
      <c r="M26" s="69">
        <v>4521.6091819661851</v>
      </c>
      <c r="N26" s="69">
        <v>4331.8143758111455</v>
      </c>
      <c r="O26" s="69">
        <v>4614.5718392304116</v>
      </c>
      <c r="P26" s="69">
        <v>4124.4787256158579</v>
      </c>
      <c r="Q26" s="69">
        <v>3839.5429766701777</v>
      </c>
      <c r="R26" s="69">
        <v>3702.800198582162</v>
      </c>
      <c r="S26" s="69">
        <v>3234.404006983536</v>
      </c>
      <c r="T26" s="69">
        <v>3115.8673452919888</v>
      </c>
      <c r="U26" s="69">
        <v>2781.3370532075787</v>
      </c>
      <c r="V26" s="69">
        <v>3667.1106311488616</v>
      </c>
      <c r="W26" s="69">
        <v>3191.9193653177017</v>
      </c>
      <c r="X26" s="69">
        <v>3047.557832592026</v>
      </c>
      <c r="Y26" s="69">
        <v>3588.4579032842503</v>
      </c>
      <c r="Z26" s="69">
        <v>3587.0945764231114</v>
      </c>
      <c r="AA26" s="69">
        <v>3310.9194474237424</v>
      </c>
      <c r="AB26" s="69">
        <v>3140.1809651642689</v>
      </c>
      <c r="AC26" s="69">
        <v>3061.8593260044659</v>
      </c>
      <c r="AD26" s="69">
        <v>5476.9756317970769</v>
      </c>
    </row>
    <row r="27" spans="1:30" s="31" customFormat="1" ht="18" customHeight="1" x14ac:dyDescent="0.2">
      <c r="A27" s="214"/>
      <c r="B27" s="74"/>
      <c r="C27" s="348" t="s">
        <v>53</v>
      </c>
      <c r="D27" s="349"/>
      <c r="E27" s="349"/>
      <c r="F27" s="349"/>
      <c r="G27" s="349"/>
      <c r="H27" s="349"/>
      <c r="I27" s="349"/>
      <c r="J27" s="349"/>
      <c r="K27" s="210">
        <v>12720.737146772201</v>
      </c>
      <c r="L27" s="210">
        <v>15292.437456349278</v>
      </c>
      <c r="M27" s="210">
        <v>14346.671003493075</v>
      </c>
      <c r="N27" s="210">
        <v>14402.958276098003</v>
      </c>
      <c r="O27" s="210">
        <v>14607.964902172476</v>
      </c>
      <c r="P27" s="210">
        <v>14188.560513910981</v>
      </c>
      <c r="Q27" s="210">
        <v>15738.056021105285</v>
      </c>
      <c r="R27" s="210">
        <v>12589.902150407466</v>
      </c>
      <c r="S27" s="210">
        <v>10077.018264380891</v>
      </c>
      <c r="T27" s="210">
        <v>10976.159455680205</v>
      </c>
      <c r="U27" s="210">
        <v>10328.351336728436</v>
      </c>
      <c r="V27" s="210">
        <v>12091.598742575965</v>
      </c>
      <c r="W27" s="210">
        <v>10775.34777332611</v>
      </c>
      <c r="X27" s="210">
        <v>11517.127888044737</v>
      </c>
      <c r="Y27" s="210">
        <v>11351.637971988872</v>
      </c>
      <c r="Z27" s="210">
        <v>12541.436064491114</v>
      </c>
      <c r="AA27" s="210">
        <v>13226.831996224639</v>
      </c>
      <c r="AB27" s="210">
        <v>11759.879329377673</v>
      </c>
      <c r="AC27" s="210">
        <v>14141.979477543649</v>
      </c>
      <c r="AD27" s="210">
        <v>17430.063818516093</v>
      </c>
    </row>
    <row r="28" spans="1:30" s="31" customFormat="1" ht="18" customHeight="1" x14ac:dyDescent="0.2">
      <c r="A28" s="359" t="s">
        <v>69</v>
      </c>
      <c r="B28" s="360"/>
      <c r="C28" s="360"/>
      <c r="D28" s="360"/>
      <c r="E28" s="360"/>
      <c r="F28" s="360"/>
      <c r="G28" s="360"/>
      <c r="H28" s="360"/>
      <c r="I28" s="360"/>
      <c r="J28" s="360"/>
      <c r="K28" s="71"/>
      <c r="L28" s="71"/>
      <c r="M28" s="71"/>
      <c r="N28" s="71"/>
      <c r="O28" s="71"/>
      <c r="P28" s="71"/>
      <c r="Q28" s="71">
        <v>15956.705282171697</v>
      </c>
      <c r="R28" s="71">
        <v>9608.8482881495511</v>
      </c>
      <c r="S28" s="71">
        <v>7961.8069818990098</v>
      </c>
      <c r="T28" s="71">
        <v>7932.5825174648262</v>
      </c>
      <c r="U28" s="71">
        <v>9166.024701561093</v>
      </c>
      <c r="V28" s="71">
        <v>11919.459922975877</v>
      </c>
      <c r="W28" s="71">
        <v>11562.041267877517</v>
      </c>
      <c r="X28" s="71">
        <v>9783.1164941565912</v>
      </c>
      <c r="Y28" s="71">
        <v>11277.73322352064</v>
      </c>
      <c r="Z28" s="71">
        <v>11464.515317206055</v>
      </c>
      <c r="AA28" s="71">
        <v>8432.6895448110172</v>
      </c>
      <c r="AB28" s="71">
        <v>7265.1887489494075</v>
      </c>
      <c r="AC28" s="71">
        <v>9918.339822350199</v>
      </c>
      <c r="AD28" s="71">
        <v>16173.998709918667</v>
      </c>
    </row>
    <row r="29" spans="1:30" s="31" customFormat="1" ht="18" customHeight="1" x14ac:dyDescent="0.2">
      <c r="A29" s="357" t="s">
        <v>54</v>
      </c>
      <c r="B29" s="358"/>
      <c r="C29" s="358"/>
      <c r="D29" s="358"/>
      <c r="E29" s="358"/>
      <c r="F29" s="358"/>
      <c r="G29" s="358"/>
      <c r="H29" s="358"/>
      <c r="I29" s="358"/>
      <c r="J29" s="358"/>
      <c r="K29" s="188">
        <v>-2199.29319481536</v>
      </c>
      <c r="L29" s="188">
        <v>-4911.0510198599595</v>
      </c>
      <c r="M29" s="188">
        <v>-2848.2719696571858</v>
      </c>
      <c r="N29" s="188">
        <v>-2766.3146839520832</v>
      </c>
      <c r="O29" s="188">
        <v>-1514.4367026604186</v>
      </c>
      <c r="P29" s="188">
        <v>-1469.4712483999585</v>
      </c>
      <c r="Q29" s="188">
        <v>-2751.0960652611757</v>
      </c>
      <c r="R29" s="188">
        <v>-705.55917027780072</v>
      </c>
      <c r="S29" s="188">
        <v>-457.44557271329137</v>
      </c>
      <c r="T29" s="188">
        <v>47.157451165970777</v>
      </c>
      <c r="U29" s="188">
        <v>845.39409007944278</v>
      </c>
      <c r="V29" s="188">
        <v>442.70363675712213</v>
      </c>
      <c r="W29" s="188">
        <v>-529.41271956268918</v>
      </c>
      <c r="X29" s="188">
        <v>20.566734350207877</v>
      </c>
      <c r="Y29" s="188">
        <v>646.15509586552412</v>
      </c>
      <c r="Z29" s="188">
        <v>564.0092315584011</v>
      </c>
      <c r="AA29" s="188">
        <v>1927.9352438972071</v>
      </c>
      <c r="AB29" s="188">
        <v>-8.8513679641732619</v>
      </c>
      <c r="AC29" s="188">
        <v>1067.3973633158043</v>
      </c>
      <c r="AD29" s="188">
        <v>-437.27886323268206</v>
      </c>
    </row>
    <row r="30" spans="1:30" s="31" customFormat="1" ht="18" customHeight="1" x14ac:dyDescent="0.2">
      <c r="A30" s="212"/>
      <c r="B30" s="359" t="s">
        <v>55</v>
      </c>
      <c r="C30" s="360"/>
      <c r="D30" s="360"/>
      <c r="E30" s="360"/>
      <c r="F30" s="360"/>
      <c r="G30" s="360"/>
      <c r="H30" s="360"/>
      <c r="I30" s="360"/>
      <c r="J30" s="360"/>
      <c r="K30" s="71">
        <v>6045.5256645087302</v>
      </c>
      <c r="L30" s="71">
        <v>7218.3700148636308</v>
      </c>
      <c r="M30" s="71">
        <v>4406.9685945121173</v>
      </c>
      <c r="N30" s="71">
        <v>4665.573606654275</v>
      </c>
      <c r="O30" s="71">
        <v>4709.3805038429646</v>
      </c>
      <c r="P30" s="71">
        <v>5268.2730216987766</v>
      </c>
      <c r="Q30" s="71">
        <v>4305.839957507641</v>
      </c>
      <c r="R30" s="71">
        <v>4972.013406952723</v>
      </c>
      <c r="S30" s="71">
        <v>4270.8307535949152</v>
      </c>
      <c r="T30" s="71">
        <v>3394.1277373407697</v>
      </c>
      <c r="U30" s="71">
        <v>5174.1492815121737</v>
      </c>
      <c r="V30" s="71">
        <v>6055.1064849127051</v>
      </c>
      <c r="W30" s="71">
        <v>4420.0943859652361</v>
      </c>
      <c r="X30" s="71">
        <v>2843.1180950202188</v>
      </c>
      <c r="Y30" s="71">
        <v>3458.3014845743692</v>
      </c>
      <c r="Z30" s="71">
        <v>3444.8007702220975</v>
      </c>
      <c r="AA30" s="71">
        <v>4627.5423913509803</v>
      </c>
      <c r="AB30" s="71">
        <v>2995.8463753026331</v>
      </c>
      <c r="AC30" s="71">
        <v>3492.8918178601498</v>
      </c>
      <c r="AD30" s="71">
        <v>4065.1061793026083</v>
      </c>
    </row>
    <row r="31" spans="1:30" s="31" customFormat="1" ht="18" customHeight="1" x14ac:dyDescent="0.2">
      <c r="A31" s="212"/>
      <c r="B31" s="357" t="s">
        <v>56</v>
      </c>
      <c r="C31" s="358"/>
      <c r="D31" s="358"/>
      <c r="E31" s="358"/>
      <c r="F31" s="358"/>
      <c r="G31" s="358"/>
      <c r="H31" s="358"/>
      <c r="I31" s="358"/>
      <c r="J31" s="358"/>
      <c r="K31" s="188">
        <v>8244.8188593240902</v>
      </c>
      <c r="L31" s="188">
        <v>12129.421034723589</v>
      </c>
      <c r="M31" s="188">
        <v>7255.2405641692849</v>
      </c>
      <c r="N31" s="188">
        <v>7431.8882906063382</v>
      </c>
      <c r="O31" s="188">
        <v>6223.8172065033832</v>
      </c>
      <c r="P31" s="188">
        <v>6737.7442700987367</v>
      </c>
      <c r="Q31" s="188">
        <v>7056.9360227688176</v>
      </c>
      <c r="R31" s="188">
        <v>5677.5725772305232</v>
      </c>
      <c r="S31" s="188">
        <v>4728.2763263082352</v>
      </c>
      <c r="T31" s="188">
        <v>3346.9702861748096</v>
      </c>
      <c r="U31" s="188">
        <v>4328.755191432736</v>
      </c>
      <c r="V31" s="188">
        <v>5612.4028481555933</v>
      </c>
      <c r="W31" s="188">
        <v>4949.5071055279232</v>
      </c>
      <c r="X31" s="188">
        <v>2822.5513606700015</v>
      </c>
      <c r="Y31" s="188">
        <v>2812.1463887088494</v>
      </c>
      <c r="Z31" s="188">
        <v>2880.7915386637037</v>
      </c>
      <c r="AA31" s="188">
        <v>2699.6071474537735</v>
      </c>
      <c r="AB31" s="188">
        <v>3004.6977432668059</v>
      </c>
      <c r="AC31" s="188">
        <v>2425.4944545443454</v>
      </c>
      <c r="AD31" s="188">
        <v>4502.3850425352903</v>
      </c>
    </row>
    <row r="32" spans="1:30" s="31" customFormat="1" ht="18" customHeight="1" x14ac:dyDescent="0.2">
      <c r="A32" s="212"/>
      <c r="B32" s="73"/>
      <c r="C32" s="346" t="s">
        <v>57</v>
      </c>
      <c r="D32" s="347"/>
      <c r="E32" s="347"/>
      <c r="F32" s="347"/>
      <c r="G32" s="347"/>
      <c r="H32" s="347"/>
      <c r="I32" s="347"/>
      <c r="J32" s="347"/>
      <c r="K32" s="68">
        <v>6138.0687649435904</v>
      </c>
      <c r="L32" s="68">
        <v>9122.7055389409215</v>
      </c>
      <c r="M32" s="68">
        <v>5208.5099373308885</v>
      </c>
      <c r="N32" s="68">
        <v>4771.5914553714674</v>
      </c>
      <c r="O32" s="68">
        <v>4981.5869939073564</v>
      </c>
      <c r="P32" s="68">
        <v>5327.4073967515642</v>
      </c>
      <c r="Q32" s="68">
        <v>5987.3355718038047</v>
      </c>
      <c r="R32" s="68">
        <v>4452.2771748999567</v>
      </c>
      <c r="S32" s="68">
        <v>2791.4891946589205</v>
      </c>
      <c r="T32" s="68">
        <v>2750.368752886191</v>
      </c>
      <c r="U32" s="68">
        <v>2108.9835501583057</v>
      </c>
      <c r="V32" s="68">
        <v>4329.4957385841735</v>
      </c>
      <c r="W32" s="68">
        <v>3984.1241846127145</v>
      </c>
      <c r="X32" s="68">
        <v>2281.6477818547901</v>
      </c>
      <c r="Y32" s="68">
        <v>2076.4992496116133</v>
      </c>
      <c r="Z32" s="68">
        <v>1818.8802591967251</v>
      </c>
      <c r="AA32" s="68">
        <v>1705.1654468231156</v>
      </c>
      <c r="AB32" s="68">
        <v>2401.4709095926842</v>
      </c>
      <c r="AC32" s="68">
        <v>1537.9155980429241</v>
      </c>
      <c r="AD32" s="68">
        <v>2893.8113427440717</v>
      </c>
    </row>
    <row r="33" spans="1:30" s="31" customFormat="1" ht="18" customHeight="1" x14ac:dyDescent="0.2">
      <c r="A33" s="212"/>
      <c r="B33" s="73"/>
      <c r="C33" s="363" t="s">
        <v>58</v>
      </c>
      <c r="D33" s="364"/>
      <c r="E33" s="364"/>
      <c r="F33" s="364"/>
      <c r="G33" s="364"/>
      <c r="H33" s="364"/>
      <c r="I33" s="364"/>
      <c r="J33" s="364"/>
      <c r="K33" s="210">
        <v>2106.7500943805098</v>
      </c>
      <c r="L33" s="210">
        <v>3006.7154957826683</v>
      </c>
      <c r="M33" s="210">
        <v>2046.7306268383973</v>
      </c>
      <c r="N33" s="210">
        <v>2660.2968352348703</v>
      </c>
      <c r="O33" s="210">
        <v>1242.2302125960216</v>
      </c>
      <c r="P33" s="210">
        <v>1410.3368733471625</v>
      </c>
      <c r="Q33" s="210">
        <v>1069.600450964992</v>
      </c>
      <c r="R33" s="210">
        <v>1225.2954023305674</v>
      </c>
      <c r="S33" s="210">
        <v>1936.7871316493142</v>
      </c>
      <c r="T33" s="210">
        <v>596.6015332886127</v>
      </c>
      <c r="U33" s="210">
        <v>2219.7716412744335</v>
      </c>
      <c r="V33" s="210">
        <v>1282.9071095714162</v>
      </c>
      <c r="W33" s="210">
        <v>965.38292091520361</v>
      </c>
      <c r="X33" s="210">
        <v>540.90357881521049</v>
      </c>
      <c r="Y33" s="210">
        <v>735.64713909722889</v>
      </c>
      <c r="Z33" s="210">
        <v>1061.9112794669786</v>
      </c>
      <c r="AA33" s="210">
        <v>994.44170063065781</v>
      </c>
      <c r="AB33" s="210">
        <v>603.22683367412174</v>
      </c>
      <c r="AC33" s="210">
        <v>887.57885650142134</v>
      </c>
      <c r="AD33" s="210">
        <v>1608.5736997912186</v>
      </c>
    </row>
    <row r="34" spans="1:30" s="31" customFormat="1" ht="18" customHeight="1" x14ac:dyDescent="0.2">
      <c r="A34" s="359" t="s">
        <v>59</v>
      </c>
      <c r="B34" s="360"/>
      <c r="C34" s="360"/>
      <c r="D34" s="360"/>
      <c r="E34" s="360"/>
      <c r="F34" s="360"/>
      <c r="G34" s="360"/>
      <c r="H34" s="360"/>
      <c r="I34" s="360"/>
      <c r="J34" s="365"/>
      <c r="K34" s="218">
        <v>11147.006110264399</v>
      </c>
      <c r="L34" s="218">
        <v>15653.910209344389</v>
      </c>
      <c r="M34" s="218">
        <v>12834.758099289995</v>
      </c>
      <c r="N34" s="218">
        <v>13799.538513916081</v>
      </c>
      <c r="O34" s="218">
        <v>15135.57588319772</v>
      </c>
      <c r="P34" s="218">
        <v>14109.223651654676</v>
      </c>
      <c r="Q34" s="218">
        <v>13205.609216910569</v>
      </c>
      <c r="R34" s="218">
        <v>8903.2891178717491</v>
      </c>
      <c r="S34" s="218">
        <v>7504.3614091854324</v>
      </c>
      <c r="T34" s="218">
        <v>7979.739968630749</v>
      </c>
      <c r="U34" s="218">
        <v>10011.418791640424</v>
      </c>
      <c r="V34" s="218">
        <v>12362.16355973294</v>
      </c>
      <c r="W34" s="218">
        <v>11032.628548314819</v>
      </c>
      <c r="X34" s="218">
        <v>9803.6832285068012</v>
      </c>
      <c r="Y34" s="218">
        <v>11923.888319386093</v>
      </c>
      <c r="Z34" s="218">
        <v>12028.524548764428</v>
      </c>
      <c r="AA34" s="218">
        <v>10360.624788708226</v>
      </c>
      <c r="AB34" s="218">
        <v>7256.3373809852355</v>
      </c>
      <c r="AC34" s="218">
        <v>10985.737185666003</v>
      </c>
      <c r="AD34" s="218">
        <v>15736.719846685986</v>
      </c>
    </row>
    <row r="35" spans="1:30" s="31" customFormat="1" ht="18" customHeight="1" x14ac:dyDescent="0.2">
      <c r="A35" s="353" t="s">
        <v>60</v>
      </c>
      <c r="B35" s="354"/>
      <c r="C35" s="354"/>
      <c r="D35" s="354"/>
      <c r="E35" s="354"/>
      <c r="F35" s="354"/>
      <c r="G35" s="354"/>
      <c r="H35" s="354"/>
      <c r="I35" s="354"/>
      <c r="J35" s="354"/>
      <c r="K35" s="219"/>
      <c r="L35" s="219"/>
      <c r="M35" s="219"/>
      <c r="N35" s="219"/>
      <c r="O35" s="219">
        <v>9042.0332552796117</v>
      </c>
      <c r="P35" s="219">
        <v>5896.4884437935516</v>
      </c>
      <c r="Q35" s="219">
        <v>4929.322934170229</v>
      </c>
      <c r="R35" s="219">
        <v>3407.2664831796924</v>
      </c>
      <c r="S35" s="219">
        <v>2082.595621703837</v>
      </c>
      <c r="T35" s="219">
        <v>1699.7896659550863</v>
      </c>
      <c r="U35" s="219">
        <v>3836.981433140028</v>
      </c>
      <c r="V35" s="219">
        <v>31682.761365311817</v>
      </c>
      <c r="W35" s="219">
        <v>2671.7892377002327</v>
      </c>
      <c r="X35" s="219">
        <v>2890.6603681859233</v>
      </c>
      <c r="Y35" s="219">
        <v>4741.4007868895578</v>
      </c>
      <c r="Z35" s="219"/>
      <c r="AA35" s="219"/>
      <c r="AB35" s="219"/>
      <c r="AC35" s="219"/>
      <c r="AD35" s="219"/>
    </row>
    <row r="36" spans="1:30" s="31" customFormat="1" ht="18" customHeight="1" x14ac:dyDescent="0.2">
      <c r="A36" s="370" t="s">
        <v>61</v>
      </c>
      <c r="B36" s="371"/>
      <c r="C36" s="371"/>
      <c r="D36" s="371"/>
      <c r="E36" s="371"/>
      <c r="F36" s="371"/>
      <c r="G36" s="371"/>
      <c r="H36" s="371"/>
      <c r="I36" s="371"/>
      <c r="J36" s="371"/>
      <c r="K36" s="220"/>
      <c r="L36" s="220"/>
      <c r="M36" s="220"/>
      <c r="N36" s="220"/>
      <c r="O36" s="220">
        <v>11952.869448373533</v>
      </c>
      <c r="P36" s="220">
        <v>9316.7303635679636</v>
      </c>
      <c r="Q36" s="220">
        <v>7282.3318674471529</v>
      </c>
      <c r="R36" s="220">
        <v>7614.524848914145</v>
      </c>
      <c r="S36" s="220">
        <v>8067.2569343328869</v>
      </c>
      <c r="T36" s="220">
        <v>3620.0547198779886</v>
      </c>
      <c r="U36" s="220">
        <v>4236.5099623488286</v>
      </c>
      <c r="V36" s="220">
        <v>3324.7893164121715</v>
      </c>
      <c r="W36" s="220">
        <v>2856.9552261207259</v>
      </c>
      <c r="X36" s="220">
        <v>2958.5061012254819</v>
      </c>
      <c r="Y36" s="220">
        <v>5983.3711718970026</v>
      </c>
      <c r="Z36" s="220"/>
      <c r="AA36" s="220"/>
      <c r="AB36" s="220"/>
      <c r="AC36" s="220"/>
      <c r="AD36" s="220"/>
    </row>
    <row r="37" spans="1:30" s="31" customFormat="1" ht="18" customHeight="1" x14ac:dyDescent="0.2">
      <c r="A37" s="359" t="s">
        <v>62</v>
      </c>
      <c r="B37" s="360"/>
      <c r="C37" s="360"/>
      <c r="D37" s="360"/>
      <c r="E37" s="360"/>
      <c r="F37" s="360"/>
      <c r="G37" s="360"/>
      <c r="H37" s="360"/>
      <c r="I37" s="360"/>
      <c r="J37" s="360"/>
      <c r="K37" s="71">
        <v>2426.4944979655802</v>
      </c>
      <c r="L37" s="71">
        <v>16067.799645421821</v>
      </c>
      <c r="M37" s="71">
        <v>13093.328213808205</v>
      </c>
      <c r="N37" s="71">
        <v>14622.064667718229</v>
      </c>
      <c r="O37" s="71">
        <v>12224.739690103819</v>
      </c>
      <c r="P37" s="71">
        <v>10688.981731880265</v>
      </c>
      <c r="Q37" s="71">
        <v>10852.600283633674</v>
      </c>
      <c r="R37" s="71">
        <v>4696.030752137297</v>
      </c>
      <c r="S37" s="71">
        <v>1519.7000965564093</v>
      </c>
      <c r="T37" s="71">
        <v>6059.4749147078455</v>
      </c>
      <c r="U37" s="71">
        <v>9611.8902624316142</v>
      </c>
      <c r="V37" s="71">
        <v>40720.135608632583</v>
      </c>
      <c r="W37" s="71">
        <v>10847.46255989432</v>
      </c>
      <c r="X37" s="71">
        <v>9735.837495467229</v>
      </c>
      <c r="Y37" s="71">
        <v>10681.917934378653</v>
      </c>
      <c r="Z37" s="71">
        <v>31516.465608579339</v>
      </c>
      <c r="AA37" s="71">
        <v>11236.88776009267</v>
      </c>
      <c r="AB37" s="71">
        <v>8505.1217118055119</v>
      </c>
      <c r="AC37" s="71">
        <v>-17436.310813943557</v>
      </c>
      <c r="AD37" s="71">
        <v>19275.658016266243</v>
      </c>
    </row>
    <row r="38" spans="1:30" s="31" customFormat="1" ht="18" customHeight="1" x14ac:dyDescent="0.2">
      <c r="A38" s="361" t="s">
        <v>63</v>
      </c>
      <c r="B38" s="362"/>
      <c r="C38" s="362"/>
      <c r="D38" s="362"/>
      <c r="E38" s="362"/>
      <c r="F38" s="362"/>
      <c r="G38" s="362"/>
      <c r="H38" s="362"/>
      <c r="I38" s="362"/>
      <c r="J38" s="362"/>
      <c r="K38" s="218">
        <v>-1035.9054237335502</v>
      </c>
      <c r="L38" s="218">
        <v>9664.3684747765983</v>
      </c>
      <c r="M38" s="218">
        <v>7013.6152175468096</v>
      </c>
      <c r="N38" s="218">
        <v>8975.2023353557433</v>
      </c>
      <c r="O38" s="218">
        <v>6873.5860034603693</v>
      </c>
      <c r="P38" s="218">
        <v>5555.1287500916715</v>
      </c>
      <c r="Q38" s="218">
        <v>7039.4107982695805</v>
      </c>
      <c r="R38" s="218">
        <v>2019.5983507122737</v>
      </c>
      <c r="S38" s="218">
        <v>-1063.9032941263251</v>
      </c>
      <c r="T38" s="218">
        <v>3538.5080804681147</v>
      </c>
      <c r="U38" s="218">
        <v>6911.1328719467328</v>
      </c>
      <c r="V38" s="218">
        <v>26751.913530238588</v>
      </c>
      <c r="W38" s="218">
        <v>7625.401144384532</v>
      </c>
      <c r="X38" s="218">
        <v>7120.7384743157536</v>
      </c>
      <c r="Y38" s="218">
        <v>7131.9435089397302</v>
      </c>
      <c r="Z38" s="218">
        <v>27532.113608426331</v>
      </c>
      <c r="AA38" s="218">
        <v>8313.4968295508188</v>
      </c>
      <c r="AB38" s="218">
        <v>5840.4715681724092</v>
      </c>
      <c r="AC38" s="218">
        <v>-24599.084115228343</v>
      </c>
      <c r="AD38" s="218">
        <v>13665.694873952198</v>
      </c>
    </row>
    <row r="39" spans="1:30"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c r="AD39" s="68"/>
    </row>
    <row r="40" spans="1:30"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c r="AD40" s="210"/>
    </row>
    <row r="41" spans="1:30" s="31" customFormat="1" ht="18" customHeight="1" x14ac:dyDescent="0.2">
      <c r="A41" s="208" t="s">
        <v>26</v>
      </c>
      <c r="B41" s="343" t="s">
        <v>68</v>
      </c>
      <c r="C41" s="343"/>
      <c r="D41" s="343"/>
      <c r="E41" s="343"/>
      <c r="F41" s="343"/>
      <c r="G41" s="343"/>
      <c r="H41" s="343"/>
      <c r="I41" s="343"/>
      <c r="J41" s="343"/>
      <c r="K41" s="71">
        <f t="shared" ref="K41:Q41" si="0">+K6-K8</f>
        <v>70304.905969043306</v>
      </c>
      <c r="L41" s="71">
        <f>+L6-L8</f>
        <v>89478.98497519744</v>
      </c>
      <c r="M41" s="71">
        <f t="shared" si="0"/>
        <v>77671.456292426679</v>
      </c>
      <c r="N41" s="71">
        <f t="shared" si="0"/>
        <v>74643.50668673437</v>
      </c>
      <c r="O41" s="71">
        <f t="shared" si="0"/>
        <v>75694.690934461323</v>
      </c>
      <c r="P41" s="71">
        <f t="shared" si="0"/>
        <v>72273.20324572087</v>
      </c>
      <c r="Q41" s="71">
        <f t="shared" si="0"/>
        <v>73710.198353025771</v>
      </c>
      <c r="R41" s="71">
        <f t="shared" ref="R41:AD41" si="1">R15</f>
        <v>58188.386442185751</v>
      </c>
      <c r="S41" s="71">
        <f t="shared" si="1"/>
        <v>51723.019268415694</v>
      </c>
      <c r="T41" s="71">
        <f t="shared" si="1"/>
        <v>50056.988013088725</v>
      </c>
      <c r="U41" s="71">
        <f t="shared" si="1"/>
        <v>47809.895176616839</v>
      </c>
      <c r="V41" s="71">
        <f t="shared" si="1"/>
        <v>57397.481323203989</v>
      </c>
      <c r="W41" s="71">
        <f t="shared" ref="W41:X41" si="2">W15</f>
        <v>55105.470602103524</v>
      </c>
      <c r="X41" s="71">
        <f t="shared" si="2"/>
        <v>50408.63443318542</v>
      </c>
      <c r="Y41" s="71">
        <f t="shared" ref="Y41:Z41" si="3">Y15</f>
        <v>53880.341749312189</v>
      </c>
      <c r="Z41" s="71">
        <f t="shared" si="3"/>
        <v>54851.873163197488</v>
      </c>
      <c r="AA41" s="71">
        <f t="shared" ref="AA41:AB41" si="4">AA15</f>
        <v>52711.879951949886</v>
      </c>
      <c r="AB41" s="71">
        <f t="shared" si="4"/>
        <v>46971.164306233302</v>
      </c>
      <c r="AC41" s="71">
        <f t="shared" ref="AC41" si="5">AC15</f>
        <v>49582.486596957009</v>
      </c>
      <c r="AD41" s="71">
        <f t="shared" si="1"/>
        <v>67355.959396715596</v>
      </c>
    </row>
    <row r="42" spans="1:30" s="31" customFormat="1" ht="18" customHeight="1" x14ac:dyDescent="0.2">
      <c r="A42" s="208" t="s">
        <v>27</v>
      </c>
      <c r="B42" s="343" t="s">
        <v>69</v>
      </c>
      <c r="C42" s="343"/>
      <c r="D42" s="343"/>
      <c r="E42" s="343"/>
      <c r="F42" s="343"/>
      <c r="G42" s="343"/>
      <c r="H42" s="343"/>
      <c r="I42" s="343"/>
      <c r="J42" s="343"/>
      <c r="K42" s="71">
        <f t="shared" ref="K42:P42" si="6">+K6-K7</f>
        <v>13346.288818356014</v>
      </c>
      <c r="L42" s="71">
        <f t="shared" si="6"/>
        <v>20564.979137193121</v>
      </c>
      <c r="M42" s="71">
        <f t="shared" si="6"/>
        <v>15683.030068947846</v>
      </c>
      <c r="N42" s="71">
        <f t="shared" si="6"/>
        <v>16565.853197868142</v>
      </c>
      <c r="O42" s="71">
        <f t="shared" si="6"/>
        <v>16650.012585857883</v>
      </c>
      <c r="P42" s="71">
        <f t="shared" si="6"/>
        <v>15578.694900054616</v>
      </c>
      <c r="Q42" s="71">
        <f t="shared" ref="Q42:AD42" si="7">Q28</f>
        <v>15956.705282171697</v>
      </c>
      <c r="R42" s="71">
        <f t="shared" si="7"/>
        <v>9608.8482881495511</v>
      </c>
      <c r="S42" s="71">
        <f t="shared" si="7"/>
        <v>7961.8069818990098</v>
      </c>
      <c r="T42" s="71">
        <f t="shared" si="7"/>
        <v>7932.5825174648262</v>
      </c>
      <c r="U42" s="71">
        <f t="shared" si="7"/>
        <v>9166.024701561093</v>
      </c>
      <c r="V42" s="71">
        <f>V28</f>
        <v>11919.459922975877</v>
      </c>
      <c r="W42" s="71">
        <f>W28</f>
        <v>11562.041267877517</v>
      </c>
      <c r="X42" s="71">
        <f>X28</f>
        <v>9783.1164941565912</v>
      </c>
      <c r="Y42" s="71">
        <f>Y28</f>
        <v>11277.73322352064</v>
      </c>
      <c r="Z42" s="71">
        <f t="shared" ref="Z42:AA42" si="8">Z28</f>
        <v>11464.515317206055</v>
      </c>
      <c r="AA42" s="71">
        <f t="shared" si="8"/>
        <v>8432.6895448110172</v>
      </c>
      <c r="AB42" s="71">
        <f t="shared" ref="AB42:AC42" si="9">AB28</f>
        <v>7265.1887489494075</v>
      </c>
      <c r="AC42" s="71">
        <f t="shared" si="9"/>
        <v>9918.339822350199</v>
      </c>
      <c r="AD42" s="71">
        <f t="shared" si="7"/>
        <v>16173.998709918667</v>
      </c>
    </row>
    <row r="43" spans="1:30" s="31" customFormat="1" ht="18" customHeight="1" x14ac:dyDescent="0.2">
      <c r="A43" s="208" t="s">
        <v>28</v>
      </c>
      <c r="B43" s="343" t="s">
        <v>182</v>
      </c>
      <c r="C43" s="343"/>
      <c r="D43" s="343"/>
      <c r="E43" s="343"/>
      <c r="F43" s="343"/>
      <c r="G43" s="343"/>
      <c r="H43" s="343"/>
      <c r="I43" s="343"/>
      <c r="J43" s="343"/>
      <c r="K43" s="71">
        <f t="shared" ref="K43:AD43" si="10">+K9+K10+K12</f>
        <v>25085.849914008879</v>
      </c>
      <c r="L43" s="71">
        <f>+L9+L10+L12</f>
        <v>28021.310506616999</v>
      </c>
      <c r="M43" s="71">
        <f t="shared" si="10"/>
        <v>15686.873661941225</v>
      </c>
      <c r="N43" s="71">
        <f t="shared" si="10"/>
        <v>25140.659249609318</v>
      </c>
      <c r="O43" s="71">
        <f t="shared" si="10"/>
        <v>22107.568866208829</v>
      </c>
      <c r="P43" s="71">
        <f t="shared" si="10"/>
        <v>13416.555142812758</v>
      </c>
      <c r="Q43" s="71">
        <f t="shared" si="10"/>
        <v>12910.849640531336</v>
      </c>
      <c r="R43" s="71">
        <f t="shared" si="10"/>
        <v>15517.850286132612</v>
      </c>
      <c r="S43" s="71">
        <f t="shared" si="10"/>
        <v>9708.1543576578206</v>
      </c>
      <c r="T43" s="71">
        <f t="shared" ref="T43:Z43" si="11">+T9+T10+T12</f>
        <v>8910.4193021284245</v>
      </c>
      <c r="U43" s="71">
        <f t="shared" si="11"/>
        <v>7322.6301776536457</v>
      </c>
      <c r="V43" s="71">
        <f t="shared" si="11"/>
        <v>8613.6292072634496</v>
      </c>
      <c r="W43" s="71">
        <f t="shared" si="11"/>
        <v>9305.1562743881896</v>
      </c>
      <c r="X43" s="71">
        <f t="shared" si="11"/>
        <v>7787.2333497062928</v>
      </c>
      <c r="Y43" s="71">
        <f t="shared" si="11"/>
        <v>11089.43846055567</v>
      </c>
      <c r="Z43" s="71">
        <f t="shared" si="11"/>
        <v>12291.512591473289</v>
      </c>
      <c r="AA43" s="71">
        <f t="shared" ref="AA43:AB43" si="12">+AA9+AA10+AA12</f>
        <v>10870.656081341973</v>
      </c>
      <c r="AB43" s="71">
        <f t="shared" si="12"/>
        <v>8063.5419860255652</v>
      </c>
      <c r="AC43" s="71">
        <f t="shared" ref="AC43" si="13">+AC9+AC10+AC12</f>
        <v>10873.505582059322</v>
      </c>
      <c r="AD43" s="71">
        <f t="shared" si="10"/>
        <v>8399.9799196036274</v>
      </c>
    </row>
    <row r="44" spans="1:30" s="31" customFormat="1" ht="18" customHeight="1" x14ac:dyDescent="0.2">
      <c r="A44" s="208" t="s">
        <v>29</v>
      </c>
      <c r="B44" s="343" t="s">
        <v>184</v>
      </c>
      <c r="C44" s="343"/>
      <c r="D44" s="343"/>
      <c r="E44" s="343"/>
      <c r="F44" s="343"/>
      <c r="G44" s="343"/>
      <c r="H44" s="343"/>
      <c r="I44" s="343"/>
      <c r="J44" s="343"/>
      <c r="K44" s="71">
        <f t="shared" ref="K44:AD44" si="14">+K6-K43</f>
        <v>82543.640850683121</v>
      </c>
      <c r="L44" s="71">
        <f t="shared" si="14"/>
        <v>125422.59271861178</v>
      </c>
      <c r="M44" s="71">
        <f t="shared" si="14"/>
        <v>107015.27569274588</v>
      </c>
      <c r="N44" s="71">
        <f t="shared" si="14"/>
        <v>109503.11195975177</v>
      </c>
      <c r="O44" s="71">
        <f t="shared" si="14"/>
        <v>100082.58419085346</v>
      </c>
      <c r="P44" s="71">
        <f t="shared" si="14"/>
        <v>103701.31280092319</v>
      </c>
      <c r="Q44" s="71">
        <f t="shared" si="14"/>
        <v>115836.21682537267</v>
      </c>
      <c r="R44" s="71">
        <f t="shared" si="14"/>
        <v>73812.68005770749</v>
      </c>
      <c r="S44" s="71">
        <f t="shared" si="14"/>
        <v>67705.721421713286</v>
      </c>
      <c r="T44" s="71">
        <f t="shared" ref="T44:Z44" si="15">+T6-T43</f>
        <v>64290.527518280396</v>
      </c>
      <c r="U44" s="71">
        <f t="shared" si="15"/>
        <v>63812.729567023751</v>
      </c>
      <c r="V44" s="71">
        <f t="shared" si="15"/>
        <v>71893.163624242996</v>
      </c>
      <c r="W44" s="71">
        <f t="shared" si="15"/>
        <v>71503.856638060795</v>
      </c>
      <c r="X44" s="71">
        <f t="shared" si="15"/>
        <v>68021.391371885038</v>
      </c>
      <c r="Y44" s="71">
        <f t="shared" si="15"/>
        <v>74384.335756773944</v>
      </c>
      <c r="Z44" s="71">
        <f t="shared" si="15"/>
        <v>74663.565571423242</v>
      </c>
      <c r="AA44" s="71">
        <f t="shared" ref="AA44:AB44" si="16">+AA6-AA43</f>
        <v>77500.392569393793</v>
      </c>
      <c r="AB44" s="71">
        <f t="shared" si="16"/>
        <v>58607.422801911758</v>
      </c>
      <c r="AC44" s="71">
        <f t="shared" ref="AC44" si="17">+AC6-AC43</f>
        <v>68834.017960199621</v>
      </c>
      <c r="AD44" s="71">
        <f t="shared" si="14"/>
        <v>98303.846617431671</v>
      </c>
    </row>
    <row r="45" spans="1:30" s="31" customFormat="1" ht="18" customHeight="1" x14ac:dyDescent="0.2">
      <c r="A45" s="208" t="s">
        <v>30</v>
      </c>
      <c r="B45" s="343" t="s">
        <v>183</v>
      </c>
      <c r="C45" s="343"/>
      <c r="D45" s="343"/>
      <c r="E45" s="343"/>
      <c r="F45" s="343"/>
      <c r="G45" s="343"/>
      <c r="H45" s="343"/>
      <c r="I45" s="343"/>
      <c r="J45" s="343"/>
      <c r="K45" s="71">
        <f t="shared" ref="K45:AD45" si="18">+K11+K13+K14+K16</f>
        <v>69197.352032327035</v>
      </c>
      <c r="L45" s="71">
        <f>+L11+L13+L14+L16</f>
        <v>104857.61358141867</v>
      </c>
      <c r="M45" s="71">
        <f t="shared" si="18"/>
        <v>91332.245623798415</v>
      </c>
      <c r="N45" s="71">
        <f t="shared" si="18"/>
        <v>92937.258761883655</v>
      </c>
      <c r="O45" s="71">
        <f t="shared" si="18"/>
        <v>83432.571604995261</v>
      </c>
      <c r="P45" s="71">
        <f t="shared" si="18"/>
        <v>88122.617900868616</v>
      </c>
      <c r="Q45" s="71">
        <f t="shared" si="18"/>
        <v>99879.511543200817</v>
      </c>
      <c r="R45" s="71">
        <f t="shared" si="18"/>
        <v>64203.831769557932</v>
      </c>
      <c r="S45" s="71">
        <f t="shared" si="18"/>
        <v>59743.914439814296</v>
      </c>
      <c r="T45" s="71">
        <f t="shared" ref="T45:Z45" si="19">+T11+T13+T14+T16</f>
        <v>56357.945000815569</v>
      </c>
      <c r="U45" s="71">
        <f t="shared" si="19"/>
        <v>54646.704865462656</v>
      </c>
      <c r="V45" s="71">
        <f t="shared" si="19"/>
        <v>59973.703701267121</v>
      </c>
      <c r="W45" s="71">
        <f t="shared" si="19"/>
        <v>59941.815370183263</v>
      </c>
      <c r="X45" s="71">
        <f t="shared" si="19"/>
        <v>58238.274877728414</v>
      </c>
      <c r="Y45" s="71">
        <f t="shared" si="19"/>
        <v>63106.602533253303</v>
      </c>
      <c r="Z45" s="71">
        <f t="shared" si="19"/>
        <v>63199.050254217167</v>
      </c>
      <c r="AA45" s="71">
        <f t="shared" ref="AA45:AB45" si="20">+AA11+AA13+AA14+AA16</f>
        <v>69067.703024582792</v>
      </c>
      <c r="AB45" s="71">
        <f t="shared" si="20"/>
        <v>51342.234059234543</v>
      </c>
      <c r="AC45" s="71">
        <f t="shared" ref="AC45" si="21">+AC11+AC13+AC14+AC16</f>
        <v>58915.678131748798</v>
      </c>
      <c r="AD45" s="71">
        <f t="shared" si="18"/>
        <v>82129.847907513002</v>
      </c>
    </row>
    <row r="46" spans="1:30" s="31" customFormat="1" ht="18" customHeight="1" x14ac:dyDescent="0.2">
      <c r="A46" s="208" t="s">
        <v>31</v>
      </c>
      <c r="B46" s="343" t="s">
        <v>186</v>
      </c>
      <c r="C46" s="343"/>
      <c r="D46" s="343"/>
      <c r="E46" s="343"/>
      <c r="F46" s="343"/>
      <c r="G46" s="343"/>
      <c r="H46" s="343"/>
      <c r="I46" s="343"/>
      <c r="J46" s="343"/>
      <c r="K46" s="71">
        <f t="shared" ref="K46:AD46" si="22">+K34+K11+K17+K32+K18+K26+K13+K24</f>
        <v>60939.232092171311</v>
      </c>
      <c r="L46" s="71">
        <f>+L34+L11+L17+L32+L18+L26+L13+L24</f>
        <v>81422.001754982906</v>
      </c>
      <c r="M46" s="71">
        <f t="shared" si="22"/>
        <v>67791.078134480282</v>
      </c>
      <c r="N46" s="71">
        <f t="shared" si="22"/>
        <v>65031.121542151865</v>
      </c>
      <c r="O46" s="71">
        <f t="shared" si="22"/>
        <v>65932.438980845865</v>
      </c>
      <c r="P46" s="71">
        <f t="shared" si="22"/>
        <v>63336.363560646059</v>
      </c>
      <c r="Q46" s="71">
        <f t="shared" si="22"/>
        <v>64575.004608006238</v>
      </c>
      <c r="R46" s="71">
        <f t="shared" si="22"/>
        <v>49158.43405020317</v>
      </c>
      <c r="S46" s="71">
        <f t="shared" si="22"/>
        <v>43613.781755066666</v>
      </c>
      <c r="T46" s="71">
        <f t="shared" ref="T46:Z46" si="23">+T34+T11+T17+T32+T18+T26+T13+T24</f>
        <v>41838.143659111091</v>
      </c>
      <c r="U46" s="71">
        <f t="shared" si="23"/>
        <v>40960.599177873155</v>
      </c>
      <c r="V46" s="71">
        <f t="shared" si="23"/>
        <v>49838.635176979042</v>
      </c>
      <c r="W46" s="71">
        <f t="shared" si="23"/>
        <v>47756.406982945438</v>
      </c>
      <c r="X46" s="71">
        <f t="shared" si="23"/>
        <v>42113.311295659965</v>
      </c>
      <c r="Y46" s="71">
        <f t="shared" si="23"/>
        <v>47332.493878881964</v>
      </c>
      <c r="Z46" s="71">
        <f t="shared" si="23"/>
        <v>47776.612281614587</v>
      </c>
      <c r="AA46" s="71">
        <f t="shared" ref="AA46:AB46" si="24">+AA34+AA11+AA17+AA32+AA18+AA26+AA13+AA24</f>
        <v>45614.295353726033</v>
      </c>
      <c r="AB46" s="71">
        <f t="shared" si="24"/>
        <v>41215.066453830426</v>
      </c>
      <c r="AC46" s="71">
        <f t="shared" ref="AC46" si="25">+AC34+AC11+AC17+AC32+AC18+AC26+AC13+AC24</f>
        <v>40716.178284264082</v>
      </c>
      <c r="AD46" s="71">
        <f t="shared" si="22"/>
        <v>54593.801682714773</v>
      </c>
    </row>
    <row r="47" spans="1:30" s="31" customFormat="1" ht="18" customHeight="1" x14ac:dyDescent="0.2">
      <c r="A47" s="208" t="s">
        <v>32</v>
      </c>
      <c r="B47" s="343" t="s">
        <v>185</v>
      </c>
      <c r="C47" s="343"/>
      <c r="D47" s="343"/>
      <c r="E47" s="343"/>
      <c r="F47" s="343"/>
      <c r="G47" s="343"/>
      <c r="H47" s="343"/>
      <c r="I47" s="343"/>
      <c r="J47" s="343"/>
      <c r="K47" s="71">
        <f t="shared" ref="K47:AD47" si="26">+K6-K9-K10-K12</f>
        <v>82543.640850683121</v>
      </c>
      <c r="L47" s="71">
        <f>+L6-L9-L10-L12</f>
        <v>125422.59271861181</v>
      </c>
      <c r="M47" s="71">
        <f t="shared" si="26"/>
        <v>107015.27569274588</v>
      </c>
      <c r="N47" s="71">
        <f t="shared" si="26"/>
        <v>109503.11195975177</v>
      </c>
      <c r="O47" s="71">
        <f t="shared" si="26"/>
        <v>100082.58419085346</v>
      </c>
      <c r="P47" s="71">
        <f t="shared" si="26"/>
        <v>103701.31280092319</v>
      </c>
      <c r="Q47" s="71">
        <f t="shared" si="26"/>
        <v>115836.21682537267</v>
      </c>
      <c r="R47" s="71">
        <f t="shared" si="26"/>
        <v>73812.68005770749</v>
      </c>
      <c r="S47" s="71">
        <f t="shared" si="26"/>
        <v>67705.721421713301</v>
      </c>
      <c r="T47" s="71">
        <f t="shared" ref="T47:Z47" si="27">+T6-T9-T10-T12</f>
        <v>64290.527518280389</v>
      </c>
      <c r="U47" s="71">
        <f t="shared" si="27"/>
        <v>63812.729567023736</v>
      </c>
      <c r="V47" s="71">
        <f t="shared" si="27"/>
        <v>71893.163624242996</v>
      </c>
      <c r="W47" s="71">
        <f t="shared" si="27"/>
        <v>71503.856638060795</v>
      </c>
      <c r="X47" s="71">
        <f t="shared" si="27"/>
        <v>68021.391371885038</v>
      </c>
      <c r="Y47" s="71">
        <f t="shared" si="27"/>
        <v>74384.335756773944</v>
      </c>
      <c r="Z47" s="71">
        <f t="shared" si="27"/>
        <v>74663.565571423242</v>
      </c>
      <c r="AA47" s="71">
        <f t="shared" ref="AA47:AB47" si="28">+AA6-AA9-AA10-AA12</f>
        <v>77500.392569393793</v>
      </c>
      <c r="AB47" s="71">
        <f t="shared" si="28"/>
        <v>58607.422801911758</v>
      </c>
      <c r="AC47" s="71">
        <f t="shared" ref="AC47" si="29">+AC6-AC9-AC10-AC12</f>
        <v>68834.017960199621</v>
      </c>
      <c r="AD47" s="71">
        <f t="shared" si="26"/>
        <v>98303.846617431671</v>
      </c>
    </row>
    <row r="48" spans="1:30" x14ac:dyDescent="0.2">
      <c r="B48" s="368" t="s">
        <v>582</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row>
    <row r="49" spans="2:30"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c r="AD49" s="369"/>
    </row>
    <row r="50" spans="2:30" x14ac:dyDescent="0.2">
      <c r="AD50" s="3"/>
    </row>
    <row r="51" spans="2:30" x14ac:dyDescent="0.2">
      <c r="AD51" s="3"/>
    </row>
    <row r="52" spans="2:30" x14ac:dyDescent="0.2">
      <c r="AD52" s="3"/>
    </row>
    <row r="53" spans="2:30" x14ac:dyDescent="0.2">
      <c r="AD53" s="3"/>
    </row>
    <row r="54" spans="2:30" x14ac:dyDescent="0.2">
      <c r="AD54" s="3"/>
    </row>
    <row r="55" spans="2:30" x14ac:dyDescent="0.2">
      <c r="AD55" s="3"/>
    </row>
    <row r="56" spans="2:30" x14ac:dyDescent="0.2">
      <c r="AD56" s="3"/>
    </row>
    <row r="57" spans="2:30" x14ac:dyDescent="0.2">
      <c r="AD57" s="3"/>
    </row>
    <row r="58" spans="2:30" x14ac:dyDescent="0.2">
      <c r="AD58" s="3"/>
    </row>
    <row r="59" spans="2:30" x14ac:dyDescent="0.2">
      <c r="AD59" s="3"/>
    </row>
    <row r="60" spans="2:30" x14ac:dyDescent="0.2">
      <c r="AD60" s="3"/>
    </row>
    <row r="61" spans="2:30" x14ac:dyDescent="0.2">
      <c r="AD61" s="3"/>
    </row>
    <row r="62" spans="2:30" x14ac:dyDescent="0.2">
      <c r="AD62" s="3"/>
    </row>
    <row r="63" spans="2:30" x14ac:dyDescent="0.2">
      <c r="AD63" s="3"/>
    </row>
    <row r="64" spans="2:30" x14ac:dyDescent="0.2">
      <c r="AD64" s="3"/>
    </row>
    <row r="65" spans="30:30" x14ac:dyDescent="0.2">
      <c r="AD65" s="3"/>
    </row>
    <row r="66" spans="30:30" x14ac:dyDescent="0.2">
      <c r="AD66" s="3"/>
    </row>
    <row r="67" spans="30:30" x14ac:dyDescent="0.2">
      <c r="AD67" s="3"/>
    </row>
    <row r="68" spans="30:30" x14ac:dyDescent="0.2">
      <c r="AD68" s="3"/>
    </row>
    <row r="69" spans="30:30" x14ac:dyDescent="0.2">
      <c r="AD69" s="3"/>
    </row>
    <row r="70" spans="30:30" x14ac:dyDescent="0.2">
      <c r="AD70" s="3"/>
    </row>
    <row r="71" spans="30:30" x14ac:dyDescent="0.2">
      <c r="AD71" s="3"/>
    </row>
    <row r="72" spans="30:30" x14ac:dyDescent="0.2">
      <c r="AD72" s="3"/>
    </row>
    <row r="73" spans="30:30" x14ac:dyDescent="0.2">
      <c r="AD73" s="3"/>
    </row>
    <row r="74" spans="30:30" x14ac:dyDescent="0.2">
      <c r="AD74" s="3"/>
    </row>
    <row r="75" spans="30:30" x14ac:dyDescent="0.2">
      <c r="AD75" s="3"/>
    </row>
    <row r="76" spans="30:30" x14ac:dyDescent="0.2">
      <c r="AD76" s="3"/>
    </row>
    <row r="77" spans="30:30" x14ac:dyDescent="0.2">
      <c r="AD77" s="3"/>
    </row>
    <row r="78" spans="30:30" x14ac:dyDescent="0.2">
      <c r="AD78" s="3"/>
    </row>
    <row r="79" spans="30:30" x14ac:dyDescent="0.2">
      <c r="AD79" s="3"/>
    </row>
    <row r="80" spans="30:30" x14ac:dyDescent="0.2">
      <c r="AD80" s="3"/>
    </row>
    <row r="81" spans="30:30" x14ac:dyDescent="0.2">
      <c r="AD81" s="3"/>
    </row>
  </sheetData>
  <mergeCells count="48">
    <mergeCell ref="C10:J10"/>
    <mergeCell ref="C11:J11"/>
    <mergeCell ref="C12:J12"/>
    <mergeCell ref="C13:J13"/>
    <mergeCell ref="A6:J6"/>
    <mergeCell ref="A7:J7"/>
    <mergeCell ref="B8:J8"/>
    <mergeCell ref="C9:J9"/>
    <mergeCell ref="B48:AD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30" width="10.44140625" style="1" customWidth="1"/>
  </cols>
  <sheetData>
    <row r="1" spans="1:30"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c r="AD1" s="5"/>
    </row>
    <row r="2" spans="1:30" ht="18" customHeight="1" x14ac:dyDescent="0.2">
      <c r="A2" s="345" t="s">
        <v>585</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90" t="s">
        <v>33</v>
      </c>
      <c r="B4" s="390"/>
      <c r="C4" s="390"/>
      <c r="D4" s="390"/>
      <c r="E4" s="390"/>
      <c r="F4" s="390"/>
      <c r="G4" s="390"/>
      <c r="H4" s="390"/>
      <c r="I4" s="390"/>
      <c r="J4" s="390"/>
      <c r="K4" s="68">
        <v>71519</v>
      </c>
      <c r="L4" s="68">
        <v>55841</v>
      </c>
      <c r="M4" s="68">
        <v>55360.826280551599</v>
      </c>
      <c r="N4" s="68">
        <v>50396.946920934199</v>
      </c>
      <c r="O4" s="68">
        <v>60432.064040404199</v>
      </c>
      <c r="P4" s="68">
        <v>63161.500913264499</v>
      </c>
      <c r="Q4" s="68">
        <v>63840.894955141201</v>
      </c>
      <c r="R4" s="68">
        <v>121143.91328152489</v>
      </c>
      <c r="S4" s="68">
        <v>120117.85040100271</v>
      </c>
      <c r="T4" s="68">
        <v>111183.23767123162</v>
      </c>
      <c r="U4" s="68">
        <v>108322.99483610119</v>
      </c>
      <c r="V4" s="68">
        <v>105538.35862919949</v>
      </c>
      <c r="W4" s="68">
        <v>102827.23420270055</v>
      </c>
      <c r="X4" s="68">
        <v>100187.58973049888</v>
      </c>
      <c r="Y4" s="68">
        <v>107176.70191099987</v>
      </c>
      <c r="Z4" s="68">
        <v>111925</v>
      </c>
      <c r="AA4" s="68">
        <v>116545</v>
      </c>
      <c r="AB4" s="68">
        <v>159434</v>
      </c>
      <c r="AC4" s="68">
        <v>163918</v>
      </c>
      <c r="AD4" s="68">
        <v>160455</v>
      </c>
    </row>
    <row r="5" spans="1:30" s="31" customFormat="1" ht="18" customHeight="1" x14ac:dyDescent="0.2">
      <c r="A5" s="380" t="s">
        <v>34</v>
      </c>
      <c r="B5" s="380"/>
      <c r="C5" s="380"/>
      <c r="D5" s="380"/>
      <c r="E5" s="380"/>
      <c r="F5" s="380"/>
      <c r="G5" s="380"/>
      <c r="H5" s="380"/>
      <c r="I5" s="380"/>
      <c r="J5" s="380"/>
      <c r="K5" s="251">
        <v>5.5180161915015598</v>
      </c>
      <c r="L5" s="251">
        <v>6.8928744112748701</v>
      </c>
      <c r="M5" s="251">
        <v>6.5164774718826237</v>
      </c>
      <c r="N5" s="251">
        <v>7.0538757410632709</v>
      </c>
      <c r="O5" s="251">
        <v>7.5244098520277953</v>
      </c>
      <c r="P5" s="251">
        <v>6.4555693157831548</v>
      </c>
      <c r="Q5" s="251">
        <v>6.4912934958534283</v>
      </c>
      <c r="R5" s="251">
        <v>4.873875028211871</v>
      </c>
      <c r="S5" s="251">
        <v>4.463352511033432</v>
      </c>
      <c r="T5" s="251">
        <v>4.7179208744010888</v>
      </c>
      <c r="U5" s="251">
        <v>4.470740099773467</v>
      </c>
      <c r="V5" s="251">
        <v>4.375342206672939</v>
      </c>
      <c r="W5" s="251">
        <v>4.6349237279689248</v>
      </c>
      <c r="X5" s="251">
        <v>4.3081710075024686</v>
      </c>
      <c r="Y5" s="251">
        <v>4.7574940863894257</v>
      </c>
      <c r="Z5" s="251">
        <v>4.6238176317259763</v>
      </c>
      <c r="AA5" s="251">
        <v>4.8296280406709853</v>
      </c>
      <c r="AB5" s="251">
        <v>4.0625525295733658</v>
      </c>
      <c r="AC5" s="251">
        <v>3.980112007223124</v>
      </c>
      <c r="AD5" s="251">
        <v>4.2826150634134184</v>
      </c>
    </row>
    <row r="6" spans="1:30" s="31" customFormat="1" ht="18" customHeight="1" x14ac:dyDescent="0.2">
      <c r="A6" s="381" t="s">
        <v>70</v>
      </c>
      <c r="B6" s="381"/>
      <c r="C6" s="381"/>
      <c r="D6" s="381"/>
      <c r="E6" s="381"/>
      <c r="F6" s="381"/>
      <c r="G6" s="381"/>
      <c r="H6" s="381"/>
      <c r="I6" s="381"/>
      <c r="J6" s="381"/>
      <c r="K6" s="211"/>
      <c r="L6" s="211">
        <v>26637</v>
      </c>
      <c r="M6" s="211">
        <v>29041.758457064701</v>
      </c>
      <c r="N6" s="211">
        <v>25217.966930205301</v>
      </c>
      <c r="O6" s="211">
        <v>30705.186394875702</v>
      </c>
      <c r="P6" s="211">
        <v>32238.7462910627</v>
      </c>
      <c r="Q6" s="211">
        <v>32165.567325319302</v>
      </c>
      <c r="R6" s="211">
        <v>60705.570500418959</v>
      </c>
      <c r="S6" s="211">
        <v>54387.087776094952</v>
      </c>
      <c r="T6" s="211">
        <v>42846.78221279943</v>
      </c>
      <c r="U6" s="211">
        <v>46463.05978017037</v>
      </c>
      <c r="V6" s="211">
        <v>47558.694032741834</v>
      </c>
      <c r="W6" s="211">
        <v>44566.221666386373</v>
      </c>
      <c r="X6" s="211">
        <v>43835.81439732272</v>
      </c>
      <c r="Y6" s="211">
        <v>50704.782310212533</v>
      </c>
      <c r="Z6" s="211">
        <v>54777.647837513221</v>
      </c>
      <c r="AA6" s="211">
        <v>58718</v>
      </c>
      <c r="AB6" s="211">
        <v>79201</v>
      </c>
      <c r="AC6" s="211">
        <v>83680</v>
      </c>
      <c r="AD6" s="211">
        <v>83756</v>
      </c>
    </row>
    <row r="7" spans="1:30" s="31" customFormat="1" ht="18" customHeight="1" x14ac:dyDescent="0.2">
      <c r="A7" s="215" t="s">
        <v>360</v>
      </c>
      <c r="B7" s="394" t="s">
        <v>361</v>
      </c>
      <c r="C7" s="394"/>
      <c r="D7" s="394"/>
      <c r="E7" s="394"/>
      <c r="F7" s="394"/>
      <c r="G7" s="394"/>
      <c r="H7" s="394"/>
      <c r="I7" s="394"/>
      <c r="J7" s="394"/>
      <c r="K7" s="213"/>
      <c r="L7" s="213">
        <v>16803</v>
      </c>
      <c r="M7" s="213">
        <v>19751.4097815516</v>
      </c>
      <c r="N7" s="213">
        <v>18323.860571977199</v>
      </c>
      <c r="O7" s="213">
        <v>24178.105799987599</v>
      </c>
      <c r="P7" s="213">
        <v>25328.923890061</v>
      </c>
      <c r="Q7" s="213">
        <v>25648.3235248073</v>
      </c>
      <c r="R7" s="213">
        <v>50193.827607345818</v>
      </c>
      <c r="S7" s="213">
        <v>45076.959562566306</v>
      </c>
      <c r="T7" s="213">
        <v>34499.080150864072</v>
      </c>
      <c r="U7" s="213">
        <v>36479.277604096773</v>
      </c>
      <c r="V7" s="213">
        <v>39304.52932802229</v>
      </c>
      <c r="W7" s="213">
        <v>34672.913919800405</v>
      </c>
      <c r="X7" s="213">
        <v>35222.845827210767</v>
      </c>
      <c r="Y7" s="213">
        <v>41741.054245422034</v>
      </c>
      <c r="Z7" s="213">
        <v>42006.163434054339</v>
      </c>
      <c r="AA7" s="213">
        <v>46888</v>
      </c>
      <c r="AB7" s="213">
        <v>64493</v>
      </c>
      <c r="AC7" s="213">
        <v>68344</v>
      </c>
      <c r="AD7" s="213">
        <v>60385</v>
      </c>
    </row>
    <row r="8" spans="1:30" s="31" customFormat="1" ht="18" customHeight="1" x14ac:dyDescent="0.2">
      <c r="A8" s="381" t="s">
        <v>71</v>
      </c>
      <c r="B8" s="381"/>
      <c r="C8" s="381"/>
      <c r="D8" s="381"/>
      <c r="E8" s="381"/>
      <c r="F8" s="381"/>
      <c r="G8" s="381"/>
      <c r="H8" s="381"/>
      <c r="I8" s="381"/>
      <c r="J8" s="381"/>
      <c r="K8" s="211">
        <v>549067.04512087698</v>
      </c>
      <c r="L8" s="211">
        <v>704202.37818090653</v>
      </c>
      <c r="M8" s="211">
        <v>495542.24649258901</v>
      </c>
      <c r="N8" s="211">
        <v>525805.61265546584</v>
      </c>
      <c r="O8" s="211">
        <v>464899.79835183016</v>
      </c>
      <c r="P8" s="211">
        <v>497532.59953137022</v>
      </c>
      <c r="Q8" s="211">
        <v>578582.11789980531</v>
      </c>
      <c r="R8" s="211">
        <v>423535.78417504957</v>
      </c>
      <c r="S8" s="211">
        <v>364258.45560230134</v>
      </c>
      <c r="T8" s="211">
        <v>317088.5168476777</v>
      </c>
      <c r="U8" s="211">
        <v>371394.66411753715</v>
      </c>
      <c r="V8" s="211">
        <v>511984.88920415915</v>
      </c>
      <c r="W8" s="211">
        <v>442436.66892831749</v>
      </c>
      <c r="X8" s="211">
        <v>385573.79755789757</v>
      </c>
      <c r="Y8" s="211">
        <v>487538.21240393096</v>
      </c>
      <c r="Z8" s="211">
        <v>450259.80383090657</v>
      </c>
      <c r="AA8" s="211">
        <v>463307.34634690464</v>
      </c>
      <c r="AB8" s="211">
        <v>505619.64124339854</v>
      </c>
      <c r="AC8" s="211">
        <v>421332.81111287343</v>
      </c>
      <c r="AD8" s="211">
        <v>605742.18486179924</v>
      </c>
    </row>
    <row r="9" spans="1:30" s="31" customFormat="1" ht="18" customHeight="1" x14ac:dyDescent="0.2">
      <c r="A9" s="73"/>
      <c r="B9" s="381" t="s">
        <v>72</v>
      </c>
      <c r="C9" s="381"/>
      <c r="D9" s="381"/>
      <c r="E9" s="381"/>
      <c r="F9" s="381"/>
      <c r="G9" s="381"/>
      <c r="H9" s="381"/>
      <c r="I9" s="381"/>
      <c r="J9" s="381"/>
      <c r="K9" s="211">
        <v>127338.41356842199</v>
      </c>
      <c r="L9" s="211">
        <v>126242.16973191741</v>
      </c>
      <c r="M9" s="211">
        <v>101216.97847344266</v>
      </c>
      <c r="N9" s="211">
        <v>104966.24560104504</v>
      </c>
      <c r="O9" s="211">
        <v>104050.21340236823</v>
      </c>
      <c r="P9" s="211">
        <v>83810.937469741315</v>
      </c>
      <c r="Q9" s="211">
        <v>110316.93975462743</v>
      </c>
      <c r="R9" s="211">
        <v>94405.467665825083</v>
      </c>
      <c r="S9" s="211">
        <v>83510.57185791638</v>
      </c>
      <c r="T9" s="211">
        <v>48726.857071012142</v>
      </c>
      <c r="U9" s="211">
        <v>78880.434469345244</v>
      </c>
      <c r="V9" s="211">
        <v>118660.14038664328</v>
      </c>
      <c r="W9" s="211">
        <v>93889.724277811867</v>
      </c>
      <c r="X9" s="211">
        <v>71168.591768491329</v>
      </c>
      <c r="Y9" s="211">
        <v>92341.372132551478</v>
      </c>
      <c r="Z9" s="211">
        <v>110266.35173858464</v>
      </c>
      <c r="AA9" s="211">
        <v>120055.84285040114</v>
      </c>
      <c r="AB9" s="211">
        <v>95870.223026456093</v>
      </c>
      <c r="AC9" s="211">
        <v>100102.58094901108</v>
      </c>
      <c r="AD9" s="211">
        <v>144368.97511451811</v>
      </c>
    </row>
    <row r="10" spans="1:30" s="31" customFormat="1" ht="18" customHeight="1" x14ac:dyDescent="0.2">
      <c r="A10" s="73"/>
      <c r="B10" s="73"/>
      <c r="C10" s="390" t="s">
        <v>73</v>
      </c>
      <c r="D10" s="390"/>
      <c r="E10" s="390"/>
      <c r="F10" s="390"/>
      <c r="G10" s="390"/>
      <c r="H10" s="390"/>
      <c r="I10" s="390"/>
      <c r="J10" s="390"/>
      <c r="K10" s="68">
        <v>49385.030551321994</v>
      </c>
      <c r="L10" s="68">
        <v>54828.817535502589</v>
      </c>
      <c r="M10" s="68">
        <v>50894.781785283107</v>
      </c>
      <c r="N10" s="68">
        <v>57989.314183787792</v>
      </c>
      <c r="O10" s="68">
        <v>53441.922615414427</v>
      </c>
      <c r="P10" s="68">
        <v>43544.53467669613</v>
      </c>
      <c r="Q10" s="68">
        <v>52741.292948795141</v>
      </c>
      <c r="R10" s="68">
        <v>49339.472208360785</v>
      </c>
      <c r="S10" s="68">
        <v>37890.507373768698</v>
      </c>
      <c r="T10" s="68">
        <v>28642.310588578486</v>
      </c>
      <c r="U10" s="68">
        <v>52562.46826810317</v>
      </c>
      <c r="V10" s="68">
        <v>95567.276399386537</v>
      </c>
      <c r="W10" s="68">
        <v>45414.047947147461</v>
      </c>
      <c r="X10" s="68">
        <v>45070.710093709611</v>
      </c>
      <c r="Y10" s="68">
        <v>54959.256275439002</v>
      </c>
      <c r="Z10" s="68">
        <v>67373.702721737194</v>
      </c>
      <c r="AA10" s="68">
        <v>61292.076082200008</v>
      </c>
      <c r="AB10" s="68">
        <v>67419.845089504117</v>
      </c>
      <c r="AC10" s="68">
        <v>54619.785221879232</v>
      </c>
      <c r="AD10" s="68">
        <v>98036.726820603901</v>
      </c>
    </row>
    <row r="11" spans="1:30" s="31" customFormat="1" ht="18" customHeight="1" x14ac:dyDescent="0.2">
      <c r="A11" s="73"/>
      <c r="B11" s="73"/>
      <c r="C11" s="382" t="s">
        <v>74</v>
      </c>
      <c r="D11" s="382"/>
      <c r="E11" s="382"/>
      <c r="F11" s="382"/>
      <c r="G11" s="382"/>
      <c r="H11" s="382"/>
      <c r="I11" s="382"/>
      <c r="J11" s="382"/>
      <c r="K11" s="69">
        <v>7714.8310239237107</v>
      </c>
      <c r="L11" s="69">
        <v>8251.2848981930838</v>
      </c>
      <c r="M11" s="69">
        <v>4396.9986525855484</v>
      </c>
      <c r="N11" s="69">
        <v>6996.0065442815794</v>
      </c>
      <c r="O11" s="69">
        <v>4029.7898018731012</v>
      </c>
      <c r="P11" s="69">
        <v>3429.3466215045632</v>
      </c>
      <c r="Q11" s="69">
        <v>5974.8593837330918</v>
      </c>
      <c r="R11" s="69">
        <v>2397.6119658284524</v>
      </c>
      <c r="S11" s="69">
        <v>5320.5956715829116</v>
      </c>
      <c r="T11" s="69">
        <v>2491.4904512742619</v>
      </c>
      <c r="U11" s="69">
        <v>4487.6068449762579</v>
      </c>
      <c r="V11" s="69">
        <v>2052.8326014799336</v>
      </c>
      <c r="W11" s="69">
        <v>2116.199566463577</v>
      </c>
      <c r="X11" s="69">
        <v>1836.9566196483945</v>
      </c>
      <c r="Y11" s="69">
        <v>3120.0258317000344</v>
      </c>
      <c r="Z11" s="69">
        <v>11665.2951290212</v>
      </c>
      <c r="AA11" s="69">
        <v>9410.9481487837311</v>
      </c>
      <c r="AB11" s="69">
        <v>7900.6167442327232</v>
      </c>
      <c r="AC11" s="69">
        <v>4249.5501897290114</v>
      </c>
      <c r="AD11" s="69">
        <v>5586.3176840858814</v>
      </c>
    </row>
    <row r="12" spans="1:30" s="31" customFormat="1" ht="18" customHeight="1" x14ac:dyDescent="0.2">
      <c r="A12" s="73"/>
      <c r="B12" s="73"/>
      <c r="C12" s="382" t="s">
        <v>75</v>
      </c>
      <c r="D12" s="382"/>
      <c r="E12" s="382"/>
      <c r="F12" s="382"/>
      <c r="G12" s="382"/>
      <c r="H12" s="382"/>
      <c r="I12" s="382"/>
      <c r="J12" s="382"/>
      <c r="K12" s="69">
        <v>5570.6735273144204</v>
      </c>
      <c r="L12" s="69">
        <v>3928.0457011873</v>
      </c>
      <c r="M12" s="69">
        <v>5184.3759981154908</v>
      </c>
      <c r="N12" s="69">
        <v>6430.5205857171723</v>
      </c>
      <c r="O12" s="69">
        <v>8727.2183115378921</v>
      </c>
      <c r="P12" s="69">
        <v>5592.1561351556456</v>
      </c>
      <c r="Q12" s="69">
        <v>11210.916610311842</v>
      </c>
      <c r="R12" s="69">
        <v>4604.6769150281589</v>
      </c>
      <c r="S12" s="69">
        <v>10317.954614443675</v>
      </c>
      <c r="T12" s="69">
        <v>1868.3073131922999</v>
      </c>
      <c r="U12" s="69">
        <v>2947.0543170028086</v>
      </c>
      <c r="V12" s="69">
        <v>4352.2811664808769</v>
      </c>
      <c r="W12" s="69">
        <v>4939.8967156379131</v>
      </c>
      <c r="X12" s="69">
        <v>3234.3897528135349</v>
      </c>
      <c r="Y12" s="69">
        <v>5504.0349940289861</v>
      </c>
      <c r="Z12" s="69"/>
      <c r="AA12" s="69"/>
      <c r="AB12" s="69"/>
      <c r="AC12" s="69"/>
      <c r="AD12" s="69"/>
    </row>
    <row r="13" spans="1:30" s="31" customFormat="1" ht="18" customHeight="1" x14ac:dyDescent="0.2">
      <c r="A13" s="73"/>
      <c r="B13" s="73"/>
      <c r="C13" s="382" t="s">
        <v>76</v>
      </c>
      <c r="D13" s="382"/>
      <c r="E13" s="382"/>
      <c r="F13" s="382"/>
      <c r="G13" s="382"/>
      <c r="H13" s="382"/>
      <c r="I13" s="382"/>
      <c r="J13" s="382"/>
      <c r="K13" s="69">
        <v>28041.093975027601</v>
      </c>
      <c r="L13" s="69">
        <v>14998.692716820975</v>
      </c>
      <c r="M13" s="69">
        <v>7697.3158101846557</v>
      </c>
      <c r="N13" s="69">
        <v>9604.9012635558702</v>
      </c>
      <c r="O13" s="69">
        <v>8672.3930807692414</v>
      </c>
      <c r="P13" s="69">
        <v>7057.0648808083433</v>
      </c>
      <c r="Q13" s="69">
        <v>9581.2419671078078</v>
      </c>
      <c r="R13" s="69">
        <v>8939.6861944987868</v>
      </c>
      <c r="S13" s="69">
        <v>5165.5536082832095</v>
      </c>
      <c r="T13" s="69">
        <v>4479.0913098928395</v>
      </c>
      <c r="U13" s="69">
        <v>2426.9118405860709</v>
      </c>
      <c r="V13" s="69">
        <v>2216.1985822632455</v>
      </c>
      <c r="W13" s="69">
        <v>23082.265404026963</v>
      </c>
      <c r="X13" s="69">
        <v>5683.8579662607926</v>
      </c>
      <c r="Y13" s="69">
        <v>4005.8570812395942</v>
      </c>
      <c r="Z13" s="69">
        <v>4383.5548288863201</v>
      </c>
      <c r="AA13" s="69">
        <v>21453.733956840708</v>
      </c>
      <c r="AB13" s="69">
        <v>3760.4301529159397</v>
      </c>
      <c r="AC13" s="69">
        <v>17056.201948535243</v>
      </c>
      <c r="AD13" s="69">
        <v>2853.8696456950547</v>
      </c>
    </row>
    <row r="14" spans="1:30" s="31" customFormat="1" ht="18" customHeight="1" x14ac:dyDescent="0.2">
      <c r="A14" s="73"/>
      <c r="B14" s="73"/>
      <c r="C14" s="380" t="s">
        <v>77</v>
      </c>
      <c r="D14" s="380"/>
      <c r="E14" s="380"/>
      <c r="F14" s="380"/>
      <c r="G14" s="380"/>
      <c r="H14" s="380"/>
      <c r="I14" s="380"/>
      <c r="J14" s="380"/>
      <c r="K14" s="70">
        <v>36626.784490834601</v>
      </c>
      <c r="L14" s="70">
        <v>44235.346788202216</v>
      </c>
      <c r="M14" s="70">
        <v>33043.506227273989</v>
      </c>
      <c r="N14" s="70">
        <v>23945.503023702615</v>
      </c>
      <c r="O14" s="70">
        <v>29178.889592773638</v>
      </c>
      <c r="P14" s="70">
        <v>24187.835155576719</v>
      </c>
      <c r="Q14" s="70">
        <v>30808.628844679861</v>
      </c>
      <c r="R14" s="70">
        <v>29124.020382108989</v>
      </c>
      <c r="S14" s="70">
        <v>24815.960589837763</v>
      </c>
      <c r="T14" s="70">
        <v>11245.65740807437</v>
      </c>
      <c r="U14" s="70">
        <v>16456.393198676986</v>
      </c>
      <c r="V14" s="70">
        <v>14471.551637032791</v>
      </c>
      <c r="W14" s="70">
        <v>18337.314644535934</v>
      </c>
      <c r="X14" s="70">
        <v>15342.677336059058</v>
      </c>
      <c r="Y14" s="70">
        <v>24752.19795014376</v>
      </c>
      <c r="Z14" s="70">
        <v>26843.799058939912</v>
      </c>
      <c r="AA14" s="70">
        <v>27899.084662576701</v>
      </c>
      <c r="AB14" s="70">
        <v>16789.331039803306</v>
      </c>
      <c r="AC14" s="70">
        <v>24177.0435888676</v>
      </c>
      <c r="AD14" s="70">
        <v>37892.06096413327</v>
      </c>
    </row>
    <row r="15" spans="1:30" s="31" customFormat="1" ht="18" customHeight="1" x14ac:dyDescent="0.2">
      <c r="A15" s="73"/>
      <c r="B15" s="381" t="s">
        <v>78</v>
      </c>
      <c r="C15" s="381"/>
      <c r="D15" s="381"/>
      <c r="E15" s="381"/>
      <c r="F15" s="381"/>
      <c r="G15" s="381"/>
      <c r="H15" s="381"/>
      <c r="I15" s="381"/>
      <c r="J15" s="381"/>
      <c r="K15" s="211">
        <v>420682.28023322503</v>
      </c>
      <c r="L15" s="211">
        <v>575201.60813739011</v>
      </c>
      <c r="M15" s="211">
        <v>392190.9755317613</v>
      </c>
      <c r="N15" s="211">
        <v>419136.26163055206</v>
      </c>
      <c r="O15" s="211">
        <v>359908.0254165256</v>
      </c>
      <c r="P15" s="211">
        <v>410452.79286333028</v>
      </c>
      <c r="Q15" s="211">
        <v>467293.27756528347</v>
      </c>
      <c r="R15" s="211">
        <v>328544.08464099409</v>
      </c>
      <c r="S15" s="211">
        <v>280182.47712232248</v>
      </c>
      <c r="T15" s="211">
        <v>268032.63653467869</v>
      </c>
      <c r="U15" s="211">
        <v>292140.24635349395</v>
      </c>
      <c r="V15" s="211">
        <v>392891.66266681004</v>
      </c>
      <c r="W15" s="211">
        <v>347388.25069029519</v>
      </c>
      <c r="X15" s="211">
        <v>313717.82464836363</v>
      </c>
      <c r="Y15" s="211">
        <v>394706.04101210117</v>
      </c>
      <c r="Z15" s="211">
        <v>339491.11037597555</v>
      </c>
      <c r="AA15" s="211">
        <v>338857.47349092626</v>
      </c>
      <c r="AB15" s="211">
        <v>409043.5394520617</v>
      </c>
      <c r="AC15" s="211">
        <v>321051.13917934574</v>
      </c>
      <c r="AD15" s="211">
        <v>460817.62888037151</v>
      </c>
    </row>
    <row r="16" spans="1:30" s="31" customFormat="1" ht="18" customHeight="1" x14ac:dyDescent="0.2">
      <c r="A16" s="73"/>
      <c r="B16" s="73"/>
      <c r="C16" s="381" t="s">
        <v>79</v>
      </c>
      <c r="D16" s="381"/>
      <c r="E16" s="381"/>
      <c r="F16" s="381"/>
      <c r="G16" s="381"/>
      <c r="H16" s="381"/>
      <c r="I16" s="381"/>
      <c r="J16" s="381"/>
      <c r="K16" s="211">
        <v>350784.267117829</v>
      </c>
      <c r="L16" s="211">
        <v>462017.12003724859</v>
      </c>
      <c r="M16" s="211">
        <v>320305.19214208191</v>
      </c>
      <c r="N16" s="211">
        <v>356428.22884488583</v>
      </c>
      <c r="O16" s="211">
        <v>301816.78028418386</v>
      </c>
      <c r="P16" s="211">
        <v>326653.70483444608</v>
      </c>
      <c r="Q16" s="211">
        <v>392251.28966173209</v>
      </c>
      <c r="R16" s="211">
        <v>262199.87591552379</v>
      </c>
      <c r="S16" s="211">
        <v>239349.80206625449</v>
      </c>
      <c r="T16" s="211">
        <v>240969.28133417811</v>
      </c>
      <c r="U16" s="211">
        <v>227685.24104292758</v>
      </c>
      <c r="V16" s="211">
        <v>256800.47879502969</v>
      </c>
      <c r="W16" s="211">
        <v>278104.08854609448</v>
      </c>
      <c r="X16" s="211">
        <v>256236.41943735891</v>
      </c>
      <c r="Y16" s="211">
        <v>293082.82101306453</v>
      </c>
      <c r="Z16" s="211">
        <v>263929.22190880263</v>
      </c>
      <c r="AA16" s="211">
        <v>259487.7882963662</v>
      </c>
      <c r="AB16" s="211">
        <v>284193.94216415571</v>
      </c>
      <c r="AC16" s="211">
        <v>256691.46738003151</v>
      </c>
      <c r="AD16" s="211">
        <v>389261.15988283325</v>
      </c>
    </row>
    <row r="17" spans="1:30" s="31" customFormat="1" ht="18" customHeight="1" x14ac:dyDescent="0.2">
      <c r="A17" s="73"/>
      <c r="B17" s="73"/>
      <c r="C17" s="73"/>
      <c r="D17" s="390" t="s">
        <v>362</v>
      </c>
      <c r="E17" s="390"/>
      <c r="F17" s="390"/>
      <c r="G17" s="390"/>
      <c r="H17" s="390"/>
      <c r="I17" s="390"/>
      <c r="J17" s="390"/>
      <c r="K17" s="68">
        <v>183179.98014513601</v>
      </c>
      <c r="L17" s="68">
        <v>231724.37814509054</v>
      </c>
      <c r="M17" s="68">
        <v>165390.27153248916</v>
      </c>
      <c r="N17" s="68">
        <v>187443.0872115622</v>
      </c>
      <c r="O17" s="68">
        <v>165443.97506007258</v>
      </c>
      <c r="P17" s="68">
        <v>172777.19623789209</v>
      </c>
      <c r="Q17" s="68">
        <v>247496.9595695567</v>
      </c>
      <c r="R17" s="68">
        <v>133141.76124772447</v>
      </c>
      <c r="S17" s="68">
        <v>119544.82698294387</v>
      </c>
      <c r="T17" s="68">
        <v>132878.49219812511</v>
      </c>
      <c r="U17" s="68">
        <v>114476.9239147193</v>
      </c>
      <c r="V17" s="68">
        <v>131018.84935643687</v>
      </c>
      <c r="W17" s="68">
        <v>154606.84638800489</v>
      </c>
      <c r="X17" s="68">
        <v>137977.62661085869</v>
      </c>
      <c r="Y17" s="68">
        <v>145813.199668888</v>
      </c>
      <c r="Z17" s="68">
        <v>122495.73583244799</v>
      </c>
      <c r="AA17" s="68">
        <v>140591.42805783174</v>
      </c>
      <c r="AB17" s="68">
        <v>143492.86338547614</v>
      </c>
      <c r="AC17" s="68">
        <v>126233.8702644005</v>
      </c>
      <c r="AD17" s="68">
        <v>186663.15951512885</v>
      </c>
    </row>
    <row r="18" spans="1:30" s="31" customFormat="1" ht="18" customHeight="1" x14ac:dyDescent="0.2">
      <c r="A18" s="73"/>
      <c r="B18" s="73"/>
      <c r="C18" s="73"/>
      <c r="D18" s="382" t="s">
        <v>80</v>
      </c>
      <c r="E18" s="382"/>
      <c r="F18" s="382"/>
      <c r="G18" s="382"/>
      <c r="H18" s="382"/>
      <c r="I18" s="382"/>
      <c r="J18" s="382"/>
      <c r="K18" s="69">
        <v>3769.1382709489799</v>
      </c>
      <c r="L18" s="69">
        <v>3715.9792983650004</v>
      </c>
      <c r="M18" s="69">
        <v>3778.5259268472169</v>
      </c>
      <c r="N18" s="69">
        <v>5207.6934923198114</v>
      </c>
      <c r="O18" s="69">
        <v>1745.6128561352944</v>
      </c>
      <c r="P18" s="69">
        <v>3548.0643092175274</v>
      </c>
      <c r="Q18" s="69">
        <v>2279.4761254972314</v>
      </c>
      <c r="R18" s="69">
        <v>2216.818365469579</v>
      </c>
      <c r="S18" s="69">
        <v>1420.4178392614012</v>
      </c>
      <c r="T18" s="69">
        <v>1577.7236627732584</v>
      </c>
      <c r="U18" s="69">
        <v>1439.4735007143984</v>
      </c>
      <c r="V18" s="69">
        <v>2522.6101406098041</v>
      </c>
      <c r="W18" s="69">
        <v>2318.625516885872</v>
      </c>
      <c r="X18" s="69">
        <v>2232.3421048926007</v>
      </c>
      <c r="Y18" s="69">
        <v>2023.5205572338893</v>
      </c>
      <c r="Z18" s="69">
        <v>2278.1725414135058</v>
      </c>
      <c r="AA18" s="69">
        <v>1330.5126002831523</v>
      </c>
      <c r="AB18" s="69">
        <v>1898.4726658052864</v>
      </c>
      <c r="AC18" s="69">
        <v>1892.5608718993642</v>
      </c>
      <c r="AD18" s="69">
        <v>4613.2024555171229</v>
      </c>
    </row>
    <row r="19" spans="1:30" s="31" customFormat="1" ht="18" customHeight="1" x14ac:dyDescent="0.2">
      <c r="A19" s="73"/>
      <c r="B19" s="73"/>
      <c r="C19" s="73"/>
      <c r="D19" s="382" t="s">
        <v>81</v>
      </c>
      <c r="E19" s="382"/>
      <c r="F19" s="382"/>
      <c r="G19" s="382"/>
      <c r="H19" s="382"/>
      <c r="I19" s="382"/>
      <c r="J19" s="382"/>
      <c r="K19" s="69">
        <v>4693.1304967910601</v>
      </c>
      <c r="L19" s="69">
        <v>7116.0974910907762</v>
      </c>
      <c r="M19" s="69">
        <v>6475.4285308363569</v>
      </c>
      <c r="N19" s="69">
        <v>7442.1765567987995</v>
      </c>
      <c r="O19" s="69">
        <v>3847.8398458986958</v>
      </c>
      <c r="P19" s="69">
        <v>3281.4636959880413</v>
      </c>
      <c r="Q19" s="69">
        <v>4879.9932188375597</v>
      </c>
      <c r="R19" s="69">
        <v>2197.8635643415178</v>
      </c>
      <c r="S19" s="69">
        <v>2531.2615451308325</v>
      </c>
      <c r="T19" s="69">
        <v>3415.4256254892339</v>
      </c>
      <c r="U19" s="69">
        <v>2822.7622342361365</v>
      </c>
      <c r="V19" s="69">
        <v>2154.2888761376375</v>
      </c>
      <c r="W19" s="69">
        <v>2226.2306586184104</v>
      </c>
      <c r="X19" s="69">
        <v>2305.5693054943695</v>
      </c>
      <c r="Y19" s="69">
        <v>2426.3304257861814</v>
      </c>
      <c r="Z19" s="69">
        <v>2702.7117420230957</v>
      </c>
      <c r="AA19" s="69">
        <v>2786.2284954309494</v>
      </c>
      <c r="AB19" s="69">
        <v>2558.6154521620228</v>
      </c>
      <c r="AC19" s="69">
        <v>2677.2234348881757</v>
      </c>
      <c r="AD19" s="69">
        <v>4988.1244024804464</v>
      </c>
    </row>
    <row r="20" spans="1:30" s="31" customFormat="1" ht="18" customHeight="1" x14ac:dyDescent="0.2">
      <c r="A20" s="73"/>
      <c r="B20" s="73"/>
      <c r="C20" s="73"/>
      <c r="D20" s="382" t="s">
        <v>508</v>
      </c>
      <c r="E20" s="382"/>
      <c r="F20" s="382"/>
      <c r="G20" s="382"/>
      <c r="H20" s="382"/>
      <c r="I20" s="382"/>
      <c r="J20" s="382"/>
      <c r="K20" s="69"/>
      <c r="L20" s="69"/>
      <c r="M20" s="69"/>
      <c r="N20" s="69"/>
      <c r="O20" s="69"/>
      <c r="P20" s="69"/>
      <c r="Q20" s="69">
        <v>451.28352892466086</v>
      </c>
      <c r="R20" s="69">
        <v>262.27853593671597</v>
      </c>
      <c r="S20" s="69">
        <v>328.29124292988547</v>
      </c>
      <c r="T20" s="69">
        <v>175.75529234644492</v>
      </c>
      <c r="U20" s="69">
        <v>311.90840279595841</v>
      </c>
      <c r="V20" s="69">
        <v>307.96532669137514</v>
      </c>
      <c r="W20" s="69">
        <v>399.53254469252005</v>
      </c>
      <c r="X20" s="69">
        <v>130.74621817271213</v>
      </c>
      <c r="Y20" s="69">
        <v>830.0888563136831</v>
      </c>
      <c r="Z20" s="69"/>
      <c r="AA20" s="69"/>
      <c r="AB20" s="69"/>
      <c r="AC20" s="69"/>
      <c r="AD20" s="69"/>
    </row>
    <row r="21" spans="1:30" s="31" customFormat="1" ht="18" customHeight="1" x14ac:dyDescent="0.2">
      <c r="A21" s="73"/>
      <c r="B21" s="73"/>
      <c r="C21" s="73"/>
      <c r="D21" s="382" t="s">
        <v>82</v>
      </c>
      <c r="E21" s="382"/>
      <c r="F21" s="382"/>
      <c r="G21" s="382"/>
      <c r="H21" s="382"/>
      <c r="I21" s="382"/>
      <c r="J21" s="382"/>
      <c r="K21" s="69">
        <v>157315.538528223</v>
      </c>
      <c r="L21" s="69">
        <v>215928.31432101861</v>
      </c>
      <c r="M21" s="69">
        <v>143011.22656439379</v>
      </c>
      <c r="N21" s="69">
        <v>148753.30590495866</v>
      </c>
      <c r="O21" s="69">
        <v>137002.31632811087</v>
      </c>
      <c r="P21" s="69">
        <v>159165.18860723518</v>
      </c>
      <c r="Q21" s="69">
        <v>158723.06196682749</v>
      </c>
      <c r="R21" s="69">
        <v>133696.06142138058</v>
      </c>
      <c r="S21" s="69">
        <v>124473.30581653907</v>
      </c>
      <c r="T21" s="69">
        <v>110023.90284449796</v>
      </c>
      <c r="U21" s="69">
        <v>112566.91771915321</v>
      </c>
      <c r="V21" s="69">
        <v>131208.45301776743</v>
      </c>
      <c r="W21" s="69">
        <v>128697.70966717001</v>
      </c>
      <c r="X21" s="69">
        <v>121526.2099560107</v>
      </c>
      <c r="Y21" s="69">
        <v>150302.26874925173</v>
      </c>
      <c r="Z21" s="69">
        <v>138959.27215064663</v>
      </c>
      <c r="AA21" s="69">
        <v>117160.6710455189</v>
      </c>
      <c r="AB21" s="69">
        <v>158968.46121906245</v>
      </c>
      <c r="AC21" s="69">
        <v>131623.45104259448</v>
      </c>
      <c r="AD21" s="69">
        <v>207141.39068897822</v>
      </c>
    </row>
    <row r="22" spans="1:30" s="31" customFormat="1" ht="18" customHeight="1" x14ac:dyDescent="0.2">
      <c r="A22" s="73"/>
      <c r="B22" s="73"/>
      <c r="C22" s="73"/>
      <c r="D22" s="382" t="s">
        <v>83</v>
      </c>
      <c r="E22" s="382"/>
      <c r="F22" s="382"/>
      <c r="G22" s="382"/>
      <c r="H22" s="382"/>
      <c r="I22" s="382"/>
      <c r="J22" s="382"/>
      <c r="K22" s="69">
        <v>1826.4796767292601</v>
      </c>
      <c r="L22" s="69">
        <v>3532.3507816837091</v>
      </c>
      <c r="M22" s="69">
        <v>1649.7395875144678</v>
      </c>
      <c r="N22" s="69">
        <v>7581.9656792461301</v>
      </c>
      <c r="O22" s="69">
        <v>4672.5181252328339</v>
      </c>
      <c r="P22" s="69">
        <v>970.64165861494155</v>
      </c>
      <c r="Q22" s="69">
        <v>3897.1339880773094</v>
      </c>
      <c r="R22" s="69">
        <v>880.28292462841375</v>
      </c>
      <c r="S22" s="69">
        <v>833.49619579538228</v>
      </c>
      <c r="T22" s="69">
        <v>1045.3033201334865</v>
      </c>
      <c r="U22" s="69">
        <v>3419.6343187072507</v>
      </c>
      <c r="V22" s="69">
        <v>1547.9356284494872</v>
      </c>
      <c r="W22" s="69">
        <v>2336.7334121734966</v>
      </c>
      <c r="X22" s="69">
        <v>1135.8820262559989</v>
      </c>
      <c r="Y22" s="69">
        <v>1900.8096252523073</v>
      </c>
      <c r="Z22" s="69">
        <v>2309.9421185292344</v>
      </c>
      <c r="AA22" s="69">
        <v>2518.0143206486764</v>
      </c>
      <c r="AB22" s="69">
        <v>2964.4144410853396</v>
      </c>
      <c r="AC22" s="69">
        <v>701.67720445588657</v>
      </c>
      <c r="AD22" s="69">
        <v>2010.2147206381856</v>
      </c>
    </row>
    <row r="23" spans="1:30" s="31" customFormat="1" ht="18" customHeight="1" x14ac:dyDescent="0.2">
      <c r="A23" s="73"/>
      <c r="B23" s="73"/>
      <c r="C23" s="73"/>
      <c r="D23" s="382" t="s">
        <v>363</v>
      </c>
      <c r="E23" s="382"/>
      <c r="F23" s="382"/>
      <c r="G23" s="382"/>
      <c r="H23" s="382"/>
      <c r="I23" s="382"/>
      <c r="J23" s="382"/>
      <c r="K23" s="69"/>
      <c r="L23" s="69"/>
      <c r="M23" s="69"/>
      <c r="N23" s="69"/>
      <c r="O23" s="69">
        <v>3038.137914873625</v>
      </c>
      <c r="P23" s="69">
        <v>4852.6929835015917</v>
      </c>
      <c r="Q23" s="69">
        <v>2135.6212959361615</v>
      </c>
      <c r="R23" s="69">
        <v>3295.9238269819575</v>
      </c>
      <c r="S23" s="69">
        <v>660.29869696803564</v>
      </c>
      <c r="T23" s="69">
        <v>2167.959902852182</v>
      </c>
      <c r="U23" s="69">
        <v>3854.2380407655755</v>
      </c>
      <c r="V23" s="69">
        <v>1560.3600814006072</v>
      </c>
      <c r="W23" s="69">
        <v>1176.6817366390319</v>
      </c>
      <c r="X23" s="69">
        <v>1266.4923798728571</v>
      </c>
      <c r="Y23" s="69">
        <v>2368.0731465962572</v>
      </c>
      <c r="Z23" s="69">
        <v>29193.083112722354</v>
      </c>
      <c r="AA23" s="69">
        <v>7244.8337552018411</v>
      </c>
      <c r="AB23" s="69">
        <v>5702.9929312442619</v>
      </c>
      <c r="AC23" s="69">
        <v>6897.5740919239979</v>
      </c>
      <c r="AD23" s="69">
        <v>11141.691327786666</v>
      </c>
    </row>
    <row r="24" spans="1:30" s="31" customFormat="1" ht="18" customHeight="1" x14ac:dyDescent="0.2">
      <c r="A24" s="73"/>
      <c r="B24" s="73"/>
      <c r="C24" s="73"/>
      <c r="D24" s="380" t="s">
        <v>364</v>
      </c>
      <c r="E24" s="380"/>
      <c r="F24" s="380"/>
      <c r="G24" s="380"/>
      <c r="H24" s="380"/>
      <c r="I24" s="380"/>
      <c r="J24" s="380"/>
      <c r="K24" s="70"/>
      <c r="L24" s="70"/>
      <c r="M24" s="70"/>
      <c r="N24" s="70">
        <v>-6312.0600377895507</v>
      </c>
      <c r="O24" s="70">
        <v>-13933.619846140457</v>
      </c>
      <c r="P24" s="70">
        <v>-17941.542658004735</v>
      </c>
      <c r="Q24" s="70">
        <v>-27612.240031925336</v>
      </c>
      <c r="R24" s="70">
        <v>-13491.113970939108</v>
      </c>
      <c r="S24" s="70">
        <v>-10442.096253313835</v>
      </c>
      <c r="T24" s="70">
        <v>-10315.281512040314</v>
      </c>
      <c r="U24" s="70">
        <v>-11206.617088164474</v>
      </c>
      <c r="V24" s="70">
        <v>-13519.983632463765</v>
      </c>
      <c r="W24" s="70">
        <v>-13658.271378090034</v>
      </c>
      <c r="X24" s="70">
        <v>-10338.449164199581</v>
      </c>
      <c r="Y24" s="70">
        <v>-12581.470016257555</v>
      </c>
      <c r="Z24" s="70">
        <v>-34009.695588980197</v>
      </c>
      <c r="AA24" s="70">
        <v>-12143.89997854906</v>
      </c>
      <c r="AB24" s="70">
        <v>-31391.877930679781</v>
      </c>
      <c r="AC24" s="70">
        <v>-13334.889530130917</v>
      </c>
      <c r="AD24" s="70">
        <v>-27296.623227696236</v>
      </c>
    </row>
    <row r="25" spans="1:30" s="31" customFormat="1" ht="18" customHeight="1" x14ac:dyDescent="0.2">
      <c r="A25" s="73"/>
      <c r="B25" s="73"/>
      <c r="C25" s="381" t="s">
        <v>84</v>
      </c>
      <c r="D25" s="343"/>
      <c r="E25" s="343"/>
      <c r="F25" s="343"/>
      <c r="G25" s="343"/>
      <c r="H25" s="343"/>
      <c r="I25" s="343"/>
      <c r="J25" s="343"/>
      <c r="K25" s="71">
        <v>10851.8575483438</v>
      </c>
      <c r="L25" s="71">
        <v>11479.772926702601</v>
      </c>
      <c r="M25" s="71">
        <v>6450.6190132888833</v>
      </c>
      <c r="N25" s="71">
        <v>4947.2854321900113</v>
      </c>
      <c r="O25" s="71">
        <v>6636.0430307601937</v>
      </c>
      <c r="P25" s="71">
        <v>8053.883546519527</v>
      </c>
      <c r="Q25" s="71">
        <v>8759.0144080442133</v>
      </c>
      <c r="R25" s="71">
        <v>7627.7762888308189</v>
      </c>
      <c r="S25" s="71">
        <v>6190.4174982822979</v>
      </c>
      <c r="T25" s="71">
        <v>2035.1293603737802</v>
      </c>
      <c r="U25" s="71">
        <v>5113.3407546246872</v>
      </c>
      <c r="V25" s="71">
        <v>5956.0799354715646</v>
      </c>
      <c r="W25" s="71">
        <v>8116.8200441859781</v>
      </c>
      <c r="X25" s="71">
        <v>5187.4520816147633</v>
      </c>
      <c r="Y25" s="71">
        <v>9730.4626973264421</v>
      </c>
      <c r="Z25" s="71">
        <v>4943.4130269018551</v>
      </c>
      <c r="AA25" s="71">
        <v>2808.8613411128745</v>
      </c>
      <c r="AB25" s="71">
        <v>3557.0532132418425</v>
      </c>
      <c r="AC25" s="71">
        <v>4089.0391964274818</v>
      </c>
      <c r="AD25" s="71">
        <v>5633.030569318501</v>
      </c>
    </row>
    <row r="26" spans="1:30"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132.62388926062587</v>
      </c>
      <c r="AA26" s="211">
        <v>258.0445235745849</v>
      </c>
      <c r="AB26" s="211">
        <v>120.38413387357778</v>
      </c>
      <c r="AC26" s="211">
        <v>360.6134164643297</v>
      </c>
      <c r="AD26" s="211">
        <v>190.00696145336698</v>
      </c>
    </row>
    <row r="27" spans="1:30" s="31" customFormat="1" ht="18" customHeight="1" x14ac:dyDescent="0.2">
      <c r="A27" s="73"/>
      <c r="B27" s="73"/>
      <c r="C27" s="381" t="s">
        <v>85</v>
      </c>
      <c r="D27" s="381"/>
      <c r="E27" s="381"/>
      <c r="F27" s="381"/>
      <c r="G27" s="381"/>
      <c r="H27" s="381"/>
      <c r="I27" s="381"/>
      <c r="J27" s="381"/>
      <c r="K27" s="211">
        <v>59046.155567052105</v>
      </c>
      <c r="L27" s="211">
        <v>101704.71517343888</v>
      </c>
      <c r="M27" s="211">
        <v>65435.164376392248</v>
      </c>
      <c r="N27" s="211">
        <v>64072.807391265742</v>
      </c>
      <c r="O27" s="211">
        <v>51455.202101580115</v>
      </c>
      <c r="P27" s="211">
        <v>75745.204482364803</v>
      </c>
      <c r="Q27" s="211">
        <v>66282.973495506201</v>
      </c>
      <c r="R27" s="211">
        <v>58716.432436639043</v>
      </c>
      <c r="S27" s="211">
        <v>34642.257557785626</v>
      </c>
      <c r="T27" s="211">
        <v>25028.225840126564</v>
      </c>
      <c r="U27" s="211">
        <v>59341.664555942283</v>
      </c>
      <c r="V27" s="211">
        <v>130135.10393630975</v>
      </c>
      <c r="W27" s="211">
        <v>61167.342100015056</v>
      </c>
      <c r="X27" s="211">
        <v>52293.953129390291</v>
      </c>
      <c r="Y27" s="211">
        <v>91892.75730171024</v>
      </c>
      <c r="Z27" s="211">
        <v>70618.475440271097</v>
      </c>
      <c r="AA27" s="211">
        <v>76560.82385344716</v>
      </c>
      <c r="AB27" s="211">
        <v>121292.54407466413</v>
      </c>
      <c r="AC27" s="211">
        <v>60270.632602886806</v>
      </c>
      <c r="AD27" s="211">
        <v>65923.438428219742</v>
      </c>
    </row>
    <row r="28" spans="1:30" s="31" customFormat="1" ht="18" customHeight="1" x14ac:dyDescent="0.2">
      <c r="A28" s="74"/>
      <c r="B28" s="343" t="s">
        <v>86</v>
      </c>
      <c r="C28" s="343"/>
      <c r="D28" s="343"/>
      <c r="E28" s="343"/>
      <c r="F28" s="343"/>
      <c r="G28" s="343"/>
      <c r="H28" s="343"/>
      <c r="I28" s="343"/>
      <c r="J28" s="343"/>
      <c r="K28" s="71">
        <v>1046.37928382668</v>
      </c>
      <c r="L28" s="71">
        <v>2758.5644956214969</v>
      </c>
      <c r="M28" s="71">
        <v>2134.2924873846687</v>
      </c>
      <c r="N28" s="71">
        <v>1703.1054238687375</v>
      </c>
      <c r="O28" s="71">
        <v>941.55953293718107</v>
      </c>
      <c r="P28" s="71">
        <v>3268.8691982983751</v>
      </c>
      <c r="Q28" s="71">
        <v>971.90057989599609</v>
      </c>
      <c r="R28" s="71">
        <v>586.23186823028914</v>
      </c>
      <c r="S28" s="71">
        <v>565.4066220623107</v>
      </c>
      <c r="T28" s="71">
        <v>329.02324198749415</v>
      </c>
      <c r="U28" s="71">
        <v>373.98329469811335</v>
      </c>
      <c r="V28" s="71">
        <v>433.08615070484473</v>
      </c>
      <c r="W28" s="71">
        <v>1158.6939602106668</v>
      </c>
      <c r="X28" s="71">
        <v>687.38114104263718</v>
      </c>
      <c r="Y28" s="71">
        <v>490.79925927780556</v>
      </c>
      <c r="Z28" s="71">
        <v>502.34171634618394</v>
      </c>
      <c r="AA28" s="71">
        <v>4394.030005577245</v>
      </c>
      <c r="AB28" s="71">
        <v>705.87876488076574</v>
      </c>
      <c r="AC28" s="71">
        <v>179.09098451664858</v>
      </c>
      <c r="AD28" s="71">
        <v>555.5808669097255</v>
      </c>
    </row>
    <row r="29" spans="1:30" s="31" customFormat="1" ht="18" customHeight="1" x14ac:dyDescent="0.2">
      <c r="A29" s="383" t="s">
        <v>87</v>
      </c>
      <c r="B29" s="383"/>
      <c r="C29" s="383"/>
      <c r="D29" s="383"/>
      <c r="E29" s="383"/>
      <c r="F29" s="383"/>
      <c r="G29" s="383"/>
      <c r="H29" s="383"/>
      <c r="I29" s="383"/>
      <c r="J29" s="383"/>
      <c r="K29" s="188">
        <v>549067.04512087698</v>
      </c>
      <c r="L29" s="188">
        <v>704202.37818090653</v>
      </c>
      <c r="M29" s="188">
        <v>495542.24649258901</v>
      </c>
      <c r="N29" s="188">
        <v>525805.61265546584</v>
      </c>
      <c r="O29" s="188">
        <v>464899.79835183016</v>
      </c>
      <c r="P29" s="188">
        <v>497532.59953137022</v>
      </c>
      <c r="Q29" s="188">
        <v>578582.11789980531</v>
      </c>
      <c r="R29" s="188">
        <v>423535.78417504946</v>
      </c>
      <c r="S29" s="188">
        <v>364258.45560230146</v>
      </c>
      <c r="T29" s="188">
        <v>317088.51684767776</v>
      </c>
      <c r="U29" s="188">
        <v>371394.66411753715</v>
      </c>
      <c r="V29" s="188">
        <v>511984.88920415915</v>
      </c>
      <c r="W29" s="188">
        <v>442436.66892831743</v>
      </c>
      <c r="X29" s="188">
        <v>385573.79755789763</v>
      </c>
      <c r="Y29" s="188">
        <v>487538.21240393113</v>
      </c>
      <c r="Z29" s="188">
        <v>450259.80383090657</v>
      </c>
      <c r="AA29" s="188">
        <v>463307.34634690464</v>
      </c>
      <c r="AB29" s="188">
        <v>505619.64124339854</v>
      </c>
      <c r="AC29" s="188">
        <v>421332.81111287343</v>
      </c>
      <c r="AD29" s="188">
        <v>605742.18486179924</v>
      </c>
    </row>
    <row r="30" spans="1:30" s="31" customFormat="1" ht="18" customHeight="1" x14ac:dyDescent="0.2">
      <c r="A30" s="73"/>
      <c r="B30" s="381" t="s">
        <v>88</v>
      </c>
      <c r="C30" s="381"/>
      <c r="D30" s="381"/>
      <c r="E30" s="381"/>
      <c r="F30" s="381"/>
      <c r="G30" s="381"/>
      <c r="H30" s="381"/>
      <c r="I30" s="381"/>
      <c r="J30" s="381"/>
      <c r="K30" s="211">
        <v>471824.94162390404</v>
      </c>
      <c r="L30" s="211">
        <v>606820.79475654091</v>
      </c>
      <c r="M30" s="211">
        <v>387475.0138747273</v>
      </c>
      <c r="N30" s="211">
        <v>416381.55008968187</v>
      </c>
      <c r="O30" s="211">
        <v>327848.02701821778</v>
      </c>
      <c r="P30" s="211">
        <v>340372.57301029452</v>
      </c>
      <c r="Q30" s="211">
        <v>414862.68827572581</v>
      </c>
      <c r="R30" s="211">
        <v>304436.52784579218</v>
      </c>
      <c r="S30" s="211">
        <v>224729.29305052274</v>
      </c>
      <c r="T30" s="211">
        <v>224381.03383388746</v>
      </c>
      <c r="U30" s="211">
        <v>232136.66308754147</v>
      </c>
      <c r="V30" s="211">
        <v>269323.18967678247</v>
      </c>
      <c r="W30" s="211">
        <v>245206.60274025123</v>
      </c>
      <c r="X30" s="211">
        <v>249173.22850795774</v>
      </c>
      <c r="Y30" s="211">
        <v>279367.38212480739</v>
      </c>
      <c r="Z30" s="211">
        <v>244928.12846065586</v>
      </c>
      <c r="AA30" s="211">
        <v>278024.77494530013</v>
      </c>
      <c r="AB30" s="211">
        <v>335658.52188366349</v>
      </c>
      <c r="AC30" s="211">
        <v>245052.2709769519</v>
      </c>
      <c r="AD30" s="211">
        <v>370367.65764232964</v>
      </c>
    </row>
    <row r="31" spans="1:30" s="31" customFormat="1" ht="18" customHeight="1" x14ac:dyDescent="0.2">
      <c r="A31" s="73"/>
      <c r="B31" s="73"/>
      <c r="C31" s="381" t="s">
        <v>89</v>
      </c>
      <c r="D31" s="381"/>
      <c r="E31" s="381"/>
      <c r="F31" s="381"/>
      <c r="G31" s="381"/>
      <c r="H31" s="381"/>
      <c r="I31" s="381"/>
      <c r="J31" s="381"/>
      <c r="K31" s="211">
        <v>128869.82480180101</v>
      </c>
      <c r="L31" s="211">
        <v>186945.97159792983</v>
      </c>
      <c r="M31" s="211">
        <v>121070.40035029763</v>
      </c>
      <c r="N31" s="211">
        <v>142642.828275787</v>
      </c>
      <c r="O31" s="211">
        <v>109798.30420407464</v>
      </c>
      <c r="P31" s="211">
        <v>107201.02862523097</v>
      </c>
      <c r="Q31" s="211">
        <v>133237.25091411834</v>
      </c>
      <c r="R31" s="211">
        <v>72878.706393790912</v>
      </c>
      <c r="S31" s="211">
        <v>63796.283347063683</v>
      </c>
      <c r="T31" s="211">
        <v>50362.669507993865</v>
      </c>
      <c r="U31" s="211">
        <v>70970.938951934033</v>
      </c>
      <c r="V31" s="211">
        <v>72382.635296070206</v>
      </c>
      <c r="W31" s="211">
        <v>71741.098619574914</v>
      </c>
      <c r="X31" s="211">
        <v>55312.375752491353</v>
      </c>
      <c r="Y31" s="211">
        <v>55633.950859933386</v>
      </c>
      <c r="Z31" s="211">
        <v>70419.118141230851</v>
      </c>
      <c r="AA31" s="211">
        <v>92178.70623364365</v>
      </c>
      <c r="AB31" s="211">
        <v>61202.145182332504</v>
      </c>
      <c r="AC31" s="211">
        <v>52501.198843324106</v>
      </c>
      <c r="AD31" s="211">
        <v>90744.652943192807</v>
      </c>
    </row>
    <row r="32" spans="1:30" s="31" customFormat="1" ht="18" customHeight="1" x14ac:dyDescent="0.2">
      <c r="A32" s="73"/>
      <c r="B32" s="73"/>
      <c r="C32" s="73"/>
      <c r="D32" s="390" t="s">
        <v>90</v>
      </c>
      <c r="E32" s="390"/>
      <c r="F32" s="390"/>
      <c r="G32" s="390"/>
      <c r="H32" s="390"/>
      <c r="I32" s="390"/>
      <c r="J32" s="390"/>
      <c r="K32" s="68">
        <v>8654.0499727345195</v>
      </c>
      <c r="L32" s="68">
        <v>5733.4933113662009</v>
      </c>
      <c r="M32" s="68">
        <v>4471.1117176863199</v>
      </c>
      <c r="N32" s="68">
        <v>4805.6028397417576</v>
      </c>
      <c r="O32" s="68">
        <v>4732.0736514746113</v>
      </c>
      <c r="P32" s="68">
        <v>3712.1003542737035</v>
      </c>
      <c r="Q32" s="68">
        <v>10463.826170555263</v>
      </c>
      <c r="R32" s="68">
        <v>2678.6517625821775</v>
      </c>
      <c r="S32" s="68">
        <v>2355.439168405273</v>
      </c>
      <c r="T32" s="68">
        <v>2935.4377258678478</v>
      </c>
      <c r="U32" s="68">
        <v>2123.465085866078</v>
      </c>
      <c r="V32" s="68">
        <v>2897.2069281304216</v>
      </c>
      <c r="W32" s="68">
        <v>2603.7085143673235</v>
      </c>
      <c r="X32" s="68">
        <v>2314.814759682039</v>
      </c>
      <c r="Y32" s="68">
        <v>2439.6313475815487</v>
      </c>
      <c r="Z32" s="68">
        <v>5943.0306559840346</v>
      </c>
      <c r="AA32" s="68">
        <v>9841.5584023338633</v>
      </c>
      <c r="AB32" s="68">
        <v>9140.8836383707367</v>
      </c>
      <c r="AC32" s="68">
        <v>4950.0330348100888</v>
      </c>
      <c r="AD32" s="68">
        <v>12051.915876725563</v>
      </c>
    </row>
    <row r="33" spans="1:30" s="31" customFormat="1" ht="18" customHeight="1" x14ac:dyDescent="0.2">
      <c r="A33" s="73"/>
      <c r="B33" s="73"/>
      <c r="C33" s="73"/>
      <c r="D33" s="382" t="s">
        <v>91</v>
      </c>
      <c r="E33" s="382"/>
      <c r="F33" s="382"/>
      <c r="G33" s="382"/>
      <c r="H33" s="382"/>
      <c r="I33" s="382"/>
      <c r="J33" s="382"/>
      <c r="K33" s="69">
        <v>45470.574252995706</v>
      </c>
      <c r="L33" s="69">
        <v>78525.098046238432</v>
      </c>
      <c r="M33" s="69">
        <v>43433.834055532847</v>
      </c>
      <c r="N33" s="69">
        <v>58114.856075545358</v>
      </c>
      <c r="O33" s="69">
        <v>34245.122222179161</v>
      </c>
      <c r="P33" s="69">
        <v>36549.219171854304</v>
      </c>
      <c r="Q33" s="69">
        <v>43001.173456842531</v>
      </c>
      <c r="R33" s="69">
        <v>22591.941943064699</v>
      </c>
      <c r="S33" s="69">
        <v>19372.367848759393</v>
      </c>
      <c r="T33" s="69">
        <v>12216.630625725906</v>
      </c>
      <c r="U33" s="69">
        <v>30872.779443761985</v>
      </c>
      <c r="V33" s="69">
        <v>15525.382248245489</v>
      </c>
      <c r="W33" s="69">
        <v>12792.083019036885</v>
      </c>
      <c r="X33" s="69">
        <v>9569.7517757733749</v>
      </c>
      <c r="Y33" s="69">
        <v>13613.149949996259</v>
      </c>
      <c r="Z33" s="69">
        <v>17534.49209997019</v>
      </c>
      <c r="AA33" s="69">
        <v>18951.498562786906</v>
      </c>
      <c r="AB33" s="69">
        <v>15286.716139593813</v>
      </c>
      <c r="AC33" s="69">
        <v>10068.641467075</v>
      </c>
      <c r="AD33" s="69">
        <v>14304.126639867876</v>
      </c>
    </row>
    <row r="34" spans="1:30" s="31" customFormat="1" ht="18" customHeight="1" x14ac:dyDescent="0.2">
      <c r="A34" s="73"/>
      <c r="B34" s="73"/>
      <c r="C34" s="73"/>
      <c r="D34" s="382" t="s">
        <v>92</v>
      </c>
      <c r="E34" s="382"/>
      <c r="F34" s="382"/>
      <c r="G34" s="382"/>
      <c r="H34" s="382"/>
      <c r="I34" s="382"/>
      <c r="J34" s="382"/>
      <c r="K34" s="69">
        <v>22845.383744179897</v>
      </c>
      <c r="L34" s="69">
        <v>42597.016529073619</v>
      </c>
      <c r="M34" s="69">
        <v>23532.009575400974</v>
      </c>
      <c r="N34" s="69">
        <v>26584.392227024906</v>
      </c>
      <c r="O34" s="69">
        <v>22093.187265157987</v>
      </c>
      <c r="P34" s="69">
        <v>28653.14790929755</v>
      </c>
      <c r="Q34" s="69">
        <v>42985.2835465198</v>
      </c>
      <c r="R34" s="69">
        <v>12878.752882322367</v>
      </c>
      <c r="S34" s="69">
        <v>14672.178397525729</v>
      </c>
      <c r="T34" s="69">
        <v>10645.677755473764</v>
      </c>
      <c r="U34" s="69">
        <v>16913.396628952181</v>
      </c>
      <c r="V34" s="69">
        <v>19455.864377055681</v>
      </c>
      <c r="W34" s="69">
        <v>21863.285160280662</v>
      </c>
      <c r="X34" s="69">
        <v>16635.906199107427</v>
      </c>
      <c r="Y34" s="69">
        <v>12917.309168027727</v>
      </c>
      <c r="Z34" s="69">
        <v>12335.223397495736</v>
      </c>
      <c r="AA34" s="69">
        <v>13931.567900810845</v>
      </c>
      <c r="AB34" s="69">
        <v>15725.248309645371</v>
      </c>
      <c r="AC34" s="69">
        <v>17814.835509218025</v>
      </c>
      <c r="AD34" s="69">
        <v>18158.459044591942</v>
      </c>
    </row>
    <row r="35" spans="1:30" s="31" customFormat="1" ht="18" customHeight="1" x14ac:dyDescent="0.2">
      <c r="A35" s="73"/>
      <c r="B35" s="73"/>
      <c r="C35" s="73"/>
      <c r="D35" s="382" t="s">
        <v>509</v>
      </c>
      <c r="E35" s="382"/>
      <c r="F35" s="382"/>
      <c r="G35" s="382"/>
      <c r="H35" s="382"/>
      <c r="I35" s="382"/>
      <c r="J35" s="382"/>
      <c r="K35" s="69"/>
      <c r="L35" s="69"/>
      <c r="M35" s="69"/>
      <c r="N35" s="69"/>
      <c r="O35" s="69"/>
      <c r="P35" s="69"/>
      <c r="Q35" s="69">
        <v>72.03633902104589</v>
      </c>
      <c r="R35" s="69">
        <v>38.610110083740189</v>
      </c>
      <c r="S35" s="69">
        <v>97.179108052048704</v>
      </c>
      <c r="T35" s="69">
        <v>62.537861070358204</v>
      </c>
      <c r="U35" s="69">
        <v>74.480463684336172</v>
      </c>
      <c r="V35" s="69">
        <v>101.21946331362244</v>
      </c>
      <c r="W35" s="69">
        <v>87.687454819132427</v>
      </c>
      <c r="X35" s="69">
        <v>49.454034976859816</v>
      </c>
      <c r="Y35" s="69">
        <v>108.71623990591956</v>
      </c>
      <c r="Z35" s="69"/>
      <c r="AA35" s="69"/>
      <c r="AB35" s="69"/>
      <c r="AC35" s="69"/>
      <c r="AD35" s="69"/>
    </row>
    <row r="36" spans="1:30" s="31" customFormat="1" ht="18" customHeight="1" x14ac:dyDescent="0.2">
      <c r="A36" s="73"/>
      <c r="B36" s="73"/>
      <c r="C36" s="73"/>
      <c r="D36" s="380" t="s">
        <v>93</v>
      </c>
      <c r="E36" s="380"/>
      <c r="F36" s="380"/>
      <c r="G36" s="380"/>
      <c r="H36" s="380"/>
      <c r="I36" s="380"/>
      <c r="J36" s="380"/>
      <c r="K36" s="70">
        <v>51899.816831890799</v>
      </c>
      <c r="L36" s="70">
        <v>60090.381619240339</v>
      </c>
      <c r="M36" s="70">
        <v>49633.445001677137</v>
      </c>
      <c r="N36" s="70">
        <v>53137.977133474902</v>
      </c>
      <c r="O36" s="70">
        <v>48727.921065262926</v>
      </c>
      <c r="P36" s="70">
        <v>38286.561189805536</v>
      </c>
      <c r="Q36" s="70">
        <v>36714.931401180038</v>
      </c>
      <c r="R36" s="70">
        <v>34690.749695738123</v>
      </c>
      <c r="S36" s="70">
        <v>27299.118824321336</v>
      </c>
      <c r="T36" s="70">
        <v>24502.385539856037</v>
      </c>
      <c r="U36" s="70">
        <v>20986.817329669382</v>
      </c>
      <c r="V36" s="70">
        <v>34402.962279325067</v>
      </c>
      <c r="W36" s="70">
        <v>34394.334471071023</v>
      </c>
      <c r="X36" s="70">
        <v>26742.448982951668</v>
      </c>
      <c r="Y36" s="70">
        <v>26555.144154421956</v>
      </c>
      <c r="Z36" s="70">
        <v>34606.371987780891</v>
      </c>
      <c r="AA36" s="70">
        <v>49454.081367712031</v>
      </c>
      <c r="AB36" s="70">
        <v>21049.297094722584</v>
      </c>
      <c r="AC36" s="70">
        <v>19667.688832220992</v>
      </c>
      <c r="AD36" s="70">
        <v>46230.151382007425</v>
      </c>
    </row>
    <row r="37" spans="1:30" s="31" customFormat="1" ht="18" customHeight="1" x14ac:dyDescent="0.2">
      <c r="A37" s="73"/>
      <c r="B37" s="73"/>
      <c r="C37" s="381" t="s">
        <v>94</v>
      </c>
      <c r="D37" s="381"/>
      <c r="E37" s="381"/>
      <c r="F37" s="381"/>
      <c r="G37" s="381"/>
      <c r="H37" s="381"/>
      <c r="I37" s="381"/>
      <c r="J37" s="381"/>
      <c r="K37" s="211">
        <v>342955.11682210304</v>
      </c>
      <c r="L37" s="211">
        <v>419874.82315861102</v>
      </c>
      <c r="M37" s="211">
        <v>266404.61352442903</v>
      </c>
      <c r="N37" s="211">
        <v>273738.72181389423</v>
      </c>
      <c r="O37" s="211">
        <v>218049.72281414509</v>
      </c>
      <c r="P37" s="211">
        <v>233171.54438506378</v>
      </c>
      <c r="Q37" s="211">
        <v>281625.43736160622</v>
      </c>
      <c r="R37" s="211">
        <v>231557.82145200126</v>
      </c>
      <c r="S37" s="211">
        <v>160933.00970345858</v>
      </c>
      <c r="T37" s="211">
        <v>174018.36432589323</v>
      </c>
      <c r="U37" s="211">
        <v>161165.72413560722</v>
      </c>
      <c r="V37" s="211">
        <v>196940.55438071213</v>
      </c>
      <c r="W37" s="211">
        <v>173465.5041206766</v>
      </c>
      <c r="X37" s="211">
        <v>193860.85275546697</v>
      </c>
      <c r="Y37" s="211">
        <v>223733.43126487394</v>
      </c>
      <c r="Z37" s="211">
        <v>174509.0103194252</v>
      </c>
      <c r="AA37" s="211">
        <v>185846.06871165644</v>
      </c>
      <c r="AB37" s="211">
        <v>274456.37670133094</v>
      </c>
      <c r="AC37" s="211">
        <v>192551.07213362781</v>
      </c>
      <c r="AD37" s="211">
        <v>279623.00470536912</v>
      </c>
    </row>
    <row r="38" spans="1:30" s="31" customFormat="1" ht="18" customHeight="1" x14ac:dyDescent="0.2">
      <c r="A38" s="73"/>
      <c r="B38" s="73"/>
      <c r="C38" s="73"/>
      <c r="D38" s="390" t="s">
        <v>95</v>
      </c>
      <c r="E38" s="390"/>
      <c r="F38" s="390"/>
      <c r="G38" s="390"/>
      <c r="H38" s="390"/>
      <c r="I38" s="390"/>
      <c r="J38" s="390"/>
      <c r="K38" s="68">
        <v>6542.4153022273804</v>
      </c>
      <c r="L38" s="68">
        <v>5944.2524310094732</v>
      </c>
      <c r="M38" s="68">
        <v>5474.9197678211394</v>
      </c>
      <c r="N38" s="68">
        <v>7826.077482583778</v>
      </c>
      <c r="O38" s="68">
        <v>5623.6183799793798</v>
      </c>
      <c r="P38" s="68">
        <v>9139.1059182648441</v>
      </c>
      <c r="Q38" s="68">
        <v>13478.02829882368</v>
      </c>
      <c r="R38" s="68">
        <v>3606.4716050781731</v>
      </c>
      <c r="S38" s="68">
        <v>4997.3580269863241</v>
      </c>
      <c r="T38" s="68">
        <v>2452.8705270899291</v>
      </c>
      <c r="U38" s="68">
        <v>7902.771965187746</v>
      </c>
      <c r="V38" s="68">
        <v>3623.1606781410155</v>
      </c>
      <c r="W38" s="68">
        <v>2715.5893570026237</v>
      </c>
      <c r="X38" s="68">
        <v>4591.5597320391535</v>
      </c>
      <c r="Y38" s="68">
        <v>4082.2317874559426</v>
      </c>
      <c r="Z38" s="68">
        <v>5116.2264193408982</v>
      </c>
      <c r="AA38" s="68">
        <v>2130.1970483504228</v>
      </c>
      <c r="AB38" s="68">
        <v>2045.3101157845879</v>
      </c>
      <c r="AC38" s="68">
        <v>7289.9826498615157</v>
      </c>
      <c r="AD38" s="68">
        <v>2862.5362064130127</v>
      </c>
    </row>
    <row r="39" spans="1:30" s="31" customFormat="1" ht="18" customHeight="1" x14ac:dyDescent="0.2">
      <c r="A39" s="73"/>
      <c r="B39" s="73"/>
      <c r="C39" s="73"/>
      <c r="D39" s="382" t="s">
        <v>96</v>
      </c>
      <c r="E39" s="382"/>
      <c r="F39" s="382"/>
      <c r="G39" s="382"/>
      <c r="H39" s="382"/>
      <c r="I39" s="382"/>
      <c r="J39" s="382"/>
      <c r="K39" s="69">
        <v>199217.66243935199</v>
      </c>
      <c r="L39" s="69">
        <v>240437.8861410075</v>
      </c>
      <c r="M39" s="69">
        <v>145366.96716069148</v>
      </c>
      <c r="N39" s="69">
        <v>132821.21609025475</v>
      </c>
      <c r="O39" s="69">
        <v>124665.17449658252</v>
      </c>
      <c r="P39" s="69">
        <v>129060.94733922117</v>
      </c>
      <c r="Q39" s="69">
        <v>140332.06557602188</v>
      </c>
      <c r="R39" s="69">
        <v>138250.30928327498</v>
      </c>
      <c r="S39" s="69">
        <v>88837.397521589504</v>
      </c>
      <c r="T39" s="69">
        <v>94418.772995879684</v>
      </c>
      <c r="U39" s="69">
        <v>89709.150032649733</v>
      </c>
      <c r="V39" s="69">
        <v>103159.79686810674</v>
      </c>
      <c r="W39" s="69">
        <v>105964.75681990261</v>
      </c>
      <c r="X39" s="69">
        <v>115239.07023759137</v>
      </c>
      <c r="Y39" s="69">
        <v>128931.51769598035</v>
      </c>
      <c r="Z39" s="69">
        <v>103108.47458129787</v>
      </c>
      <c r="AA39" s="69">
        <v>113039.44445493157</v>
      </c>
      <c r="AB39" s="69">
        <v>132539.13840836962</v>
      </c>
      <c r="AC39" s="69">
        <v>107292.42194877927</v>
      </c>
      <c r="AD39" s="69">
        <v>182201.30607958618</v>
      </c>
    </row>
    <row r="40" spans="1:30" s="31" customFormat="1" ht="18" customHeight="1" x14ac:dyDescent="0.2">
      <c r="A40" s="73"/>
      <c r="B40" s="73"/>
      <c r="C40" s="73"/>
      <c r="D40" s="382" t="s">
        <v>97</v>
      </c>
      <c r="E40" s="382"/>
      <c r="F40" s="382"/>
      <c r="G40" s="382"/>
      <c r="H40" s="382"/>
      <c r="I40" s="382"/>
      <c r="J40" s="382"/>
      <c r="K40" s="69">
        <v>68564.800961982095</v>
      </c>
      <c r="L40" s="69">
        <v>50030.658476746474</v>
      </c>
      <c r="M40" s="69">
        <v>37483.410250041779</v>
      </c>
      <c r="N40" s="69">
        <v>42198.492386726481</v>
      </c>
      <c r="O40" s="69">
        <v>27223.009499106072</v>
      </c>
      <c r="P40" s="69">
        <v>33476.887816869406</v>
      </c>
      <c r="Q40" s="69">
        <v>55249.642314847129</v>
      </c>
      <c r="R40" s="69">
        <v>33694.433725072427</v>
      </c>
      <c r="S40" s="69">
        <v>28468.523786167443</v>
      </c>
      <c r="T40" s="69">
        <v>45772.650068815405</v>
      </c>
      <c r="U40" s="69">
        <v>24232.781449925784</v>
      </c>
      <c r="V40" s="69">
        <v>29378.072884588288</v>
      </c>
      <c r="W40" s="69">
        <v>30927.15044303688</v>
      </c>
      <c r="X40" s="69">
        <v>31245.868717197256</v>
      </c>
      <c r="Y40" s="69">
        <v>39045.500021702392</v>
      </c>
      <c r="Z40" s="69">
        <v>37208.019744204095</v>
      </c>
      <c r="AA40" s="69">
        <v>30293.002093611911</v>
      </c>
      <c r="AB40" s="69">
        <v>105658.42111469324</v>
      </c>
      <c r="AC40" s="69">
        <v>41673.318720335781</v>
      </c>
      <c r="AD40" s="69">
        <v>32597.726197376211</v>
      </c>
    </row>
    <row r="41" spans="1:30" s="31" customFormat="1" ht="18" customHeight="1" x14ac:dyDescent="0.2">
      <c r="A41" s="73"/>
      <c r="B41" s="73"/>
      <c r="C41" s="73"/>
      <c r="D41" s="382" t="s">
        <v>509</v>
      </c>
      <c r="E41" s="382"/>
      <c r="F41" s="382"/>
      <c r="G41" s="382"/>
      <c r="H41" s="382"/>
      <c r="I41" s="382"/>
      <c r="J41" s="382"/>
      <c r="K41" s="69"/>
      <c r="L41" s="69"/>
      <c r="M41" s="69"/>
      <c r="N41" s="69"/>
      <c r="O41" s="69"/>
      <c r="P41" s="69"/>
      <c r="Q41" s="69">
        <v>378.69345364760522</v>
      </c>
      <c r="R41" s="69">
        <v>257.49011632467585</v>
      </c>
      <c r="S41" s="69">
        <v>766.33421755416589</v>
      </c>
      <c r="T41" s="69">
        <v>120.5741153372603</v>
      </c>
      <c r="U41" s="69">
        <v>325.2696689012879</v>
      </c>
      <c r="V41" s="69">
        <v>160.05337243373549</v>
      </c>
      <c r="W41" s="69">
        <v>407.37772896942118</v>
      </c>
      <c r="X41" s="69">
        <v>135.70740501608537</v>
      </c>
      <c r="Y41" s="69">
        <v>297.81389416260976</v>
      </c>
      <c r="Z41" s="69"/>
      <c r="AA41" s="69"/>
      <c r="AB41" s="69"/>
      <c r="AC41" s="69"/>
      <c r="AD41" s="69"/>
    </row>
    <row r="42" spans="1:30" s="31" customFormat="1" ht="18" customHeight="1" x14ac:dyDescent="0.2">
      <c r="A42" s="73"/>
      <c r="B42" s="73"/>
      <c r="C42" s="73"/>
      <c r="D42" s="380" t="s">
        <v>98</v>
      </c>
      <c r="E42" s="380"/>
      <c r="F42" s="380"/>
      <c r="G42" s="380"/>
      <c r="H42" s="380"/>
      <c r="I42" s="380"/>
      <c r="J42" s="380"/>
      <c r="K42" s="70">
        <v>68630.238118541907</v>
      </c>
      <c r="L42" s="70">
        <v>123462.0261098476</v>
      </c>
      <c r="M42" s="70">
        <v>78079.316345875923</v>
      </c>
      <c r="N42" s="70">
        <v>90892.935854329684</v>
      </c>
      <c r="O42" s="70">
        <v>60537.920438476402</v>
      </c>
      <c r="P42" s="70">
        <v>61494.603310707505</v>
      </c>
      <c r="Q42" s="70">
        <v>72187.007718266046</v>
      </c>
      <c r="R42" s="70">
        <v>55749.116722250699</v>
      </c>
      <c r="S42" s="70">
        <v>37863.396151161571</v>
      </c>
      <c r="T42" s="70">
        <v>31253.496618771278</v>
      </c>
      <c r="U42" s="70">
        <v>38995.751018942661</v>
      </c>
      <c r="V42" s="70">
        <v>60619.470577442553</v>
      </c>
      <c r="W42" s="70">
        <v>33450.629771765482</v>
      </c>
      <c r="X42" s="70">
        <v>42648.646663623193</v>
      </c>
      <c r="Y42" s="70">
        <v>51376.367865572734</v>
      </c>
      <c r="Z42" s="70">
        <v>29076.289574582363</v>
      </c>
      <c r="AA42" s="70">
        <v>40383.425114762533</v>
      </c>
      <c r="AB42" s="70">
        <v>34213.507062483521</v>
      </c>
      <c r="AC42" s="70">
        <v>36295.348814651225</v>
      </c>
      <c r="AD42" s="70">
        <v>61961.436221993732</v>
      </c>
    </row>
    <row r="43" spans="1:30" s="31" customFormat="1" ht="18" customHeight="1" x14ac:dyDescent="0.2">
      <c r="A43" s="73"/>
      <c r="B43" s="381" t="s">
        <v>365</v>
      </c>
      <c r="C43" s="381"/>
      <c r="D43" s="381"/>
      <c r="E43" s="381"/>
      <c r="F43" s="381"/>
      <c r="G43" s="381"/>
      <c r="H43" s="381"/>
      <c r="I43" s="381"/>
      <c r="J43" s="381"/>
      <c r="K43" s="211">
        <v>77242.117479271197</v>
      </c>
      <c r="L43" s="211">
        <v>97381.565516376853</v>
      </c>
      <c r="M43" s="211">
        <v>108067.23261786168</v>
      </c>
      <c r="N43" s="211">
        <v>109424.06256578342</v>
      </c>
      <c r="O43" s="211">
        <v>137051.77133361096</v>
      </c>
      <c r="P43" s="211">
        <v>157160.02652107546</v>
      </c>
      <c r="Q43" s="211">
        <v>163719.42962408118</v>
      </c>
      <c r="R43" s="211">
        <v>119099.25632925727</v>
      </c>
      <c r="S43" s="211">
        <v>139529.1625517784</v>
      </c>
      <c r="T43" s="211">
        <v>92707.483013790363</v>
      </c>
      <c r="U43" s="211">
        <v>139258.00102999643</v>
      </c>
      <c r="V43" s="211">
        <v>242661.69952737604</v>
      </c>
      <c r="W43" s="211">
        <v>197230.06618806516</v>
      </c>
      <c r="X43" s="211">
        <v>136400.56904993937</v>
      </c>
      <c r="Y43" s="211">
        <v>208170.8302791233</v>
      </c>
      <c r="Z43" s="211">
        <v>205331.6753702501</v>
      </c>
      <c r="AA43" s="211">
        <v>185282.57140160454</v>
      </c>
      <c r="AB43" s="211">
        <v>169961.11935973505</v>
      </c>
      <c r="AC43" s="211">
        <v>176280.54012982099</v>
      </c>
      <c r="AD43" s="211">
        <v>235374.52721946963</v>
      </c>
    </row>
    <row r="44" spans="1:30" s="31" customFormat="1" ht="18" customHeight="1" x14ac:dyDescent="0.2">
      <c r="A44" s="73"/>
      <c r="B44" s="105"/>
      <c r="C44" s="384" t="s">
        <v>366</v>
      </c>
      <c r="D44" s="385"/>
      <c r="E44" s="385"/>
      <c r="F44" s="385"/>
      <c r="G44" s="385"/>
      <c r="H44" s="385"/>
      <c r="I44" s="385"/>
      <c r="J44" s="386"/>
      <c r="K44" s="211">
        <v>101962.51345796222</v>
      </c>
      <c r="L44" s="211"/>
      <c r="M44" s="211"/>
      <c r="N44" s="211"/>
      <c r="O44" s="211"/>
      <c r="P44" s="211">
        <v>147310.39610828823</v>
      </c>
      <c r="Q44" s="211">
        <v>151314.6230477175</v>
      </c>
      <c r="R44" s="211">
        <v>113592.52504847787</v>
      </c>
      <c r="S44" s="211">
        <v>133886.54031271578</v>
      </c>
      <c r="T44" s="211">
        <v>89234.173394785917</v>
      </c>
      <c r="U44" s="211">
        <v>134942.92644967482</v>
      </c>
      <c r="V44" s="211">
        <v>191424.20745145471</v>
      </c>
      <c r="W44" s="211">
        <v>191767.20515305095</v>
      </c>
      <c r="X44" s="211">
        <v>122012.48308522344</v>
      </c>
      <c r="Y44" s="211">
        <v>176980.56902547803</v>
      </c>
      <c r="Z44" s="211">
        <v>191779.88046999098</v>
      </c>
      <c r="AA44" s="211">
        <v>160942.12703247671</v>
      </c>
      <c r="AB44" s="211">
        <v>163634.50908212803</v>
      </c>
      <c r="AC44" s="211">
        <v>167687.37041081514</v>
      </c>
      <c r="AD44" s="211">
        <v>227182.95454177182</v>
      </c>
    </row>
    <row r="45" spans="1:30" s="31" customFormat="1" ht="18" customHeight="1" x14ac:dyDescent="0.2">
      <c r="A45" s="73"/>
      <c r="B45" s="73"/>
      <c r="C45" s="216"/>
      <c r="D45" s="373" t="s">
        <v>99</v>
      </c>
      <c r="E45" s="374"/>
      <c r="F45" s="374"/>
      <c r="G45" s="374"/>
      <c r="H45" s="374"/>
      <c r="I45" s="374"/>
      <c r="J45" s="375"/>
      <c r="K45" s="68">
        <v>21846.572239544697</v>
      </c>
      <c r="L45" s="68">
        <v>32766.229114808113</v>
      </c>
      <c r="M45" s="68">
        <v>16856.676465756478</v>
      </c>
      <c r="N45" s="68">
        <v>16762.488857971133</v>
      </c>
      <c r="O45" s="68">
        <v>17418.513959823362</v>
      </c>
      <c r="P45" s="68">
        <v>21321.575241416882</v>
      </c>
      <c r="Q45" s="68">
        <v>32729.126993803726</v>
      </c>
      <c r="R45" s="68">
        <v>16720.501183787557</v>
      </c>
      <c r="S45" s="68">
        <v>17382.35852608057</v>
      </c>
      <c r="T45" s="68">
        <v>13129.362064491412</v>
      </c>
      <c r="U45" s="68">
        <v>12829.901619432081</v>
      </c>
      <c r="V45" s="68">
        <v>14454.793358712659</v>
      </c>
      <c r="W45" s="68">
        <v>14497.249093210816</v>
      </c>
      <c r="X45" s="68">
        <v>14962.899576897207</v>
      </c>
      <c r="Y45" s="68">
        <v>17241.63415695506</v>
      </c>
      <c r="Z45" s="68">
        <v>22252.95015542534</v>
      </c>
      <c r="AA45" s="68">
        <v>14641.63228795744</v>
      </c>
      <c r="AB45" s="68">
        <v>11827.99656284105</v>
      </c>
      <c r="AC45" s="68">
        <v>11347.947046694078</v>
      </c>
      <c r="AD45" s="68">
        <v>12903.440653142627</v>
      </c>
    </row>
    <row r="46" spans="1:30" s="31" customFormat="1" ht="18" customHeight="1" x14ac:dyDescent="0.2">
      <c r="A46" s="73"/>
      <c r="B46" s="73"/>
      <c r="C46" s="216"/>
      <c r="D46" s="376" t="s">
        <v>100</v>
      </c>
      <c r="E46" s="377"/>
      <c r="F46" s="377"/>
      <c r="G46" s="377"/>
      <c r="H46" s="377"/>
      <c r="I46" s="377"/>
      <c r="J46" s="378"/>
      <c r="K46" s="69">
        <v>7831.0798529062195</v>
      </c>
      <c r="L46" s="69">
        <v>14641.643237048047</v>
      </c>
      <c r="M46" s="69">
        <v>9599.1308870485136</v>
      </c>
      <c r="N46" s="69">
        <v>15379.193055129594</v>
      </c>
      <c r="O46" s="69">
        <v>9261.4793749488908</v>
      </c>
      <c r="P46" s="69">
        <v>6404.1217179378255</v>
      </c>
      <c r="Q46" s="69">
        <v>13483.983695779254</v>
      </c>
      <c r="R46" s="69">
        <v>8056.9373988606594</v>
      </c>
      <c r="S46" s="69">
        <v>24156.961995395057</v>
      </c>
      <c r="T46" s="69">
        <v>5317.5922685442183</v>
      </c>
      <c r="U46" s="69">
        <v>13924.170165095598</v>
      </c>
      <c r="V46" s="69">
        <v>16263.718081059129</v>
      </c>
      <c r="W46" s="69">
        <v>43738.45167183561</v>
      </c>
      <c r="X46" s="69">
        <v>5444.7963309999222</v>
      </c>
      <c r="Y46" s="69">
        <v>42372.299838113286</v>
      </c>
      <c r="Z46" s="69">
        <v>7218.7477369899843</v>
      </c>
      <c r="AA46" s="69">
        <v>30310.600737912395</v>
      </c>
      <c r="AB46" s="69">
        <v>56844.15622765533</v>
      </c>
      <c r="AC46" s="69">
        <v>31470.191882526629</v>
      </c>
      <c r="AD46" s="69">
        <v>25140.702464865539</v>
      </c>
    </row>
    <row r="47" spans="1:30" s="31" customFormat="1" ht="18" customHeight="1" x14ac:dyDescent="0.2">
      <c r="A47" s="73"/>
      <c r="B47" s="73"/>
      <c r="C47" s="216"/>
      <c r="D47" s="376" t="s">
        <v>101</v>
      </c>
      <c r="E47" s="377"/>
      <c r="F47" s="377"/>
      <c r="G47" s="377"/>
      <c r="H47" s="377"/>
      <c r="I47" s="377"/>
      <c r="J47" s="378"/>
      <c r="K47" s="69">
        <v>72284.8613655113</v>
      </c>
      <c r="L47" s="69">
        <v>33644.168263462336</v>
      </c>
      <c r="M47" s="69">
        <v>71090.114493374698</v>
      </c>
      <c r="N47" s="69">
        <v>66586.109256927492</v>
      </c>
      <c r="O47" s="69">
        <v>105576.83385216948</v>
      </c>
      <c r="P47" s="69">
        <v>120929.59241782315</v>
      </c>
      <c r="Q47" s="69">
        <v>106681.92393641744</v>
      </c>
      <c r="R47" s="69">
        <v>90042.064588624024</v>
      </c>
      <c r="S47" s="69">
        <v>92844.939715667831</v>
      </c>
      <c r="T47" s="69">
        <v>71666.472312436279</v>
      </c>
      <c r="U47" s="69">
        <v>111613.37345581308</v>
      </c>
      <c r="V47" s="69">
        <v>162676.46643413501</v>
      </c>
      <c r="W47" s="69">
        <v>135202.9549837118</v>
      </c>
      <c r="X47" s="69">
        <v>104574.91180325828</v>
      </c>
      <c r="Y47" s="69">
        <v>120407.97690909571</v>
      </c>
      <c r="Z47" s="69">
        <v>165884.7605921106</v>
      </c>
      <c r="AA47" s="69">
        <v>120820.00284010469</v>
      </c>
      <c r="AB47" s="69">
        <v>96538.646650024457</v>
      </c>
      <c r="AC47" s="69">
        <v>126323.86676875022</v>
      </c>
      <c r="AD47" s="69">
        <v>195091.20102832568</v>
      </c>
    </row>
    <row r="48" spans="1:30" s="31" customFormat="1" ht="18" customHeight="1" x14ac:dyDescent="0.2">
      <c r="A48" s="73"/>
      <c r="B48" s="73"/>
      <c r="C48" s="217"/>
      <c r="D48" s="387" t="s">
        <v>367</v>
      </c>
      <c r="E48" s="388"/>
      <c r="F48" s="388"/>
      <c r="G48" s="388"/>
      <c r="H48" s="388"/>
      <c r="I48" s="388"/>
      <c r="J48" s="389"/>
      <c r="K48" s="210"/>
      <c r="L48" s="210"/>
      <c r="M48" s="210"/>
      <c r="N48" s="210"/>
      <c r="O48" s="210">
        <v>-4991.7394806448074</v>
      </c>
      <c r="P48" s="210">
        <v>-1344.8932688899697</v>
      </c>
      <c r="Q48" s="210">
        <v>-1580.411578282547</v>
      </c>
      <c r="R48" s="210">
        <v>-1226.9781227942419</v>
      </c>
      <c r="S48" s="210">
        <v>-497.71992442781681</v>
      </c>
      <c r="T48" s="210">
        <v>-879.25325068606367</v>
      </c>
      <c r="U48" s="210">
        <v>-3424.5187906659689</v>
      </c>
      <c r="V48" s="210">
        <v>-1970.7704224517543</v>
      </c>
      <c r="W48" s="210">
        <v>-1671.4505957069407</v>
      </c>
      <c r="X48" s="210">
        <v>-2970.1246259321442</v>
      </c>
      <c r="Y48" s="210">
        <v>-3041.3418786864627</v>
      </c>
      <c r="Z48" s="210">
        <v>-3576.5780145349281</v>
      </c>
      <c r="AA48" s="210">
        <v>-4830.1088334977912</v>
      </c>
      <c r="AB48" s="210">
        <v>-1576.2903583928146</v>
      </c>
      <c r="AC48" s="210">
        <v>-1454.6352871557731</v>
      </c>
      <c r="AD48" s="210">
        <v>-5952.3896045620268</v>
      </c>
    </row>
    <row r="49" spans="1:30" s="31" customFormat="1" ht="18" customHeight="1" x14ac:dyDescent="0.2">
      <c r="A49" s="74"/>
      <c r="B49" s="74"/>
      <c r="C49" s="391" t="s">
        <v>102</v>
      </c>
      <c r="D49" s="392"/>
      <c r="E49" s="392"/>
      <c r="F49" s="392"/>
      <c r="G49" s="392"/>
      <c r="H49" s="392"/>
      <c r="I49" s="392"/>
      <c r="J49" s="393"/>
      <c r="K49" s="71">
        <v>-24720.3819963926</v>
      </c>
      <c r="L49" s="71">
        <v>16329.542809047116</v>
      </c>
      <c r="M49" s="71">
        <v>10521.31077168199</v>
      </c>
      <c r="N49" s="71">
        <v>10696.27139575509</v>
      </c>
      <c r="O49" s="71">
        <v>9786.6836273140343</v>
      </c>
      <c r="P49" s="71">
        <v>9849.6304127871299</v>
      </c>
      <c r="Q49" s="71">
        <v>12404.806576364361</v>
      </c>
      <c r="R49" s="71">
        <v>5506.7312807792759</v>
      </c>
      <c r="S49" s="71">
        <v>5642.6222390627063</v>
      </c>
      <c r="T49" s="71">
        <v>3473.3096190044412</v>
      </c>
      <c r="U49" s="71">
        <v>4315.0745803215577</v>
      </c>
      <c r="V49" s="71">
        <v>51237.492075921531</v>
      </c>
      <c r="W49" s="71">
        <v>5462.861035014449</v>
      </c>
      <c r="X49" s="71">
        <v>14388.085964715896</v>
      </c>
      <c r="Y49" s="71">
        <v>31190.261253645309</v>
      </c>
      <c r="Z49" s="71">
        <v>13551.794900259119</v>
      </c>
      <c r="AA49" s="71">
        <v>24340.444369127828</v>
      </c>
      <c r="AB49" s="71">
        <v>6326.6102776070184</v>
      </c>
      <c r="AC49" s="71">
        <v>8593.1697190058476</v>
      </c>
      <c r="AD49" s="71">
        <v>8191.5726776978117</v>
      </c>
    </row>
    <row r="50" spans="1:30" x14ac:dyDescent="0.2">
      <c r="A50" s="2"/>
      <c r="B50" s="368" t="s">
        <v>583</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row>
    <row r="51" spans="1:30"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c r="AD51" s="369"/>
    </row>
    <row r="52" spans="1:30" x14ac:dyDescent="0.2">
      <c r="A52" s="2"/>
      <c r="K52" s="3"/>
      <c r="L52" s="3"/>
      <c r="M52" s="3"/>
      <c r="N52" s="3"/>
      <c r="O52" s="3"/>
      <c r="P52" s="3"/>
      <c r="Q52" s="3"/>
      <c r="R52" s="3"/>
      <c r="S52" s="3"/>
      <c r="T52" s="3"/>
      <c r="U52" s="3"/>
      <c r="V52" s="3"/>
      <c r="W52" s="3"/>
      <c r="X52" s="3"/>
      <c r="Y52" s="3"/>
      <c r="Z52" s="3"/>
      <c r="AA52" s="3"/>
      <c r="AB52" s="3"/>
      <c r="AC52" s="3"/>
      <c r="AD52" s="3"/>
    </row>
    <row r="53" spans="1:30" x14ac:dyDescent="0.2">
      <c r="A53" s="2"/>
      <c r="K53" s="3"/>
      <c r="L53" s="3"/>
      <c r="M53" s="3"/>
      <c r="N53" s="3"/>
      <c r="O53" s="3"/>
      <c r="P53" s="3"/>
      <c r="Q53" s="3"/>
      <c r="R53" s="3"/>
      <c r="S53" s="3"/>
      <c r="T53" s="3"/>
      <c r="U53" s="3"/>
      <c r="V53" s="3"/>
      <c r="W53" s="3"/>
      <c r="X53" s="3"/>
      <c r="Y53" s="3"/>
      <c r="Z53" s="3"/>
      <c r="AA53" s="3"/>
      <c r="AB53" s="3"/>
      <c r="AC53" s="3"/>
      <c r="AD53" s="3"/>
    </row>
    <row r="54" spans="1:30" x14ac:dyDescent="0.2">
      <c r="K54" s="3"/>
      <c r="L54" s="3"/>
      <c r="M54" s="3"/>
      <c r="N54" s="3"/>
      <c r="O54" s="3"/>
      <c r="P54" s="3"/>
      <c r="Q54" s="3"/>
      <c r="R54" s="3"/>
      <c r="S54" s="3"/>
      <c r="T54" s="3"/>
      <c r="U54" s="3"/>
      <c r="V54" s="3"/>
      <c r="W54" s="3"/>
      <c r="X54" s="3"/>
      <c r="Y54" s="3"/>
      <c r="Z54" s="3"/>
      <c r="AA54" s="3"/>
      <c r="AB54" s="3"/>
      <c r="AC54" s="3"/>
      <c r="AD54" s="3"/>
    </row>
    <row r="55" spans="1:30" x14ac:dyDescent="0.2">
      <c r="K55" s="3"/>
      <c r="L55" s="3"/>
      <c r="M55" s="3"/>
      <c r="N55" s="3"/>
      <c r="O55" s="3"/>
      <c r="P55" s="3"/>
      <c r="Q55" s="3"/>
      <c r="R55" s="3"/>
      <c r="S55" s="3"/>
      <c r="T55" s="3"/>
      <c r="U55" s="3"/>
      <c r="V55" s="3"/>
      <c r="W55" s="3"/>
      <c r="X55" s="3"/>
      <c r="Y55" s="3"/>
      <c r="Z55" s="3"/>
      <c r="AA55" s="3"/>
      <c r="AB55" s="3"/>
      <c r="AC55" s="3"/>
      <c r="AD55" s="3"/>
    </row>
    <row r="56" spans="1:30" x14ac:dyDescent="0.2">
      <c r="K56" s="3"/>
      <c r="L56" s="3"/>
      <c r="M56" s="3"/>
      <c r="N56" s="3"/>
      <c r="O56" s="3"/>
      <c r="P56" s="3"/>
      <c r="Q56" s="3"/>
      <c r="R56" s="3"/>
      <c r="S56" s="3"/>
      <c r="T56" s="3"/>
      <c r="U56" s="3"/>
      <c r="V56" s="3"/>
      <c r="W56" s="3"/>
      <c r="X56" s="3"/>
      <c r="Y56" s="3"/>
      <c r="Z56" s="3"/>
      <c r="AA56" s="3"/>
      <c r="AB56" s="3"/>
      <c r="AC56" s="3"/>
      <c r="AD56" s="3"/>
    </row>
    <row r="57" spans="1:30" x14ac:dyDescent="0.2">
      <c r="K57" s="3"/>
      <c r="L57" s="3"/>
      <c r="M57" s="3"/>
      <c r="N57" s="3"/>
      <c r="O57" s="3"/>
      <c r="P57" s="3"/>
      <c r="Q57" s="3"/>
      <c r="R57" s="3"/>
      <c r="S57" s="3"/>
      <c r="T57" s="3"/>
      <c r="U57" s="3"/>
      <c r="V57" s="3"/>
      <c r="W57" s="3"/>
      <c r="X57" s="3"/>
      <c r="Y57" s="3"/>
      <c r="Z57" s="3"/>
      <c r="AA57" s="3"/>
      <c r="AB57" s="3"/>
      <c r="AC57" s="3"/>
      <c r="AD57" s="3"/>
    </row>
    <row r="58" spans="1:30" x14ac:dyDescent="0.2">
      <c r="K58" s="3"/>
      <c r="L58" s="3"/>
      <c r="M58" s="3"/>
      <c r="N58" s="3"/>
      <c r="O58" s="3"/>
      <c r="P58" s="3"/>
      <c r="Q58" s="3"/>
      <c r="R58" s="3"/>
      <c r="S58" s="3"/>
      <c r="T58" s="3"/>
      <c r="U58" s="3"/>
      <c r="V58" s="3"/>
      <c r="W58" s="3"/>
      <c r="X58" s="3"/>
      <c r="Y58" s="3"/>
      <c r="Z58" s="3"/>
      <c r="AA58" s="3"/>
      <c r="AB58" s="3"/>
      <c r="AC58" s="3"/>
      <c r="AD58" s="3"/>
    </row>
    <row r="59" spans="1:30" x14ac:dyDescent="0.2">
      <c r="K59" s="3"/>
      <c r="L59" s="3"/>
      <c r="M59" s="3"/>
      <c r="N59" s="3"/>
      <c r="O59" s="3"/>
      <c r="P59" s="3"/>
      <c r="Q59" s="3"/>
      <c r="R59" s="3"/>
      <c r="S59" s="3"/>
      <c r="T59" s="3"/>
      <c r="U59" s="3"/>
      <c r="V59" s="3"/>
      <c r="W59" s="3"/>
      <c r="X59" s="3"/>
      <c r="Y59" s="3"/>
      <c r="Z59" s="3"/>
      <c r="AA59" s="3"/>
      <c r="AB59" s="3"/>
      <c r="AC59" s="3"/>
      <c r="AD59" s="3"/>
    </row>
    <row r="60" spans="1:30" x14ac:dyDescent="0.2">
      <c r="K60" s="3"/>
      <c r="L60" s="3"/>
      <c r="M60" s="3"/>
      <c r="N60" s="3"/>
      <c r="O60" s="3"/>
      <c r="P60" s="3"/>
      <c r="Q60" s="3"/>
      <c r="R60" s="3"/>
      <c r="S60" s="3"/>
      <c r="T60" s="3"/>
      <c r="U60" s="3"/>
      <c r="V60" s="3"/>
      <c r="W60" s="3"/>
      <c r="X60" s="3"/>
      <c r="Y60" s="3"/>
      <c r="Z60" s="3"/>
      <c r="AA60" s="3"/>
      <c r="AB60" s="3"/>
      <c r="AC60" s="3"/>
      <c r="AD60" s="3"/>
    </row>
    <row r="61" spans="1:30" x14ac:dyDescent="0.2">
      <c r="K61" s="3"/>
      <c r="L61" s="3"/>
      <c r="M61" s="3"/>
      <c r="N61" s="3"/>
      <c r="O61" s="3"/>
      <c r="P61" s="3"/>
      <c r="Q61" s="3"/>
      <c r="R61" s="3"/>
      <c r="S61" s="3"/>
      <c r="T61" s="3"/>
      <c r="U61" s="3"/>
      <c r="V61" s="3"/>
      <c r="W61" s="3"/>
      <c r="X61" s="3"/>
      <c r="Y61" s="3"/>
      <c r="Z61" s="3"/>
      <c r="AA61" s="3"/>
      <c r="AB61" s="3"/>
      <c r="AC61" s="3"/>
      <c r="AD61" s="3"/>
    </row>
    <row r="62" spans="1:30" x14ac:dyDescent="0.2">
      <c r="K62" s="3"/>
      <c r="L62" s="3"/>
      <c r="M62" s="3"/>
      <c r="N62" s="3"/>
      <c r="O62" s="3"/>
      <c r="P62" s="3"/>
      <c r="Q62" s="3"/>
      <c r="R62" s="3"/>
      <c r="S62" s="3"/>
      <c r="T62" s="3"/>
      <c r="U62" s="3"/>
      <c r="V62" s="3"/>
      <c r="W62" s="3"/>
      <c r="X62" s="3"/>
      <c r="Y62" s="3"/>
      <c r="Z62" s="3"/>
      <c r="AA62" s="3"/>
      <c r="AB62" s="3"/>
      <c r="AC62" s="3"/>
      <c r="AD62" s="3"/>
    </row>
    <row r="63" spans="1:30" x14ac:dyDescent="0.2">
      <c r="K63" s="3"/>
      <c r="L63" s="3"/>
      <c r="M63" s="3"/>
      <c r="N63" s="3"/>
      <c r="O63" s="3"/>
      <c r="P63" s="3"/>
      <c r="Q63" s="3"/>
      <c r="R63" s="3"/>
      <c r="S63" s="3"/>
      <c r="T63" s="3"/>
      <c r="U63" s="3"/>
      <c r="V63" s="3"/>
      <c r="W63" s="3"/>
      <c r="X63" s="3"/>
      <c r="Y63" s="3"/>
      <c r="Z63" s="3"/>
      <c r="AA63" s="3"/>
      <c r="AB63" s="3"/>
      <c r="AC63" s="3"/>
      <c r="AD63" s="3"/>
    </row>
    <row r="64" spans="1:30" x14ac:dyDescent="0.2">
      <c r="K64" s="3"/>
      <c r="L64" s="3"/>
      <c r="M64" s="3"/>
      <c r="N64" s="3"/>
      <c r="O64" s="3"/>
      <c r="P64" s="3"/>
      <c r="Q64" s="3"/>
      <c r="R64" s="3"/>
      <c r="S64" s="3"/>
      <c r="T64" s="3"/>
      <c r="U64" s="3"/>
      <c r="V64" s="3"/>
      <c r="W64" s="3"/>
      <c r="X64" s="3"/>
      <c r="Y64" s="3"/>
      <c r="Z64" s="3"/>
      <c r="AA64" s="3"/>
      <c r="AB64" s="3"/>
      <c r="AC64" s="3"/>
      <c r="AD64" s="3"/>
    </row>
    <row r="65" spans="11:30" x14ac:dyDescent="0.2">
      <c r="K65" s="3"/>
      <c r="L65" s="3"/>
      <c r="M65" s="3"/>
      <c r="N65" s="3"/>
      <c r="O65" s="3"/>
      <c r="P65" s="3"/>
      <c r="Q65" s="3"/>
      <c r="R65" s="3"/>
      <c r="S65" s="3"/>
      <c r="T65" s="3"/>
      <c r="U65" s="3"/>
      <c r="V65" s="3"/>
      <c r="W65" s="3"/>
      <c r="X65" s="3"/>
      <c r="Y65" s="3"/>
      <c r="Z65" s="3"/>
      <c r="AA65" s="3"/>
      <c r="AB65" s="3"/>
      <c r="AC65" s="3"/>
      <c r="AD65" s="3"/>
    </row>
    <row r="66" spans="11:30" x14ac:dyDescent="0.2">
      <c r="K66" s="3"/>
      <c r="L66" s="3"/>
      <c r="M66" s="3"/>
      <c r="N66" s="3"/>
      <c r="O66" s="3"/>
      <c r="P66" s="3"/>
      <c r="Q66" s="3"/>
      <c r="R66" s="3"/>
      <c r="S66" s="3"/>
      <c r="T66" s="3"/>
      <c r="U66" s="3"/>
      <c r="V66" s="3"/>
      <c r="W66" s="3"/>
      <c r="X66" s="3"/>
      <c r="Y66" s="3"/>
      <c r="Z66" s="3"/>
      <c r="AA66" s="3"/>
      <c r="AB66" s="3"/>
      <c r="AC66" s="3"/>
      <c r="AD66" s="3"/>
    </row>
    <row r="67" spans="11:30" x14ac:dyDescent="0.2">
      <c r="K67" s="3"/>
      <c r="L67" s="3"/>
      <c r="M67" s="3"/>
      <c r="N67" s="3"/>
      <c r="O67" s="3"/>
      <c r="P67" s="3"/>
      <c r="Q67" s="3"/>
      <c r="R67" s="3"/>
      <c r="S67" s="3"/>
      <c r="T67" s="3"/>
      <c r="U67" s="3"/>
      <c r="V67" s="3"/>
      <c r="W67" s="3"/>
      <c r="X67" s="3"/>
      <c r="Y67" s="3"/>
      <c r="Z67" s="3"/>
      <c r="AA67" s="3"/>
      <c r="AB67" s="3"/>
      <c r="AC67" s="3"/>
      <c r="AD67" s="3"/>
    </row>
    <row r="68" spans="11:30" x14ac:dyDescent="0.2">
      <c r="K68" s="3"/>
      <c r="L68" s="3"/>
      <c r="M68" s="3"/>
      <c r="N68" s="3"/>
      <c r="O68" s="3"/>
      <c r="P68" s="3"/>
      <c r="Q68" s="3"/>
      <c r="R68" s="3"/>
      <c r="S68" s="3"/>
      <c r="T68" s="3"/>
      <c r="U68" s="3"/>
      <c r="V68" s="3"/>
      <c r="W68" s="3"/>
      <c r="X68" s="3"/>
      <c r="Y68" s="3"/>
      <c r="Z68" s="3"/>
      <c r="AA68" s="3"/>
      <c r="AB68" s="3"/>
      <c r="AC68" s="3"/>
      <c r="AD68" s="3"/>
    </row>
    <row r="69" spans="11:30" x14ac:dyDescent="0.2">
      <c r="K69" s="3"/>
      <c r="L69" s="3"/>
      <c r="M69" s="3"/>
      <c r="N69" s="3"/>
      <c r="O69" s="3"/>
      <c r="P69" s="3"/>
      <c r="Q69" s="3"/>
      <c r="R69" s="3"/>
      <c r="S69" s="3"/>
      <c r="T69" s="3"/>
      <c r="U69" s="3"/>
      <c r="V69" s="3"/>
      <c r="W69" s="3"/>
      <c r="X69" s="3"/>
      <c r="Y69" s="3"/>
      <c r="Z69" s="3"/>
      <c r="AA69" s="3"/>
      <c r="AB69" s="3"/>
      <c r="AC69" s="3"/>
      <c r="AD69" s="3"/>
    </row>
    <row r="70" spans="11:30" x14ac:dyDescent="0.2">
      <c r="K70" s="3"/>
      <c r="L70" s="3"/>
      <c r="M70" s="3"/>
      <c r="N70" s="3"/>
      <c r="O70" s="3"/>
      <c r="P70" s="3"/>
      <c r="Q70" s="3"/>
      <c r="R70" s="3"/>
      <c r="S70" s="3"/>
      <c r="T70" s="3"/>
      <c r="U70" s="3"/>
      <c r="V70" s="3"/>
      <c r="W70" s="3"/>
      <c r="X70" s="3"/>
      <c r="Y70" s="3"/>
      <c r="Z70" s="3"/>
      <c r="AA70" s="3"/>
      <c r="AB70" s="3"/>
      <c r="AC70" s="3"/>
      <c r="AD70" s="3"/>
    </row>
    <row r="71" spans="11:30" x14ac:dyDescent="0.2">
      <c r="K71" s="3"/>
      <c r="L71" s="3"/>
      <c r="M71" s="3"/>
      <c r="N71" s="3"/>
      <c r="O71" s="3"/>
      <c r="P71" s="3"/>
      <c r="Q71" s="3"/>
      <c r="R71" s="3"/>
      <c r="S71" s="3"/>
      <c r="T71" s="3"/>
      <c r="U71" s="3"/>
      <c r="V71" s="3"/>
      <c r="W71" s="3"/>
      <c r="X71" s="3"/>
      <c r="Y71" s="3"/>
      <c r="Z71" s="3"/>
      <c r="AA71" s="3"/>
      <c r="AB71" s="3"/>
      <c r="AC71" s="3"/>
      <c r="AD71" s="3"/>
    </row>
    <row r="72" spans="11:30" x14ac:dyDescent="0.2">
      <c r="K72" s="3"/>
      <c r="L72" s="3"/>
      <c r="M72" s="3"/>
      <c r="N72" s="3"/>
      <c r="O72" s="3"/>
      <c r="P72" s="3"/>
      <c r="Q72" s="3"/>
      <c r="R72" s="3"/>
      <c r="S72" s="3"/>
      <c r="T72" s="3"/>
      <c r="U72" s="3"/>
      <c r="V72" s="3"/>
      <c r="W72" s="3"/>
      <c r="X72" s="3"/>
      <c r="Y72" s="3"/>
      <c r="Z72" s="3"/>
      <c r="AA72" s="3"/>
      <c r="AB72" s="3"/>
      <c r="AC72" s="3"/>
      <c r="AD72" s="3"/>
    </row>
    <row r="73" spans="11:30" x14ac:dyDescent="0.2">
      <c r="K73" s="3"/>
      <c r="L73" s="3"/>
      <c r="M73" s="3"/>
      <c r="N73" s="3"/>
      <c r="O73" s="3"/>
      <c r="P73" s="3"/>
      <c r="Q73" s="3"/>
      <c r="R73" s="3"/>
      <c r="S73" s="3"/>
      <c r="T73" s="3"/>
      <c r="U73" s="3"/>
      <c r="V73" s="3"/>
      <c r="W73" s="3"/>
      <c r="X73" s="3"/>
      <c r="Y73" s="3"/>
      <c r="Z73" s="3"/>
      <c r="AA73" s="3"/>
      <c r="AB73" s="3"/>
      <c r="AC73" s="3"/>
      <c r="AD73" s="3"/>
    </row>
    <row r="74" spans="11:30" x14ac:dyDescent="0.2">
      <c r="K74" s="3"/>
      <c r="L74" s="3"/>
      <c r="M74" s="3"/>
      <c r="N74" s="3"/>
      <c r="O74" s="3"/>
      <c r="P74" s="3"/>
      <c r="Q74" s="3"/>
      <c r="R74" s="3"/>
      <c r="S74" s="3"/>
      <c r="T74" s="3"/>
      <c r="U74" s="3"/>
      <c r="V74" s="3"/>
      <c r="W74" s="3"/>
      <c r="X74" s="3"/>
      <c r="Y74" s="3"/>
      <c r="Z74" s="3"/>
      <c r="AA74" s="3"/>
      <c r="AB74" s="3"/>
      <c r="AC74" s="3"/>
      <c r="AD74" s="3"/>
    </row>
    <row r="75" spans="11:30" x14ac:dyDescent="0.2">
      <c r="K75" s="3"/>
      <c r="L75" s="3"/>
      <c r="M75" s="3"/>
      <c r="N75" s="3"/>
      <c r="O75" s="3"/>
      <c r="P75" s="3"/>
      <c r="Q75" s="3"/>
      <c r="R75" s="3"/>
      <c r="S75" s="3"/>
      <c r="T75" s="3"/>
      <c r="U75" s="3"/>
      <c r="V75" s="3"/>
      <c r="W75" s="3"/>
      <c r="X75" s="3"/>
      <c r="Y75" s="3"/>
      <c r="Z75" s="3"/>
      <c r="AA75" s="3"/>
      <c r="AB75" s="3"/>
      <c r="AC75" s="3"/>
      <c r="AD75" s="3"/>
    </row>
    <row r="76" spans="11:30" x14ac:dyDescent="0.2">
      <c r="K76" s="3"/>
      <c r="L76" s="3"/>
      <c r="M76" s="3"/>
      <c r="N76" s="3"/>
      <c r="O76" s="3"/>
      <c r="P76" s="3"/>
      <c r="Q76" s="3"/>
      <c r="R76" s="3"/>
      <c r="S76" s="3"/>
      <c r="T76" s="3"/>
      <c r="U76" s="3"/>
      <c r="V76" s="3"/>
      <c r="W76" s="3"/>
      <c r="X76" s="3"/>
      <c r="Y76" s="3"/>
      <c r="Z76" s="3"/>
      <c r="AA76" s="3"/>
      <c r="AB76" s="3"/>
      <c r="AC76" s="3"/>
      <c r="AD76" s="3"/>
    </row>
    <row r="77" spans="11:30" x14ac:dyDescent="0.2">
      <c r="K77" s="3"/>
      <c r="L77" s="3"/>
      <c r="M77" s="3"/>
      <c r="N77" s="3"/>
      <c r="O77" s="3"/>
      <c r="P77" s="3"/>
      <c r="Q77" s="3"/>
      <c r="R77" s="3"/>
      <c r="S77" s="3"/>
      <c r="T77" s="3"/>
      <c r="U77" s="3"/>
      <c r="V77" s="3"/>
      <c r="W77" s="3"/>
      <c r="X77" s="3"/>
      <c r="Y77" s="3"/>
      <c r="Z77" s="3"/>
      <c r="AA77" s="3"/>
      <c r="AB77" s="3"/>
      <c r="AC77" s="3"/>
      <c r="AD77" s="3"/>
    </row>
    <row r="78" spans="11:30" x14ac:dyDescent="0.2">
      <c r="K78" s="3"/>
      <c r="L78" s="3"/>
      <c r="M78" s="3"/>
      <c r="N78" s="3"/>
      <c r="O78" s="3"/>
      <c r="P78" s="3"/>
      <c r="Q78" s="3"/>
      <c r="R78" s="3"/>
      <c r="S78" s="3"/>
      <c r="T78" s="3"/>
      <c r="U78" s="3"/>
      <c r="V78" s="3"/>
      <c r="W78" s="3"/>
      <c r="X78" s="3"/>
      <c r="Y78" s="3"/>
      <c r="Z78" s="3"/>
      <c r="AA78" s="3"/>
      <c r="AB78" s="3"/>
      <c r="AC78" s="3"/>
      <c r="AD78" s="3"/>
    </row>
    <row r="79" spans="11:30" x14ac:dyDescent="0.2">
      <c r="K79" s="3"/>
      <c r="L79" s="3"/>
      <c r="M79" s="3"/>
      <c r="N79" s="3"/>
      <c r="O79" s="3"/>
      <c r="P79" s="3"/>
      <c r="Q79" s="3"/>
      <c r="R79" s="3"/>
      <c r="S79" s="3"/>
      <c r="T79" s="3"/>
      <c r="U79" s="3"/>
      <c r="V79" s="3"/>
      <c r="W79" s="3"/>
      <c r="X79" s="3"/>
      <c r="Y79" s="3"/>
      <c r="Z79" s="3"/>
      <c r="AA79" s="3"/>
      <c r="AB79" s="3"/>
      <c r="AC79" s="3"/>
      <c r="AD79" s="3"/>
    </row>
    <row r="80" spans="11:30" x14ac:dyDescent="0.2">
      <c r="K80" s="3"/>
      <c r="L80" s="3"/>
      <c r="M80" s="3"/>
      <c r="N80" s="3"/>
      <c r="O80" s="3"/>
      <c r="P80" s="3"/>
      <c r="Q80" s="3"/>
      <c r="R80" s="3"/>
      <c r="S80" s="3"/>
      <c r="T80" s="3"/>
      <c r="U80" s="3"/>
      <c r="V80" s="3"/>
      <c r="W80" s="3"/>
      <c r="X80" s="3"/>
      <c r="Y80" s="3"/>
      <c r="Z80" s="3"/>
      <c r="AA80" s="3"/>
      <c r="AB80" s="3"/>
      <c r="AC80" s="3"/>
      <c r="AD80" s="3"/>
    </row>
    <row r="81" spans="11:30" x14ac:dyDescent="0.2">
      <c r="K81" s="3"/>
      <c r="L81" s="3"/>
      <c r="M81" s="3"/>
      <c r="N81" s="3"/>
      <c r="O81" s="3"/>
      <c r="P81" s="3"/>
      <c r="Q81" s="3"/>
      <c r="R81" s="3"/>
      <c r="S81" s="3"/>
      <c r="T81" s="3"/>
      <c r="U81" s="3"/>
      <c r="V81" s="3"/>
      <c r="W81" s="3"/>
      <c r="X81" s="3"/>
      <c r="Y81" s="3"/>
      <c r="Z81" s="3"/>
      <c r="AA81" s="3"/>
      <c r="AB81" s="3"/>
      <c r="AC81" s="3"/>
      <c r="AD81" s="3"/>
    </row>
    <row r="82" spans="11:30" x14ac:dyDescent="0.2">
      <c r="K82" s="3"/>
      <c r="L82" s="3"/>
      <c r="M82" s="3"/>
      <c r="N82" s="3"/>
      <c r="O82" s="3"/>
      <c r="P82" s="3"/>
      <c r="Q82" s="3"/>
      <c r="R82" s="3"/>
      <c r="S82" s="3"/>
      <c r="T82" s="3"/>
      <c r="U82" s="3"/>
      <c r="V82" s="3"/>
      <c r="W82" s="3"/>
      <c r="X82" s="3"/>
      <c r="Y82" s="3"/>
      <c r="Z82" s="3"/>
      <c r="AA82" s="3"/>
      <c r="AB82" s="3"/>
      <c r="AC82" s="3"/>
      <c r="AD82" s="3"/>
    </row>
    <row r="83" spans="11:30" x14ac:dyDescent="0.2">
      <c r="K83" s="3"/>
      <c r="L83" s="3"/>
      <c r="M83" s="3"/>
      <c r="N83" s="3"/>
      <c r="O83" s="3"/>
      <c r="P83" s="3"/>
      <c r="Q83" s="3"/>
      <c r="R83" s="3"/>
      <c r="S83" s="3"/>
      <c r="T83" s="3"/>
      <c r="U83" s="3"/>
      <c r="V83" s="3"/>
      <c r="W83" s="3"/>
      <c r="X83" s="3"/>
      <c r="Y83" s="3"/>
      <c r="Z83" s="3"/>
      <c r="AA83" s="3"/>
      <c r="AB83" s="3"/>
      <c r="AC83" s="3"/>
      <c r="AD83" s="3"/>
    </row>
    <row r="84" spans="11:30" x14ac:dyDescent="0.2">
      <c r="K84" s="3"/>
      <c r="L84" s="3"/>
      <c r="M84" s="3"/>
      <c r="N84" s="3"/>
      <c r="O84" s="3"/>
      <c r="P84" s="3"/>
      <c r="Q84" s="3"/>
      <c r="R84" s="3"/>
      <c r="S84" s="3"/>
      <c r="T84" s="3"/>
      <c r="U84" s="3"/>
      <c r="V84" s="3"/>
      <c r="W84" s="3"/>
      <c r="X84" s="3"/>
      <c r="Y84" s="3"/>
      <c r="Z84" s="3"/>
      <c r="AA84" s="3"/>
      <c r="AB84" s="3"/>
      <c r="AC84" s="3"/>
      <c r="AD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D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2" width="9" style="174"/>
    <col min="23" max="16384" width="9" style="31"/>
  </cols>
  <sheetData>
    <row r="1" spans="1:22" ht="16.2" x14ac:dyDescent="0.2">
      <c r="A1" s="6" t="s">
        <v>505</v>
      </c>
    </row>
    <row r="2" spans="1:22" ht="14.4" x14ac:dyDescent="0.2">
      <c r="A2" s="75" t="str">
        <f>BS!A2</f>
        <v>６９　不動産賃貸業・管理業</v>
      </c>
      <c r="V2" s="221" t="s">
        <v>67</v>
      </c>
    </row>
    <row r="3" spans="1:22"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579</v>
      </c>
      <c r="V3" s="206" t="s">
        <v>581</v>
      </c>
    </row>
    <row r="4" spans="1:22"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c r="V4" s="224"/>
    </row>
    <row r="5" spans="1:22" ht="15.75" customHeight="1" x14ac:dyDescent="0.2">
      <c r="A5" s="232"/>
      <c r="B5" s="227" t="s">
        <v>312</v>
      </c>
      <c r="C5" s="178" t="s">
        <v>491</v>
      </c>
      <c r="D5" s="179">
        <f>PL!L38</f>
        <v>9664.3684747765983</v>
      </c>
      <c r="E5" s="179">
        <f>PL!M38</f>
        <v>7013.6152175468096</v>
      </c>
      <c r="F5" s="179">
        <f>PL!N38</f>
        <v>8975.2023353557433</v>
      </c>
      <c r="G5" s="179">
        <f>PL!O38</f>
        <v>6873.5860034603693</v>
      </c>
      <c r="H5" s="179">
        <f>PL!P38</f>
        <v>5555.1287500916715</v>
      </c>
      <c r="I5" s="179">
        <f>PL!Q38</f>
        <v>7039.4107982695805</v>
      </c>
      <c r="J5" s="179">
        <f>PL!R38</f>
        <v>2019.5983507122737</v>
      </c>
      <c r="K5" s="179">
        <f>PL!S38</f>
        <v>-1063.9032941263251</v>
      </c>
      <c r="L5" s="179">
        <f>PL!T38</f>
        <v>3538.5080804681147</v>
      </c>
      <c r="M5" s="179">
        <f>PL!U38</f>
        <v>6911.1328719467328</v>
      </c>
      <c r="N5" s="179">
        <f>PL!V38</f>
        <v>26751.913530238588</v>
      </c>
      <c r="O5" s="179">
        <f>PL!W38</f>
        <v>7625.401144384532</v>
      </c>
      <c r="P5" s="179">
        <f>PL!X38</f>
        <v>7120.7384743157536</v>
      </c>
      <c r="Q5" s="179">
        <f>PL!Y38</f>
        <v>7131.9435089397302</v>
      </c>
      <c r="R5" s="179">
        <f>PL!Z38</f>
        <v>27532.113608426331</v>
      </c>
      <c r="S5" s="179">
        <f>PL!AA38</f>
        <v>8313.4968295508188</v>
      </c>
      <c r="T5" s="179">
        <f>PL!AB38</f>
        <v>5840.4715681724092</v>
      </c>
      <c r="U5" s="179">
        <f>PL!AC38</f>
        <v>-24599.084115228343</v>
      </c>
      <c r="V5" s="179">
        <f>PL!AD38</f>
        <v>13665.694873952198</v>
      </c>
    </row>
    <row r="6" spans="1:22" ht="15.75" customHeight="1" x14ac:dyDescent="0.2">
      <c r="A6" s="186"/>
      <c r="B6" s="228" t="s">
        <v>459</v>
      </c>
      <c r="C6" s="180" t="s">
        <v>492</v>
      </c>
      <c r="D6" s="181">
        <f>PL!L13+PL!L24</f>
        <v>16337.529772031303</v>
      </c>
      <c r="E6" s="181">
        <f>PL!M13+PL!M24</f>
        <v>12101.516464271255</v>
      </c>
      <c r="F6" s="181">
        <f>PL!N13+PL!N24</f>
        <v>10916.393608185203</v>
      </c>
      <c r="G6" s="181">
        <f>PL!O13+PL!O24</f>
        <v>9936.5186920319484</v>
      </c>
      <c r="H6" s="181">
        <f>PL!P13+PL!P24</f>
        <v>10776.850051044756</v>
      </c>
      <c r="I6" s="181">
        <f>PL!Q13+PL!Q24</f>
        <v>12608.544469917992</v>
      </c>
      <c r="J6" s="181">
        <f>PL!R13+PL!R24</f>
        <v>9047.4606092354043</v>
      </c>
      <c r="K6" s="181">
        <f>PL!S13+PL!S24</f>
        <v>7872.9329658075876</v>
      </c>
      <c r="L6" s="181">
        <f>PL!T13+PL!T24</f>
        <v>7671.0747421690276</v>
      </c>
      <c r="M6" s="181">
        <f>PL!U13+PL!U24</f>
        <v>7210.0092126611435</v>
      </c>
      <c r="N6" s="181">
        <f>PL!V13+PL!V24</f>
        <v>8144.6734467379301</v>
      </c>
      <c r="O6" s="181">
        <f>PL!W13+PL!W24</f>
        <v>7657.855626153404</v>
      </c>
      <c r="P6" s="181">
        <f>PL!X13+PL!X24</f>
        <v>7976.6602338297544</v>
      </c>
      <c r="Q6" s="181">
        <f>PL!Y13+PL!Y24</f>
        <v>8554.2558883224046</v>
      </c>
      <c r="R6" s="181">
        <f>PL!Z13+PL!Z24</f>
        <v>7629.4249138159685</v>
      </c>
      <c r="S6" s="181">
        <f>PL!AA13+PL!AA24</f>
        <v>8165.8511304646272</v>
      </c>
      <c r="T6" s="181">
        <f>PL!AB13+PL!AB24</f>
        <v>8799.5421365580733</v>
      </c>
      <c r="U6" s="181">
        <f>PL!AC13+PL!AC24</f>
        <v>7970.1675166851728</v>
      </c>
      <c r="V6" s="181">
        <f>PL!AD13+PL!AD24</f>
        <v>10755.5705400268</v>
      </c>
    </row>
    <row r="7" spans="1:22" ht="15.75" customHeight="1" x14ac:dyDescent="0.2">
      <c r="A7" s="186"/>
      <c r="B7" s="228" t="s">
        <v>460</v>
      </c>
      <c r="C7" s="180" t="s">
        <v>493</v>
      </c>
      <c r="D7" s="181">
        <f>PL!L30</f>
        <v>7218.3700148636308</v>
      </c>
      <c r="E7" s="181">
        <f>PL!M30</f>
        <v>4406.9685945121173</v>
      </c>
      <c r="F7" s="181">
        <f>PL!N30</f>
        <v>4665.573606654275</v>
      </c>
      <c r="G7" s="181">
        <f>PL!O30</f>
        <v>4709.3805038429646</v>
      </c>
      <c r="H7" s="181">
        <f>PL!P30</f>
        <v>5268.2730216987766</v>
      </c>
      <c r="I7" s="181">
        <f>PL!Q30</f>
        <v>4305.839957507641</v>
      </c>
      <c r="J7" s="181">
        <f>PL!R30</f>
        <v>4972.013406952723</v>
      </c>
      <c r="K7" s="181">
        <f>PL!S30</f>
        <v>4270.8307535949152</v>
      </c>
      <c r="L7" s="181">
        <f>PL!T30</f>
        <v>3394.1277373407697</v>
      </c>
      <c r="M7" s="181">
        <f>PL!U30</f>
        <v>5174.1492815121737</v>
      </c>
      <c r="N7" s="181">
        <f>PL!V30</f>
        <v>6055.1064849127051</v>
      </c>
      <c r="O7" s="181">
        <f>PL!W30</f>
        <v>4420.0943859652361</v>
      </c>
      <c r="P7" s="181">
        <f>PL!X30</f>
        <v>2843.1180950202188</v>
      </c>
      <c r="Q7" s="181">
        <f>PL!Y30</f>
        <v>3458.3014845743692</v>
      </c>
      <c r="R7" s="181">
        <f>PL!Z30</f>
        <v>3444.8007702220975</v>
      </c>
      <c r="S7" s="181">
        <f>PL!AA30</f>
        <v>4627.5423913509803</v>
      </c>
      <c r="T7" s="181">
        <f>PL!AB30</f>
        <v>2995.8463753026331</v>
      </c>
      <c r="U7" s="181">
        <f>PL!AC30</f>
        <v>3492.8918178601498</v>
      </c>
      <c r="V7" s="181">
        <f>PL!AD30</f>
        <v>4065.1061793026083</v>
      </c>
    </row>
    <row r="8" spans="1:22" ht="15.75" customHeight="1" x14ac:dyDescent="0.2">
      <c r="A8" s="186"/>
      <c r="B8" s="228" t="s">
        <v>461</v>
      </c>
      <c r="C8" s="180" t="s">
        <v>494</v>
      </c>
      <c r="D8" s="181">
        <f>PL!L31</f>
        <v>12129.421034723589</v>
      </c>
      <c r="E8" s="181">
        <f>PL!M31</f>
        <v>7255.2405641692849</v>
      </c>
      <c r="F8" s="181">
        <f>PL!N31</f>
        <v>7431.8882906063382</v>
      </c>
      <c r="G8" s="181">
        <f>PL!O31</f>
        <v>6223.8172065033832</v>
      </c>
      <c r="H8" s="181">
        <f>PL!P31</f>
        <v>6737.7442700987367</v>
      </c>
      <c r="I8" s="181">
        <f>PL!Q31</f>
        <v>7056.9360227688176</v>
      </c>
      <c r="J8" s="181">
        <f>PL!R31</f>
        <v>5677.5725772305232</v>
      </c>
      <c r="K8" s="181">
        <f>PL!S31</f>
        <v>4728.2763263082352</v>
      </c>
      <c r="L8" s="181">
        <f>PL!T31</f>
        <v>3346.9702861748096</v>
      </c>
      <c r="M8" s="181">
        <f>PL!U31</f>
        <v>4328.755191432736</v>
      </c>
      <c r="N8" s="181">
        <f>PL!V31</f>
        <v>5612.4028481555933</v>
      </c>
      <c r="O8" s="181">
        <f>PL!W31</f>
        <v>4949.5071055279232</v>
      </c>
      <c r="P8" s="181">
        <f>PL!X31</f>
        <v>2822.5513606700015</v>
      </c>
      <c r="Q8" s="181">
        <f>PL!Y31</f>
        <v>2812.1463887088494</v>
      </c>
      <c r="R8" s="181">
        <f>PL!Z31</f>
        <v>2880.7915386637037</v>
      </c>
      <c r="S8" s="181">
        <f>PL!AA31</f>
        <v>2699.6071474537735</v>
      </c>
      <c r="T8" s="181">
        <f>PL!AB31</f>
        <v>3004.6977432668059</v>
      </c>
      <c r="U8" s="181">
        <f>PL!AC31</f>
        <v>2425.4944545443454</v>
      </c>
      <c r="V8" s="181">
        <f>PL!AD31</f>
        <v>4502.3850425352903</v>
      </c>
    </row>
    <row r="9" spans="1:22" ht="15.75" customHeight="1" x14ac:dyDescent="0.2">
      <c r="A9" s="186"/>
      <c r="B9" s="228" t="s">
        <v>462</v>
      </c>
      <c r="C9" s="180" t="s">
        <v>491</v>
      </c>
      <c r="D9" s="181">
        <f>PL!L36-PL!L35</f>
        <v>0</v>
      </c>
      <c r="E9" s="181">
        <f>PL!M36-PL!M35</f>
        <v>0</v>
      </c>
      <c r="F9" s="181">
        <f>PL!N36-PL!N35</f>
        <v>0</v>
      </c>
      <c r="G9" s="181">
        <f>PL!O36-PL!O35</f>
        <v>2910.8361930939209</v>
      </c>
      <c r="H9" s="181">
        <f>PL!P36-PL!P35</f>
        <v>3420.2419197744121</v>
      </c>
      <c r="I9" s="181">
        <f>PL!Q36-PL!Q35</f>
        <v>2353.0089332769239</v>
      </c>
      <c r="J9" s="181">
        <f>PL!R36-PL!R35</f>
        <v>4207.258365734453</v>
      </c>
      <c r="K9" s="181">
        <f>PL!S36-PL!S35</f>
        <v>5984.6613126290504</v>
      </c>
      <c r="L9" s="181">
        <f>PL!T36-PL!T35</f>
        <v>1920.2650539229023</v>
      </c>
      <c r="M9" s="181">
        <f>PL!U36-PL!U35</f>
        <v>399.52852920880059</v>
      </c>
      <c r="N9" s="181">
        <f>PL!V36-PL!V35</f>
        <v>-28357.972048899646</v>
      </c>
      <c r="O9" s="181">
        <f>PL!W36-PL!W35</f>
        <v>185.16598842049325</v>
      </c>
      <c r="P9" s="181">
        <f>PL!X36-PL!X35</f>
        <v>67.845733039558581</v>
      </c>
      <c r="Q9" s="181">
        <f>PL!Y36-PL!Y35</f>
        <v>1241.9703850074447</v>
      </c>
      <c r="R9" s="181">
        <f>PL!Z36-PL!Z35</f>
        <v>0</v>
      </c>
      <c r="S9" s="181">
        <f>PL!AA36-PL!AA35</f>
        <v>0</v>
      </c>
      <c r="T9" s="181">
        <f>PL!AB36-PL!AB35</f>
        <v>0</v>
      </c>
      <c r="U9" s="181">
        <f>PL!AC36-PL!AC35</f>
        <v>0</v>
      </c>
      <c r="V9" s="181">
        <f>PL!AD36-PL!AD35</f>
        <v>0</v>
      </c>
    </row>
    <row r="10" spans="1:22" ht="15.75" customHeight="1" x14ac:dyDescent="0.2">
      <c r="A10" s="186"/>
      <c r="B10" s="228" t="s">
        <v>463</v>
      </c>
      <c r="C10" s="180" t="s">
        <v>495</v>
      </c>
      <c r="D10" s="181">
        <f>BS!L11</f>
        <v>8251.2848981930838</v>
      </c>
      <c r="E10" s="181">
        <f>BS!M11</f>
        <v>4396.9986525855484</v>
      </c>
      <c r="F10" s="181">
        <f>BS!N11</f>
        <v>6996.0065442815794</v>
      </c>
      <c r="G10" s="181">
        <f>BS!O11</f>
        <v>4029.7898018731012</v>
      </c>
      <c r="H10" s="181">
        <f>BS!P11</f>
        <v>3429.3466215045632</v>
      </c>
      <c r="I10" s="181">
        <f>BS!Q11</f>
        <v>5974.8593837330918</v>
      </c>
      <c r="J10" s="181">
        <f>BS!R11</f>
        <v>2397.6119658284524</v>
      </c>
      <c r="K10" s="181">
        <f>BS!S11</f>
        <v>5320.5956715829116</v>
      </c>
      <c r="L10" s="181">
        <f>BS!T11</f>
        <v>2491.4904512742619</v>
      </c>
      <c r="M10" s="181">
        <f>BS!U11</f>
        <v>4487.6068449762579</v>
      </c>
      <c r="N10" s="181">
        <f>BS!V11</f>
        <v>2052.8326014799336</v>
      </c>
      <c r="O10" s="181">
        <f>BS!W11</f>
        <v>2116.199566463577</v>
      </c>
      <c r="P10" s="181">
        <f>BS!X11</f>
        <v>1836.9566196483945</v>
      </c>
      <c r="Q10" s="181">
        <f>BS!Y11</f>
        <v>3120.0258317000344</v>
      </c>
      <c r="R10" s="181">
        <f>BS!Z11</f>
        <v>11665.2951290212</v>
      </c>
      <c r="S10" s="181">
        <f>BS!AA11</f>
        <v>9410.9481487837311</v>
      </c>
      <c r="T10" s="181">
        <f>BS!AB11</f>
        <v>7900.6167442327232</v>
      </c>
      <c r="U10" s="181">
        <f>BS!AC11</f>
        <v>4249.5501897290114</v>
      </c>
      <c r="V10" s="181">
        <f>BS!AD11</f>
        <v>5586.3176840858814</v>
      </c>
    </row>
    <row r="11" spans="1:22" ht="15.75" customHeight="1" x14ac:dyDescent="0.2">
      <c r="A11" s="186"/>
      <c r="B11" s="228" t="s">
        <v>465</v>
      </c>
      <c r="C11" s="180" t="s">
        <v>496</v>
      </c>
      <c r="D11" s="181">
        <f>BS!K11</f>
        <v>7714.8310239237107</v>
      </c>
      <c r="E11" s="181">
        <f>BS!L11</f>
        <v>8251.2848981930838</v>
      </c>
      <c r="F11" s="181">
        <f>BS!M11</f>
        <v>4396.9986525855484</v>
      </c>
      <c r="G11" s="181">
        <f>BS!N11</f>
        <v>6996.0065442815794</v>
      </c>
      <c r="H11" s="181">
        <f>BS!O11</f>
        <v>4029.7898018731012</v>
      </c>
      <c r="I11" s="181">
        <f>BS!P11</f>
        <v>3429.3466215045632</v>
      </c>
      <c r="J11" s="181">
        <f>BS!Q11</f>
        <v>5974.8593837330918</v>
      </c>
      <c r="K11" s="181">
        <f>BS!R11</f>
        <v>2397.6119658284524</v>
      </c>
      <c r="L11" s="181">
        <f>BS!S11</f>
        <v>5320.5956715829116</v>
      </c>
      <c r="M11" s="181">
        <f>BS!T11</f>
        <v>2491.4904512742619</v>
      </c>
      <c r="N11" s="181">
        <f>BS!U11</f>
        <v>4487.6068449762579</v>
      </c>
      <c r="O11" s="181">
        <f>BS!V11</f>
        <v>2052.8326014799336</v>
      </c>
      <c r="P11" s="181">
        <f>BS!W11</f>
        <v>2116.199566463577</v>
      </c>
      <c r="Q11" s="181">
        <f>BS!X11</f>
        <v>1836.9566196483945</v>
      </c>
      <c r="R11" s="181">
        <f>BS!Y11</f>
        <v>3120.0258317000344</v>
      </c>
      <c r="S11" s="181">
        <f>BS!Z11</f>
        <v>11665.2951290212</v>
      </c>
      <c r="T11" s="181">
        <f>BS!AA11</f>
        <v>9410.9481487837311</v>
      </c>
      <c r="U11" s="181">
        <f>BS!AB11</f>
        <v>7900.6167442327232</v>
      </c>
      <c r="V11" s="181">
        <f>BS!AC11</f>
        <v>4249.5501897290114</v>
      </c>
    </row>
    <row r="12" spans="1:22" ht="15.75" customHeight="1" x14ac:dyDescent="0.2">
      <c r="A12" s="186"/>
      <c r="B12" s="228" t="s">
        <v>466</v>
      </c>
      <c r="C12" s="180" t="s">
        <v>493</v>
      </c>
      <c r="D12" s="181">
        <f>BS!L13-BS!K13</f>
        <v>-13042.401258206626</v>
      </c>
      <c r="E12" s="181">
        <f>BS!M13-BS!L13</f>
        <v>-7301.3769066363193</v>
      </c>
      <c r="F12" s="181">
        <f>BS!N13-BS!M13</f>
        <v>1907.5854533712145</v>
      </c>
      <c r="G12" s="181">
        <f>BS!O13-BS!N13</f>
        <v>-932.50818278662882</v>
      </c>
      <c r="H12" s="181">
        <f>BS!P13-BS!O13</f>
        <v>-1615.328199960898</v>
      </c>
      <c r="I12" s="181">
        <f>BS!Q13-BS!P13</f>
        <v>2524.1770862994645</v>
      </c>
      <c r="J12" s="181">
        <f>BS!R13-BS!Q13</f>
        <v>-641.55577260902101</v>
      </c>
      <c r="K12" s="181">
        <f>BS!S13-BS!R13</f>
        <v>-3774.1325862155772</v>
      </c>
      <c r="L12" s="181">
        <f>BS!T13-BS!S13</f>
        <v>-686.46229839037005</v>
      </c>
      <c r="M12" s="181">
        <f>BS!U13-BS!T13</f>
        <v>-2052.1794693067686</v>
      </c>
      <c r="N12" s="181">
        <f>BS!V13-BS!U13</f>
        <v>-210.71325832282537</v>
      </c>
      <c r="O12" s="181">
        <f>BS!W13-BS!V13</f>
        <v>20866.066821763718</v>
      </c>
      <c r="P12" s="181">
        <f>BS!X13-BS!W13</f>
        <v>-17398.407437766171</v>
      </c>
      <c r="Q12" s="181">
        <f>BS!Y13-BS!X13</f>
        <v>-1678.0008850211984</v>
      </c>
      <c r="R12" s="181">
        <f>BS!Z13-BS!Y13</f>
        <v>377.69774764672593</v>
      </c>
      <c r="S12" s="181">
        <f>BS!AA13-BS!Z13</f>
        <v>17070.179127954387</v>
      </c>
      <c r="T12" s="181">
        <f>BS!AB13-BS!AA13</f>
        <v>-17693.303803924769</v>
      </c>
      <c r="U12" s="181">
        <f>BS!AC13-BS!AB13</f>
        <v>13295.771795619303</v>
      </c>
      <c r="V12" s="181">
        <f>BS!AD13-BS!AC13</f>
        <v>-14202.332302840188</v>
      </c>
    </row>
    <row r="13" spans="1:22" ht="15.75" customHeight="1" x14ac:dyDescent="0.2">
      <c r="A13" s="186"/>
      <c r="B13" s="228" t="s">
        <v>467</v>
      </c>
      <c r="C13" s="180" t="s">
        <v>493</v>
      </c>
      <c r="D13" s="181">
        <f>BS!L14</f>
        <v>44235.346788202216</v>
      </c>
      <c r="E13" s="181">
        <f>BS!M14</f>
        <v>33043.506227273989</v>
      </c>
      <c r="F13" s="181">
        <f>BS!N14</f>
        <v>23945.503023702615</v>
      </c>
      <c r="G13" s="181">
        <f>BS!O14</f>
        <v>29178.889592773638</v>
      </c>
      <c r="H13" s="181">
        <f>BS!P14</f>
        <v>24187.835155576719</v>
      </c>
      <c r="I13" s="181">
        <f>BS!Q14</f>
        <v>30808.628844679861</v>
      </c>
      <c r="J13" s="181">
        <f>BS!R14</f>
        <v>29124.020382108989</v>
      </c>
      <c r="K13" s="181">
        <f>BS!S14</f>
        <v>24815.960589837763</v>
      </c>
      <c r="L13" s="181">
        <f>BS!T14</f>
        <v>11245.65740807437</v>
      </c>
      <c r="M13" s="181">
        <f>BS!U14</f>
        <v>16456.393198676986</v>
      </c>
      <c r="N13" s="181">
        <f>BS!V14</f>
        <v>14471.551637032791</v>
      </c>
      <c r="O13" s="181">
        <f>BS!W14</f>
        <v>18337.314644535934</v>
      </c>
      <c r="P13" s="181">
        <f>BS!X14</f>
        <v>15342.677336059058</v>
      </c>
      <c r="Q13" s="181">
        <f>BS!Y14</f>
        <v>24752.19795014376</v>
      </c>
      <c r="R13" s="181">
        <f>BS!Z14</f>
        <v>26843.799058939912</v>
      </c>
      <c r="S13" s="181">
        <f>BS!AA14</f>
        <v>27899.084662576701</v>
      </c>
      <c r="T13" s="181">
        <f>BS!AB14</f>
        <v>16789.331039803306</v>
      </c>
      <c r="U13" s="181">
        <f>BS!AC14</f>
        <v>24177.0435888676</v>
      </c>
      <c r="V13" s="181">
        <f>BS!AD14</f>
        <v>37892.06096413327</v>
      </c>
    </row>
    <row r="14" spans="1:22" ht="15.75" customHeight="1" x14ac:dyDescent="0.2">
      <c r="A14" s="186"/>
      <c r="B14" s="228" t="s">
        <v>468</v>
      </c>
      <c r="C14" s="180" t="s">
        <v>497</v>
      </c>
      <c r="D14" s="181">
        <f>BS!L28</f>
        <v>2758.5644956214969</v>
      </c>
      <c r="E14" s="181">
        <f>BS!M28</f>
        <v>2134.2924873846687</v>
      </c>
      <c r="F14" s="181">
        <f>BS!N28</f>
        <v>1703.1054238687375</v>
      </c>
      <c r="G14" s="181">
        <f>BS!O28</f>
        <v>941.55953293718107</v>
      </c>
      <c r="H14" s="181">
        <f>BS!P28</f>
        <v>3268.8691982983751</v>
      </c>
      <c r="I14" s="181">
        <f>BS!Q28</f>
        <v>971.90057989599609</v>
      </c>
      <c r="J14" s="181">
        <f>BS!R28</f>
        <v>586.23186823028914</v>
      </c>
      <c r="K14" s="181">
        <f>BS!S28</f>
        <v>565.4066220623107</v>
      </c>
      <c r="L14" s="181">
        <f>BS!T28</f>
        <v>329.02324198749415</v>
      </c>
      <c r="M14" s="181">
        <f>BS!U28</f>
        <v>373.98329469811335</v>
      </c>
      <c r="N14" s="181">
        <f>BS!V28</f>
        <v>433.08615070484473</v>
      </c>
      <c r="O14" s="181">
        <f>BS!W28</f>
        <v>1158.6939602106668</v>
      </c>
      <c r="P14" s="181">
        <f>BS!X28</f>
        <v>687.38114104263718</v>
      </c>
      <c r="Q14" s="181">
        <f>BS!Y28</f>
        <v>490.79925927780556</v>
      </c>
      <c r="R14" s="181">
        <f>BS!Z28</f>
        <v>502.34171634618394</v>
      </c>
      <c r="S14" s="181">
        <f>BS!AA28</f>
        <v>4394.030005577245</v>
      </c>
      <c r="T14" s="181">
        <f>BS!AB28</f>
        <v>705.87876488076574</v>
      </c>
      <c r="U14" s="181">
        <f>BS!AC28</f>
        <v>179.09098451664858</v>
      </c>
      <c r="V14" s="181">
        <f>BS!AD28</f>
        <v>555.5808669097255</v>
      </c>
    </row>
    <row r="15" spans="1:22" ht="15.75" customHeight="1" x14ac:dyDescent="0.2">
      <c r="A15" s="186"/>
      <c r="B15" s="228" t="s">
        <v>469</v>
      </c>
      <c r="C15" s="180" t="s">
        <v>496</v>
      </c>
      <c r="D15" s="181">
        <f>BS!K14</f>
        <v>36626.784490834601</v>
      </c>
      <c r="E15" s="181">
        <f>BS!L14</f>
        <v>44235.346788202216</v>
      </c>
      <c r="F15" s="181">
        <f>BS!M14</f>
        <v>33043.506227273989</v>
      </c>
      <c r="G15" s="181">
        <f>BS!N14</f>
        <v>23945.503023702615</v>
      </c>
      <c r="H15" s="181">
        <f>BS!O14</f>
        <v>29178.889592773638</v>
      </c>
      <c r="I15" s="181">
        <f>BS!P14</f>
        <v>24187.835155576719</v>
      </c>
      <c r="J15" s="181">
        <f>BS!Q14</f>
        <v>30808.628844679861</v>
      </c>
      <c r="K15" s="181">
        <f>BS!R14</f>
        <v>29124.020382108989</v>
      </c>
      <c r="L15" s="181">
        <f>BS!S14</f>
        <v>24815.960589837763</v>
      </c>
      <c r="M15" s="181">
        <f>BS!T14</f>
        <v>11245.65740807437</v>
      </c>
      <c r="N15" s="181">
        <f>BS!U14</f>
        <v>16456.393198676986</v>
      </c>
      <c r="O15" s="181">
        <f>BS!V14</f>
        <v>14471.551637032791</v>
      </c>
      <c r="P15" s="181">
        <f>BS!W14</f>
        <v>18337.314644535934</v>
      </c>
      <c r="Q15" s="181">
        <f>BS!X14</f>
        <v>15342.677336059058</v>
      </c>
      <c r="R15" s="181">
        <f>BS!Y14</f>
        <v>24752.19795014376</v>
      </c>
      <c r="S15" s="181">
        <f>BS!Z14</f>
        <v>26843.799058939912</v>
      </c>
      <c r="T15" s="181">
        <f>BS!AA14</f>
        <v>27899.084662576701</v>
      </c>
      <c r="U15" s="181">
        <f>BS!AB14</f>
        <v>16789.331039803306</v>
      </c>
      <c r="V15" s="181">
        <f>BS!AC14</f>
        <v>24177.0435888676</v>
      </c>
    </row>
    <row r="16" spans="1:22" ht="15.75" customHeight="1" x14ac:dyDescent="0.2">
      <c r="A16" s="186"/>
      <c r="B16" s="228" t="s">
        <v>470</v>
      </c>
      <c r="C16" s="180" t="s">
        <v>464</v>
      </c>
      <c r="D16" s="181">
        <f>BS!K28</f>
        <v>1046.37928382668</v>
      </c>
      <c r="E16" s="181">
        <f>BS!L28</f>
        <v>2758.5644956214969</v>
      </c>
      <c r="F16" s="181">
        <f>BS!M28</f>
        <v>2134.2924873846687</v>
      </c>
      <c r="G16" s="181">
        <f>BS!N28</f>
        <v>1703.1054238687375</v>
      </c>
      <c r="H16" s="181">
        <f>BS!O28</f>
        <v>941.55953293718107</v>
      </c>
      <c r="I16" s="181">
        <f>BS!P28</f>
        <v>3268.8691982983751</v>
      </c>
      <c r="J16" s="181">
        <f>BS!Q28</f>
        <v>971.90057989599609</v>
      </c>
      <c r="K16" s="181">
        <f>BS!R28</f>
        <v>586.23186823028914</v>
      </c>
      <c r="L16" s="181">
        <f>BS!S28</f>
        <v>565.4066220623107</v>
      </c>
      <c r="M16" s="181">
        <f>BS!T28</f>
        <v>329.02324198749415</v>
      </c>
      <c r="N16" s="181">
        <f>BS!U28</f>
        <v>373.98329469811335</v>
      </c>
      <c r="O16" s="181">
        <f>BS!V28</f>
        <v>433.08615070484473</v>
      </c>
      <c r="P16" s="181">
        <f>BS!W28</f>
        <v>1158.6939602106668</v>
      </c>
      <c r="Q16" s="181">
        <f>BS!X28</f>
        <v>687.38114104263718</v>
      </c>
      <c r="R16" s="181">
        <f>BS!Y28</f>
        <v>490.79925927780556</v>
      </c>
      <c r="S16" s="181">
        <f>BS!Z28</f>
        <v>502.34171634618394</v>
      </c>
      <c r="T16" s="181">
        <f>BS!AA28</f>
        <v>4394.030005577245</v>
      </c>
      <c r="U16" s="181">
        <f>BS!AB28</f>
        <v>705.87876488076574</v>
      </c>
      <c r="V16" s="181">
        <f>BS!AC28</f>
        <v>179.09098451664858</v>
      </c>
    </row>
    <row r="17" spans="1:22" ht="15.75" customHeight="1" x14ac:dyDescent="0.2">
      <c r="A17" s="186"/>
      <c r="B17" s="228" t="s">
        <v>471</v>
      </c>
      <c r="C17" s="180" t="s">
        <v>499</v>
      </c>
      <c r="D17" s="181">
        <f>BS!L32</f>
        <v>5733.4933113662009</v>
      </c>
      <c r="E17" s="181">
        <f>BS!M32</f>
        <v>4471.1117176863199</v>
      </c>
      <c r="F17" s="181">
        <f>BS!N32</f>
        <v>4805.6028397417576</v>
      </c>
      <c r="G17" s="181">
        <f>BS!O32</f>
        <v>4732.0736514746113</v>
      </c>
      <c r="H17" s="181">
        <f>BS!P32</f>
        <v>3712.1003542737035</v>
      </c>
      <c r="I17" s="181">
        <f>BS!Q32</f>
        <v>10463.826170555263</v>
      </c>
      <c r="J17" s="181">
        <f>BS!R32</f>
        <v>2678.6517625821775</v>
      </c>
      <c r="K17" s="181">
        <f>BS!S32</f>
        <v>2355.439168405273</v>
      </c>
      <c r="L17" s="181">
        <f>BS!T32</f>
        <v>2935.4377258678478</v>
      </c>
      <c r="M17" s="181">
        <f>BS!U32</f>
        <v>2123.465085866078</v>
      </c>
      <c r="N17" s="181">
        <f>BS!V32</f>
        <v>2897.2069281304216</v>
      </c>
      <c r="O17" s="181">
        <f>BS!W32</f>
        <v>2603.7085143673235</v>
      </c>
      <c r="P17" s="181">
        <f>BS!X32</f>
        <v>2314.814759682039</v>
      </c>
      <c r="Q17" s="181">
        <f>BS!Y32</f>
        <v>2439.6313475815487</v>
      </c>
      <c r="R17" s="181">
        <f>BS!Z32</f>
        <v>5943.0306559840346</v>
      </c>
      <c r="S17" s="181">
        <f>BS!AA32</f>
        <v>9841.5584023338633</v>
      </c>
      <c r="T17" s="181">
        <f>BS!AB32</f>
        <v>9140.8836383707367</v>
      </c>
      <c r="U17" s="181">
        <f>BS!AC32</f>
        <v>4950.0330348100888</v>
      </c>
      <c r="V17" s="181">
        <f>BS!AD32</f>
        <v>12051.915876725563</v>
      </c>
    </row>
    <row r="18" spans="1:22" ht="15.75" customHeight="1" x14ac:dyDescent="0.2">
      <c r="A18" s="186"/>
      <c r="B18" s="228" t="s">
        <v>472</v>
      </c>
      <c r="C18" s="180" t="s">
        <v>498</v>
      </c>
      <c r="D18" s="181">
        <f>BS!K32</f>
        <v>8654.0499727345195</v>
      </c>
      <c r="E18" s="181">
        <f>BS!L32</f>
        <v>5733.4933113662009</v>
      </c>
      <c r="F18" s="181">
        <f>BS!M32</f>
        <v>4471.1117176863199</v>
      </c>
      <c r="G18" s="181">
        <f>BS!N32</f>
        <v>4805.6028397417576</v>
      </c>
      <c r="H18" s="181">
        <f>BS!O32</f>
        <v>4732.0736514746113</v>
      </c>
      <c r="I18" s="181">
        <f>BS!P32</f>
        <v>3712.1003542737035</v>
      </c>
      <c r="J18" s="181">
        <f>BS!Q32</f>
        <v>10463.826170555263</v>
      </c>
      <c r="K18" s="181">
        <f>BS!R32</f>
        <v>2678.6517625821775</v>
      </c>
      <c r="L18" s="181">
        <f>BS!S32</f>
        <v>2355.439168405273</v>
      </c>
      <c r="M18" s="181">
        <f>BS!T32</f>
        <v>2935.4377258678478</v>
      </c>
      <c r="N18" s="181">
        <f>BS!U32</f>
        <v>2123.465085866078</v>
      </c>
      <c r="O18" s="181">
        <f>BS!V32</f>
        <v>2897.2069281304216</v>
      </c>
      <c r="P18" s="181">
        <f>BS!W32</f>
        <v>2603.7085143673235</v>
      </c>
      <c r="Q18" s="181">
        <f>BS!X32</f>
        <v>2314.814759682039</v>
      </c>
      <c r="R18" s="181">
        <f>BS!Y32</f>
        <v>2439.6313475815487</v>
      </c>
      <c r="S18" s="181">
        <f>BS!Z32</f>
        <v>5943.0306559840346</v>
      </c>
      <c r="T18" s="181">
        <f>BS!AA32</f>
        <v>9841.5584023338633</v>
      </c>
      <c r="U18" s="181">
        <f>BS!AB32</f>
        <v>9140.8836383707367</v>
      </c>
      <c r="V18" s="181">
        <f>BS!AC32</f>
        <v>4950.0330348100888</v>
      </c>
    </row>
    <row r="19" spans="1:22" ht="15.75" customHeight="1" x14ac:dyDescent="0.2">
      <c r="A19" s="186"/>
      <c r="B19" s="228" t="s">
        <v>473</v>
      </c>
      <c r="C19" s="180" t="s">
        <v>494</v>
      </c>
      <c r="D19" s="181">
        <f>BS!L36+BS!L42</f>
        <v>183552.40772908795</v>
      </c>
      <c r="E19" s="181">
        <f>BS!M36+BS!M42</f>
        <v>127712.76134755305</v>
      </c>
      <c r="F19" s="181">
        <f>BS!N36+BS!N42</f>
        <v>144030.91298780459</v>
      </c>
      <c r="G19" s="181">
        <f>BS!O36+BS!O42</f>
        <v>109265.84150373933</v>
      </c>
      <c r="H19" s="181">
        <f>BS!P36+BS!P42</f>
        <v>99781.164500513041</v>
      </c>
      <c r="I19" s="181">
        <f>BS!Q36+BS!Q42</f>
        <v>108901.93911944609</v>
      </c>
      <c r="J19" s="181">
        <f>BS!R36+BS!R42</f>
        <v>90439.866417988815</v>
      </c>
      <c r="K19" s="181">
        <f>BS!S36+BS!S42</f>
        <v>65162.514975482904</v>
      </c>
      <c r="L19" s="181">
        <f>BS!T36+BS!T42</f>
        <v>55755.882158627312</v>
      </c>
      <c r="M19" s="181">
        <f>BS!U36+BS!U42</f>
        <v>59982.56834861204</v>
      </c>
      <c r="N19" s="181">
        <f>BS!V36+BS!V42</f>
        <v>95022.432856767613</v>
      </c>
      <c r="O19" s="181">
        <f>BS!W36+BS!W42</f>
        <v>67844.964242836504</v>
      </c>
      <c r="P19" s="181">
        <f>BS!X36+BS!X42</f>
        <v>69391.09564657486</v>
      </c>
      <c r="Q19" s="181">
        <f>BS!Y36+BS!Y42</f>
        <v>77931.512019994698</v>
      </c>
      <c r="R19" s="181">
        <f>BS!Z36+BS!Z42</f>
        <v>63682.661562363253</v>
      </c>
      <c r="S19" s="181">
        <f>BS!AA36+BS!AA42</f>
        <v>89837.506482474564</v>
      </c>
      <c r="T19" s="181">
        <f>BS!AB36+BS!AB42</f>
        <v>55262.804157206105</v>
      </c>
      <c r="U19" s="181">
        <f>BS!AC36+BS!AC42</f>
        <v>55963.037646872217</v>
      </c>
      <c r="V19" s="181">
        <f>BS!AD36+BS!AD42</f>
        <v>108191.58760400116</v>
      </c>
    </row>
    <row r="20" spans="1:22" ht="15.75" customHeight="1" x14ac:dyDescent="0.2">
      <c r="A20" s="186"/>
      <c r="B20" s="229" t="s">
        <v>474</v>
      </c>
      <c r="C20" s="180" t="s">
        <v>498</v>
      </c>
      <c r="D20" s="181">
        <f>BS!K36+BS!K42</f>
        <v>120530.05495043271</v>
      </c>
      <c r="E20" s="181">
        <f>BS!L36+BS!L42</f>
        <v>183552.40772908795</v>
      </c>
      <c r="F20" s="181">
        <f>BS!M36+BS!M42</f>
        <v>127712.76134755305</v>
      </c>
      <c r="G20" s="181">
        <f>BS!N36+BS!N42</f>
        <v>144030.91298780459</v>
      </c>
      <c r="H20" s="181">
        <f>BS!O36+BS!O42</f>
        <v>109265.84150373933</v>
      </c>
      <c r="I20" s="181">
        <f>BS!P36+BS!P42</f>
        <v>99781.164500513041</v>
      </c>
      <c r="J20" s="181">
        <f>BS!Q36+BS!Q42</f>
        <v>108901.93911944609</v>
      </c>
      <c r="K20" s="181">
        <f>BS!R36+BS!R42</f>
        <v>90439.866417988815</v>
      </c>
      <c r="L20" s="181">
        <f>BS!S36+BS!S42</f>
        <v>65162.514975482904</v>
      </c>
      <c r="M20" s="181">
        <f>BS!T36+BS!T42</f>
        <v>55755.882158627312</v>
      </c>
      <c r="N20" s="181">
        <f>BS!U36+BS!U42</f>
        <v>59982.56834861204</v>
      </c>
      <c r="O20" s="181">
        <f>BS!V36+BS!V42</f>
        <v>95022.432856767613</v>
      </c>
      <c r="P20" s="181">
        <f>BS!W36+BS!W42</f>
        <v>67844.964242836504</v>
      </c>
      <c r="Q20" s="181">
        <f>BS!X36+BS!X42</f>
        <v>69391.09564657486</v>
      </c>
      <c r="R20" s="181">
        <f>BS!Y36+BS!Y42</f>
        <v>77931.512019994698</v>
      </c>
      <c r="S20" s="181">
        <f>BS!Z36+BS!Z42</f>
        <v>63682.661562363253</v>
      </c>
      <c r="T20" s="181">
        <f>BS!AA36+BS!AA42</f>
        <v>89837.506482474564</v>
      </c>
      <c r="U20" s="181">
        <f>BS!AB36+BS!AB42</f>
        <v>55262.804157206105</v>
      </c>
      <c r="V20" s="181">
        <f>BS!AC36+BS!AC42</f>
        <v>55963.037646872217</v>
      </c>
    </row>
    <row r="21" spans="1:22"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c r="V21" s="183"/>
    </row>
    <row r="22" spans="1:22" ht="15.75" customHeight="1" x14ac:dyDescent="0.2">
      <c r="A22" s="187"/>
      <c r="B22" s="209" t="s">
        <v>476</v>
      </c>
      <c r="C22" s="225"/>
      <c r="D22" s="226">
        <f t="shared" ref="D22:K22" si="0">D5+D6-D7+D8+D9-D10+D11-D12-D13-D14+D15+D16+D17-D18+D19-D20-D21</f>
        <v>94199.945258729596</v>
      </c>
      <c r="E22" s="226">
        <f t="shared" si="0"/>
        <v>-12166.848602330632</v>
      </c>
      <c r="F22" s="226">
        <f t="shared" si="0"/>
        <v>44333.150311820034</v>
      </c>
      <c r="G22" s="226">
        <f t="shared" si="0"/>
        <v>-14176.338834030117</v>
      </c>
      <c r="H22" s="226">
        <f t="shared" si="0"/>
        <v>15596.557821048773</v>
      </c>
      <c r="I22" s="226">
        <f t="shared" si="0"/>
        <v>31231.045782711517</v>
      </c>
      <c r="J22" s="226">
        <f t="shared" si="0"/>
        <v>-3978.2902487201936</v>
      </c>
      <c r="K22" s="226">
        <f t="shared" si="0"/>
        <v>-7169.3935607588501</v>
      </c>
      <c r="L22" s="226">
        <f t="shared" ref="L22:V22" si="1">L5+L6-L7+L8+L9-L10+L11-L12-L13-L14+L15+L16+L17-L18+L19-L20-L21</f>
        <v>21578.310246538298</v>
      </c>
      <c r="M22" s="226">
        <f t="shared" si="1"/>
        <v>11890.357306011734</v>
      </c>
      <c r="N22" s="226">
        <f t="shared" si="1"/>
        <v>46480.743849196282</v>
      </c>
      <c r="O22" s="226">
        <f t="shared" si="1"/>
        <v>-36993.936152929411</v>
      </c>
      <c r="P22" s="226">
        <f t="shared" si="1"/>
        <v>37545.515868114177</v>
      </c>
      <c r="Q22" s="226">
        <f t="shared" ref="Q22:R22" si="2">Q5+Q6-Q7+Q8+Q9-Q10+Q11-Q12-Q13-Q14+Q15+Q16+Q17-Q18+Q19-Q20-Q21</f>
        <v>16129.240588373097</v>
      </c>
      <c r="R22" s="226">
        <f t="shared" si="2"/>
        <v>12825.967530622525</v>
      </c>
      <c r="S22" s="226">
        <f t="shared" ref="S22:T22" si="3">S5+S6-S7+S8+S9-S10+S11-S12-S13-S14+S15+S16+S17-S18+S19-S20-S21</f>
        <v>24841.979341994607</v>
      </c>
      <c r="T22" s="226">
        <f t="shared" si="3"/>
        <v>13375.028055408722</v>
      </c>
      <c r="U22" s="226">
        <f t="shared" ref="U22" si="4">U5+U6-U7+U8+U9-U10+U11-U12-U13-U14+U15+U16+U17-U18+U19-U20-U21</f>
        <v>-37692.561085569272</v>
      </c>
      <c r="V22" s="226">
        <f t="shared" si="1"/>
        <v>82963.034627080662</v>
      </c>
    </row>
    <row r="23" spans="1:22"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c r="V23" s="224"/>
    </row>
    <row r="24" spans="1:22" ht="15.75" customHeight="1" x14ac:dyDescent="0.2">
      <c r="A24" s="232"/>
      <c r="B24" s="227" t="s">
        <v>501</v>
      </c>
      <c r="C24" s="178" t="s">
        <v>491</v>
      </c>
      <c r="D24" s="179">
        <f>D37</f>
        <v>5443.786984180595</v>
      </c>
      <c r="E24" s="179">
        <f>E37</f>
        <v>-3934.035750219482</v>
      </c>
      <c r="F24" s="179">
        <f t="shared" ref="F24:K24" si="5">F37</f>
        <v>7094.5323985046853</v>
      </c>
      <c r="G24" s="179">
        <f t="shared" si="5"/>
        <v>-4547.3915683733649</v>
      </c>
      <c r="H24" s="179">
        <f t="shared" si="5"/>
        <v>-9897.3879387182969</v>
      </c>
      <c r="I24" s="179">
        <f t="shared" si="5"/>
        <v>9196.7582720990104</v>
      </c>
      <c r="J24" s="179">
        <f t="shared" si="5"/>
        <v>-3401.8207404343557</v>
      </c>
      <c r="K24" s="179">
        <f t="shared" si="5"/>
        <v>-11448.964834592087</v>
      </c>
      <c r="L24" s="179">
        <f t="shared" ref="L24:V24" si="6">L37</f>
        <v>-9248.1967851902118</v>
      </c>
      <c r="M24" s="179">
        <f t="shared" si="6"/>
        <v>23920.157679524684</v>
      </c>
      <c r="N24" s="179">
        <f t="shared" si="6"/>
        <v>43004.808131283367</v>
      </c>
      <c r="O24" s="179">
        <f t="shared" si="6"/>
        <v>-50153.228452239076</v>
      </c>
      <c r="P24" s="179">
        <f t="shared" si="6"/>
        <v>-343.33785343784984</v>
      </c>
      <c r="Q24" s="179">
        <f t="shared" ref="Q24:R24" si="7">Q37</f>
        <v>9888.5461817293908</v>
      </c>
      <c r="R24" s="179">
        <f t="shared" si="7"/>
        <v>12414.446446298192</v>
      </c>
      <c r="S24" s="179">
        <f t="shared" ref="S24:T24" si="8">S37</f>
        <v>-6081.6266395371858</v>
      </c>
      <c r="T24" s="179">
        <f t="shared" si="8"/>
        <v>6127.7690073041085</v>
      </c>
      <c r="U24" s="179">
        <f t="shared" ref="U24" si="9">U37</f>
        <v>-12800.059867624885</v>
      </c>
      <c r="V24" s="179">
        <f t="shared" si="6"/>
        <v>43416.941598724668</v>
      </c>
    </row>
    <row r="25" spans="1:22" ht="15.75" customHeight="1" x14ac:dyDescent="0.2">
      <c r="A25" s="186"/>
      <c r="B25" s="231" t="s">
        <v>478</v>
      </c>
      <c r="C25" s="182" t="s">
        <v>502</v>
      </c>
      <c r="D25" s="183">
        <f>D22+D33</f>
        <v>186824.24044147329</v>
      </c>
      <c r="E25" s="183">
        <f>E22+E33</f>
        <v>-195362.68441596904</v>
      </c>
      <c r="F25" s="183">
        <f t="shared" ref="F25:K25" si="10">F22+F33</f>
        <v>62272.918324762839</v>
      </c>
      <c r="G25" s="183">
        <f t="shared" si="10"/>
        <v>-73332.949811488768</v>
      </c>
      <c r="H25" s="183">
        <f t="shared" si="10"/>
        <v>39671.457738133366</v>
      </c>
      <c r="I25" s="183">
        <f t="shared" si="10"/>
        <v>107885.34455048757</v>
      </c>
      <c r="J25" s="183">
        <f t="shared" si="10"/>
        <v>-109438.24610989734</v>
      </c>
      <c r="K25" s="183">
        <f t="shared" si="10"/>
        <v>-45081.595479715681</v>
      </c>
      <c r="L25" s="183">
        <f t="shared" ref="L25:V25" si="11">L22+L33</f>
        <v>7644.7204500545849</v>
      </c>
      <c r="M25" s="183">
        <f t="shared" si="11"/>
        <v>24321.752304996524</v>
      </c>
      <c r="N25" s="183">
        <f t="shared" si="11"/>
        <v>51956.58104010018</v>
      </c>
      <c r="O25" s="183">
        <f t="shared" si="11"/>
        <v>-6356.1590845323117</v>
      </c>
      <c r="P25" s="183">
        <f t="shared" si="11"/>
        <v>2736.802873413777</v>
      </c>
      <c r="Q25" s="183">
        <f t="shared" ref="Q25:R25" si="12">Q22+Q33</f>
        <v>76643.030636998403</v>
      </c>
      <c r="R25" s="183">
        <f t="shared" si="12"/>
        <v>-40603.540952884388</v>
      </c>
      <c r="S25" s="183">
        <f t="shared" ref="S25:T25" si="13">S22+S33</f>
        <v>43365.788293632009</v>
      </c>
      <c r="T25" s="183">
        <f t="shared" si="13"/>
        <v>130004.07184763023</v>
      </c>
      <c r="U25" s="183">
        <f t="shared" ref="U25" si="14">U22+U33</f>
        <v>-150662.20873966193</v>
      </c>
      <c r="V25" s="183">
        <f t="shared" si="11"/>
        <v>144173.99268843373</v>
      </c>
    </row>
    <row r="26" spans="1:22" ht="15.75" customHeight="1" x14ac:dyDescent="0.2">
      <c r="A26" s="187"/>
      <c r="B26" s="209" t="s">
        <v>476</v>
      </c>
      <c r="C26" s="225"/>
      <c r="D26" s="226">
        <f t="shared" ref="D26:K26" si="15">D24-D25</f>
        <v>-181380.45345729269</v>
      </c>
      <c r="E26" s="226">
        <f t="shared" si="15"/>
        <v>191428.64866574956</v>
      </c>
      <c r="F26" s="226">
        <f t="shared" si="15"/>
        <v>-55178.385926258154</v>
      </c>
      <c r="G26" s="226">
        <f t="shared" si="15"/>
        <v>68785.558243115403</v>
      </c>
      <c r="H26" s="226">
        <f t="shared" si="15"/>
        <v>-49568.845676851663</v>
      </c>
      <c r="I26" s="226">
        <f t="shared" si="15"/>
        <v>-98688.586278388568</v>
      </c>
      <c r="J26" s="226">
        <f t="shared" si="15"/>
        <v>106036.42536946299</v>
      </c>
      <c r="K26" s="226">
        <f t="shared" si="15"/>
        <v>33632.630645123594</v>
      </c>
      <c r="L26" s="226">
        <f t="shared" ref="L26:V26" si="16">L24-L25</f>
        <v>-16892.917235244797</v>
      </c>
      <c r="M26" s="226">
        <f t="shared" si="16"/>
        <v>-401.59462547184012</v>
      </c>
      <c r="N26" s="226">
        <f t="shared" si="16"/>
        <v>-8951.7729088168126</v>
      </c>
      <c r="O26" s="226">
        <f t="shared" si="16"/>
        <v>-43797.069367706761</v>
      </c>
      <c r="P26" s="226">
        <f t="shared" si="16"/>
        <v>-3080.1407268516268</v>
      </c>
      <c r="Q26" s="226">
        <f t="shared" ref="Q26:R26" si="17">Q24-Q25</f>
        <v>-66754.484455269005</v>
      </c>
      <c r="R26" s="226">
        <f t="shared" si="17"/>
        <v>53017.987399182581</v>
      </c>
      <c r="S26" s="226">
        <f t="shared" ref="S26:T26" si="18">S24-S25</f>
        <v>-49447.414933169195</v>
      </c>
      <c r="T26" s="226">
        <f t="shared" si="18"/>
        <v>-123876.30284032613</v>
      </c>
      <c r="U26" s="226">
        <f t="shared" ref="U26" si="19">U24-U25</f>
        <v>137862.14887203704</v>
      </c>
      <c r="V26" s="226">
        <f t="shared" si="16"/>
        <v>-100757.05108970907</v>
      </c>
    </row>
    <row r="27" spans="1:22"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c r="V27" s="224"/>
    </row>
    <row r="28" spans="1:22" ht="15.75" customHeight="1" x14ac:dyDescent="0.2">
      <c r="A28" s="232"/>
      <c r="B28" s="227" t="s">
        <v>480</v>
      </c>
      <c r="C28" s="178" t="s">
        <v>494</v>
      </c>
      <c r="D28" s="179">
        <f>(BS!L33+BS!L34)-(BS!K33+BS!K34)</f>
        <v>52806.156578136448</v>
      </c>
      <c r="E28" s="179">
        <f>(BS!M33+BS!M34)-(BS!L33+BS!L34)</f>
        <v>-54156.270944378237</v>
      </c>
      <c r="F28" s="179">
        <f>(BS!N33+BS!N34)-(BS!M33+BS!M34)</f>
        <v>17733.404671636454</v>
      </c>
      <c r="G28" s="179">
        <f>(BS!O33+BS!O34)-(BS!N33+BS!N34)</f>
        <v>-28360.938815233123</v>
      </c>
      <c r="H28" s="179">
        <f>(BS!P33+BS!P34)-(BS!O33+BS!O34)</f>
        <v>8864.0575938147085</v>
      </c>
      <c r="I28" s="179">
        <f>(BS!Q33+BS!Q34)-(BS!P33+BS!P34)</f>
        <v>20784.089922210478</v>
      </c>
      <c r="J28" s="179">
        <f>(BS!R33+BS!R34)-(BS!Q33+BS!Q34)</f>
        <v>-50515.762177975266</v>
      </c>
      <c r="K28" s="179">
        <f>(BS!S33+BS!S34)-(BS!R33+BS!R34)</f>
        <v>-1426.1485791019441</v>
      </c>
      <c r="L28" s="179">
        <f>(BS!T33+BS!T34)-(BS!S33+BS!S34)</f>
        <v>-11182.237865085452</v>
      </c>
      <c r="M28" s="179">
        <f>(BS!U33+BS!U34)-(BS!T33+BS!T34)</f>
        <v>24923.867691514497</v>
      </c>
      <c r="N28" s="179">
        <f>(BS!V33+BS!V34)-(BS!U33+BS!U34)</f>
        <v>-12804.929447413</v>
      </c>
      <c r="O28" s="179">
        <f>(BS!W33+BS!W34)-(BS!V33+BS!V34)</f>
        <v>-325.87844598361698</v>
      </c>
      <c r="P28" s="179">
        <f>(BS!X33+BS!X34)-(BS!W33+BS!W34)</f>
        <v>-8449.7102044367493</v>
      </c>
      <c r="Q28" s="179">
        <f>(BS!Y33+BS!Y34)-(BS!X33+BS!X34)</f>
        <v>324.8011431431878</v>
      </c>
      <c r="R28" s="179">
        <f>(BS!Z33+BS!Z34)-(BS!Y33+BS!Y34)</f>
        <v>3339.2563794419402</v>
      </c>
      <c r="S28" s="179">
        <f>(BS!AA33+BS!AA34)-(BS!Z33+BS!Z34)</f>
        <v>3013.350966131824</v>
      </c>
      <c r="T28" s="179">
        <f>(BS!AB33+BS!AB34)-(BS!AA33+BS!AA34)</f>
        <v>-1871.1020143585702</v>
      </c>
      <c r="U28" s="179">
        <f>(BS!AC33+BS!AC34)-(BS!AB33+BS!AB34)</f>
        <v>-3128.487472946159</v>
      </c>
      <c r="V28" s="179">
        <f>(BS!AD33+BS!AD34)-(BS!AC33+BS!AC34)</f>
        <v>4579.1087081667938</v>
      </c>
    </row>
    <row r="29" spans="1:22" ht="15.75" customHeight="1" x14ac:dyDescent="0.2">
      <c r="A29" s="186"/>
      <c r="B29" s="228" t="s">
        <v>481</v>
      </c>
      <c r="C29" s="180" t="s">
        <v>499</v>
      </c>
      <c r="D29" s="181">
        <f>(BS!L38+BS!L39+BS!L40)-(BS!K38+BS!K39+BS!K40)</f>
        <v>22087.918345201993</v>
      </c>
      <c r="E29" s="181">
        <f>(BS!M38+BS!M39+BS!M40)-(BS!L38+BS!L39+BS!L40)</f>
        <v>-108087.49987020902</v>
      </c>
      <c r="F29" s="181">
        <f>(BS!N38+BS!N39+BS!N40)-(BS!M38+BS!M39+BS!M40)</f>
        <v>-5479.5112189893844</v>
      </c>
      <c r="G29" s="181">
        <f>(BS!O38+BS!O39+BS!O40)-(BS!N38+BS!N39+BS!N40)</f>
        <v>-25333.983583897061</v>
      </c>
      <c r="H29" s="181">
        <f>(BS!P38+BS!P39+BS!P40)-(BS!O38+BS!O39+BS!O40)</f>
        <v>14165.138698687428</v>
      </c>
      <c r="I29" s="181">
        <f>(BS!Q38+BS!Q39+BS!Q40)-(BS!P38+BS!P39+BS!P40)</f>
        <v>37382.7951153373</v>
      </c>
      <c r="J29" s="181">
        <f>(BS!R38+BS!R39+BS!R40)-(BS!Q38+BS!Q39+BS!Q40)</f>
        <v>-33508.521576267114</v>
      </c>
      <c r="K29" s="181">
        <f>(BS!S38+BS!S39+BS!S40)-(BS!R38+BS!R39+BS!R40)</f>
        <v>-53247.9352786823</v>
      </c>
      <c r="L29" s="181">
        <f>(BS!T38+BS!T39+BS!T40)-(BS!S38+BS!S39+BS!S40)</f>
        <v>20341.014257041737</v>
      </c>
      <c r="M29" s="181">
        <f>(BS!U38+BS!U39+BS!U40)-(BS!T38+BS!T39+BS!T40)</f>
        <v>-20799.590144021757</v>
      </c>
      <c r="N29" s="181">
        <f>(BS!V38+BS!V39+BS!V40)-(BS!U38+BS!U39+BS!U40)</f>
        <v>14316.326983072795</v>
      </c>
      <c r="O29" s="181">
        <f>(BS!W38+BS!W39+BS!W40)-(BS!V38+BS!V39+BS!V40)</f>
        <v>3446.4661891060823</v>
      </c>
      <c r="P29" s="181">
        <f>(BS!X38+BS!X39+BS!X40)-(BS!W38+BS!W39+BS!W40)</f>
        <v>11469.002066885645</v>
      </c>
      <c r="Q29" s="181">
        <f>(BS!Y38+BS!Y39+BS!Y40)-(BS!X38+BS!X39+BS!X40)</f>
        <v>20982.750818310888</v>
      </c>
      <c r="R29" s="181">
        <f>(BS!Z38+BS!Z39+BS!Z40)-(BS!Y38+BS!Y39+BS!Y40)</f>
        <v>-26626.528760295827</v>
      </c>
      <c r="S29" s="181">
        <f>(BS!AA38+BS!AA39+BS!AA40)-(BS!Z38+BS!Z39+BS!Z40)</f>
        <v>29.922852051066002</v>
      </c>
      <c r="T29" s="181">
        <f>(BS!AB38+BS!AB39+BS!AB40)-(BS!AA38+BS!AA39+BS!AA40)</f>
        <v>94780.226041953516</v>
      </c>
      <c r="U29" s="181">
        <f>(BS!AC38+BS!AC39+BS!AC40)-(BS!AB38+BS!AB39+BS!AB40)</f>
        <v>-83987.146319870837</v>
      </c>
      <c r="V29" s="181">
        <f>(BS!AD38+BS!AD39+BS!AD40)-(BS!AC38+BS!AC39+BS!AC40)</f>
        <v>61405.845164398808</v>
      </c>
    </row>
    <row r="30" spans="1:22" ht="15.75" customHeight="1" x14ac:dyDescent="0.2">
      <c r="A30" s="186"/>
      <c r="B30" s="228" t="s">
        <v>482</v>
      </c>
      <c r="C30" s="180" t="s">
        <v>499</v>
      </c>
      <c r="D30" s="181">
        <f>BS!L45+BS!L46</f>
        <v>47407.87235185616</v>
      </c>
      <c r="E30" s="181">
        <f>BS!M45+BS!M46</f>
        <v>26455.807352804994</v>
      </c>
      <c r="F30" s="181">
        <f>BS!N45+BS!N46</f>
        <v>32141.681913100729</v>
      </c>
      <c r="G30" s="181">
        <f>BS!O45+BS!O46</f>
        <v>26679.993334772254</v>
      </c>
      <c r="H30" s="181">
        <f>BS!P45+BS!P46</f>
        <v>27725.696959354707</v>
      </c>
      <c r="I30" s="181">
        <f>BS!Q45+BS!Q46</f>
        <v>46213.11068958298</v>
      </c>
      <c r="J30" s="181">
        <f>BS!R45+BS!R46</f>
        <v>24777.438582648218</v>
      </c>
      <c r="K30" s="181">
        <f>BS!S45+BS!S46</f>
        <v>41539.320521475631</v>
      </c>
      <c r="L30" s="181">
        <f>BS!T45+BS!T46</f>
        <v>18446.954333035632</v>
      </c>
      <c r="M30" s="181">
        <f>BS!U45+BS!U46</f>
        <v>26754.071784527681</v>
      </c>
      <c r="N30" s="181">
        <f>BS!V45+BS!V46</f>
        <v>30718.511439771788</v>
      </c>
      <c r="O30" s="181">
        <f>BS!W45+BS!W46</f>
        <v>58235.700765046422</v>
      </c>
      <c r="P30" s="181">
        <f>BS!X45+BS!X46</f>
        <v>20407.69590789713</v>
      </c>
      <c r="Q30" s="181">
        <f>BS!Y45+BS!Y46</f>
        <v>59613.93399506835</v>
      </c>
      <c r="R30" s="181">
        <f>BS!Z45+BS!Z46</f>
        <v>29471.697892415323</v>
      </c>
      <c r="S30" s="181">
        <f>BS!AA45+BS!AA46</f>
        <v>44952.233025869835</v>
      </c>
      <c r="T30" s="181">
        <f>BS!AB45+BS!AB46</f>
        <v>68672.152790496388</v>
      </c>
      <c r="U30" s="181">
        <f>BS!AC45+BS!AC46</f>
        <v>42818.13892922071</v>
      </c>
      <c r="V30" s="181">
        <f>BS!AD45+BS!AD46</f>
        <v>38044.143118008164</v>
      </c>
    </row>
    <row r="31" spans="1:22" ht="15.75" customHeight="1" x14ac:dyDescent="0.2">
      <c r="A31" s="186"/>
      <c r="B31" s="228" t="s">
        <v>483</v>
      </c>
      <c r="C31" s="180" t="s">
        <v>498</v>
      </c>
      <c r="D31" s="181">
        <f>BS!K45+BS!K46</f>
        <v>29677.652092450917</v>
      </c>
      <c r="E31" s="181">
        <f>BS!L45+BS!L46</f>
        <v>47407.87235185616</v>
      </c>
      <c r="F31" s="181">
        <f>BS!M45+BS!M46</f>
        <v>26455.807352804994</v>
      </c>
      <c r="G31" s="181">
        <f>BS!N45+BS!N46</f>
        <v>32141.681913100729</v>
      </c>
      <c r="H31" s="181">
        <f>BS!O45+BS!O46</f>
        <v>26679.993334772254</v>
      </c>
      <c r="I31" s="181">
        <f>BS!P45+BS!P46</f>
        <v>27725.696959354707</v>
      </c>
      <c r="J31" s="181">
        <f>BS!Q45+BS!Q46</f>
        <v>46213.11068958298</v>
      </c>
      <c r="K31" s="181">
        <f>BS!R45+BS!R46</f>
        <v>24777.438582648218</v>
      </c>
      <c r="L31" s="181">
        <f>BS!S45+BS!S46</f>
        <v>41539.320521475631</v>
      </c>
      <c r="M31" s="181">
        <f>BS!T45+BS!T46</f>
        <v>18446.954333035632</v>
      </c>
      <c r="N31" s="181">
        <f>BS!U45+BS!U46</f>
        <v>26754.071784527681</v>
      </c>
      <c r="O31" s="181">
        <f>BS!V45+BS!V46</f>
        <v>30718.511439771788</v>
      </c>
      <c r="P31" s="181">
        <f>BS!W45+BS!W46</f>
        <v>58235.700765046422</v>
      </c>
      <c r="Q31" s="181">
        <f>BS!X45+BS!X46</f>
        <v>20407.69590789713</v>
      </c>
      <c r="R31" s="181">
        <f>BS!Y45+BS!Y46</f>
        <v>59613.93399506835</v>
      </c>
      <c r="S31" s="181">
        <f>BS!Z45+BS!Z46</f>
        <v>29471.697892415323</v>
      </c>
      <c r="T31" s="181">
        <f>BS!AA45+BS!AA46</f>
        <v>44952.233025869835</v>
      </c>
      <c r="U31" s="181">
        <f>BS!AB45+BS!AB46</f>
        <v>68672.152790496388</v>
      </c>
      <c r="V31" s="181">
        <f>BS!AC45+BS!AC46</f>
        <v>42818.13892922071</v>
      </c>
    </row>
    <row r="32" spans="1:22"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c r="V32" s="183"/>
    </row>
    <row r="33" spans="1:22" ht="15.75" customHeight="1" x14ac:dyDescent="0.2">
      <c r="A33" s="187"/>
      <c r="B33" s="209" t="s">
        <v>476</v>
      </c>
      <c r="C33" s="225"/>
      <c r="D33" s="226">
        <f t="shared" ref="D33:K33" si="20">D28+D29+D30-D31-D32</f>
        <v>92624.295182743692</v>
      </c>
      <c r="E33" s="226">
        <f t="shared" si="20"/>
        <v>-183195.8358136384</v>
      </c>
      <c r="F33" s="226">
        <f t="shared" si="20"/>
        <v>17939.768012942804</v>
      </c>
      <c r="G33" s="226">
        <f t="shared" si="20"/>
        <v>-59156.610977458658</v>
      </c>
      <c r="H33" s="226">
        <f t="shared" si="20"/>
        <v>24074.899917084593</v>
      </c>
      <c r="I33" s="226">
        <f t="shared" si="20"/>
        <v>76654.298767776054</v>
      </c>
      <c r="J33" s="226">
        <f t="shared" si="20"/>
        <v>-105459.95586117715</v>
      </c>
      <c r="K33" s="226">
        <f t="shared" si="20"/>
        <v>-37912.201918956831</v>
      </c>
      <c r="L33" s="226">
        <f t="shared" ref="L33:V33" si="21">L28+L29+L30-L31-L32</f>
        <v>-13933.589796483713</v>
      </c>
      <c r="M33" s="226">
        <f t="shared" si="21"/>
        <v>12431.39499898479</v>
      </c>
      <c r="N33" s="226">
        <f t="shared" si="21"/>
        <v>5475.8371909039015</v>
      </c>
      <c r="O33" s="226">
        <f t="shared" si="21"/>
        <v>30637.777068397099</v>
      </c>
      <c r="P33" s="226">
        <f t="shared" si="21"/>
        <v>-34808.7129947004</v>
      </c>
      <c r="Q33" s="226">
        <f t="shared" ref="Q33:R33" si="22">Q28+Q29+Q30-Q31-Q32</f>
        <v>60513.790048625306</v>
      </c>
      <c r="R33" s="226">
        <f t="shared" si="22"/>
        <v>-53429.508483506914</v>
      </c>
      <c r="S33" s="226">
        <f t="shared" ref="S33:T33" si="23">S28+S29+S30-S31-S32</f>
        <v>18523.808951637402</v>
      </c>
      <c r="T33" s="226">
        <f t="shared" si="23"/>
        <v>116629.04379222151</v>
      </c>
      <c r="U33" s="226">
        <f t="shared" ref="U33" si="24">U28+U29+U30-U31-U32</f>
        <v>-112969.64765409267</v>
      </c>
      <c r="V33" s="226">
        <f t="shared" si="21"/>
        <v>61210.958061353063</v>
      </c>
    </row>
    <row r="34" spans="1:22"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c r="V34" s="224"/>
    </row>
    <row r="35" spans="1:22" ht="15.75" customHeight="1" x14ac:dyDescent="0.2">
      <c r="A35" s="232"/>
      <c r="B35" s="227" t="s">
        <v>486</v>
      </c>
      <c r="C35" s="178" t="s">
        <v>492</v>
      </c>
      <c r="D35" s="179">
        <f>BS!L10</f>
        <v>54828.817535502589</v>
      </c>
      <c r="E35" s="179">
        <f>BS!M10</f>
        <v>50894.781785283107</v>
      </c>
      <c r="F35" s="179">
        <f>BS!N10</f>
        <v>57989.314183787792</v>
      </c>
      <c r="G35" s="179">
        <f>BS!O10</f>
        <v>53441.922615414427</v>
      </c>
      <c r="H35" s="179">
        <f>BS!P10</f>
        <v>43544.53467669613</v>
      </c>
      <c r="I35" s="179">
        <f>BS!Q10</f>
        <v>52741.292948795141</v>
      </c>
      <c r="J35" s="179">
        <f>BS!R10</f>
        <v>49339.472208360785</v>
      </c>
      <c r="K35" s="179">
        <f>BS!S10</f>
        <v>37890.507373768698</v>
      </c>
      <c r="L35" s="179">
        <f>BS!T10</f>
        <v>28642.310588578486</v>
      </c>
      <c r="M35" s="179">
        <f>BS!U10</f>
        <v>52562.46826810317</v>
      </c>
      <c r="N35" s="179">
        <f>BS!V10</f>
        <v>95567.276399386537</v>
      </c>
      <c r="O35" s="179">
        <f>BS!W10</f>
        <v>45414.047947147461</v>
      </c>
      <c r="P35" s="179">
        <f>BS!X10</f>
        <v>45070.710093709611</v>
      </c>
      <c r="Q35" s="179">
        <f>BS!Y10</f>
        <v>54959.256275439002</v>
      </c>
      <c r="R35" s="179">
        <f>BS!Z10</f>
        <v>67373.702721737194</v>
      </c>
      <c r="S35" s="179">
        <f>BS!AA10</f>
        <v>61292.076082200008</v>
      </c>
      <c r="T35" s="179">
        <f>BS!AB10</f>
        <v>67419.845089504117</v>
      </c>
      <c r="U35" s="179">
        <f>BS!AC10</f>
        <v>54619.785221879232</v>
      </c>
      <c r="V35" s="179">
        <f>BS!AD10</f>
        <v>98036.726820603901</v>
      </c>
    </row>
    <row r="36" spans="1:22" ht="15.75" customHeight="1" x14ac:dyDescent="0.2">
      <c r="A36" s="186"/>
      <c r="B36" s="230" t="s">
        <v>487</v>
      </c>
      <c r="C36" s="182" t="s">
        <v>498</v>
      </c>
      <c r="D36" s="183">
        <f>BS!K10</f>
        <v>49385.030551321994</v>
      </c>
      <c r="E36" s="183">
        <f>BS!L10</f>
        <v>54828.817535502589</v>
      </c>
      <c r="F36" s="183">
        <f>BS!M10</f>
        <v>50894.781785283107</v>
      </c>
      <c r="G36" s="183">
        <f>BS!N10</f>
        <v>57989.314183787792</v>
      </c>
      <c r="H36" s="183">
        <f>BS!O10</f>
        <v>53441.922615414427</v>
      </c>
      <c r="I36" s="183">
        <f>BS!P10</f>
        <v>43544.53467669613</v>
      </c>
      <c r="J36" s="183">
        <f>BS!Q10</f>
        <v>52741.292948795141</v>
      </c>
      <c r="K36" s="183">
        <f>BS!R10</f>
        <v>49339.472208360785</v>
      </c>
      <c r="L36" s="183">
        <f>BS!S10</f>
        <v>37890.507373768698</v>
      </c>
      <c r="M36" s="183">
        <f>BS!T10</f>
        <v>28642.310588578486</v>
      </c>
      <c r="N36" s="183">
        <f>BS!U10</f>
        <v>52562.46826810317</v>
      </c>
      <c r="O36" s="183">
        <f>BS!V10</f>
        <v>95567.276399386537</v>
      </c>
      <c r="P36" s="183">
        <f>BS!W10</f>
        <v>45414.047947147461</v>
      </c>
      <c r="Q36" s="183">
        <f>BS!X10</f>
        <v>45070.710093709611</v>
      </c>
      <c r="R36" s="183">
        <f>BS!Y10</f>
        <v>54959.256275439002</v>
      </c>
      <c r="S36" s="183">
        <f>BS!Z10</f>
        <v>67373.702721737194</v>
      </c>
      <c r="T36" s="183">
        <f>BS!AA10</f>
        <v>61292.076082200008</v>
      </c>
      <c r="U36" s="183">
        <f>BS!AB10</f>
        <v>67419.845089504117</v>
      </c>
      <c r="V36" s="183">
        <f>BS!AC10</f>
        <v>54619.785221879232</v>
      </c>
    </row>
    <row r="37" spans="1:22" ht="15.75" customHeight="1" x14ac:dyDescent="0.2">
      <c r="A37" s="187"/>
      <c r="B37" s="209" t="s">
        <v>476</v>
      </c>
      <c r="C37" s="225"/>
      <c r="D37" s="226">
        <f t="shared" ref="D37:K37" si="25">+D35-D36</f>
        <v>5443.786984180595</v>
      </c>
      <c r="E37" s="226">
        <f t="shared" si="25"/>
        <v>-3934.035750219482</v>
      </c>
      <c r="F37" s="226">
        <f t="shared" si="25"/>
        <v>7094.5323985046853</v>
      </c>
      <c r="G37" s="226">
        <f t="shared" si="25"/>
        <v>-4547.3915683733649</v>
      </c>
      <c r="H37" s="226">
        <f t="shared" si="25"/>
        <v>-9897.3879387182969</v>
      </c>
      <c r="I37" s="226">
        <f t="shared" si="25"/>
        <v>9196.7582720990104</v>
      </c>
      <c r="J37" s="226">
        <f t="shared" si="25"/>
        <v>-3401.8207404343557</v>
      </c>
      <c r="K37" s="226">
        <f t="shared" si="25"/>
        <v>-11448.964834592087</v>
      </c>
      <c r="L37" s="226">
        <f t="shared" ref="L37:V37" si="26">+L35-L36</f>
        <v>-9248.1967851902118</v>
      </c>
      <c r="M37" s="226">
        <f t="shared" si="26"/>
        <v>23920.157679524684</v>
      </c>
      <c r="N37" s="226">
        <f t="shared" si="26"/>
        <v>43004.808131283367</v>
      </c>
      <c r="O37" s="226">
        <f t="shared" si="26"/>
        <v>-50153.228452239076</v>
      </c>
      <c r="P37" s="226">
        <f t="shared" si="26"/>
        <v>-343.33785343784984</v>
      </c>
      <c r="Q37" s="226">
        <f t="shared" ref="Q37:R37" si="27">+Q35-Q36</f>
        <v>9888.5461817293908</v>
      </c>
      <c r="R37" s="226">
        <f t="shared" si="27"/>
        <v>12414.446446298192</v>
      </c>
      <c r="S37" s="226">
        <f t="shared" ref="S37:T37" si="28">+S35-S36</f>
        <v>-6081.6266395371858</v>
      </c>
      <c r="T37" s="226">
        <f t="shared" si="28"/>
        <v>6127.7690073041085</v>
      </c>
      <c r="U37" s="226">
        <f t="shared" ref="U37" si="29">+U35-U36</f>
        <v>-12800.059867624885</v>
      </c>
      <c r="V37" s="226">
        <f t="shared" si="26"/>
        <v>43416.941598724668</v>
      </c>
    </row>
    <row r="38" spans="1:22"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c r="V38" s="236"/>
    </row>
    <row r="39" spans="1:22" ht="15.75" customHeight="1" x14ac:dyDescent="0.2">
      <c r="A39" s="232"/>
      <c r="B39" s="233" t="s">
        <v>489</v>
      </c>
      <c r="C39" s="234" t="s">
        <v>504</v>
      </c>
      <c r="D39" s="235">
        <f>D22</f>
        <v>94199.945258729596</v>
      </c>
      <c r="E39" s="235">
        <f>E22</f>
        <v>-12166.848602330632</v>
      </c>
      <c r="F39" s="235">
        <f t="shared" ref="F39:K39" si="30">F22</f>
        <v>44333.150311820034</v>
      </c>
      <c r="G39" s="235">
        <f t="shared" si="30"/>
        <v>-14176.338834030117</v>
      </c>
      <c r="H39" s="235">
        <f t="shared" si="30"/>
        <v>15596.557821048773</v>
      </c>
      <c r="I39" s="235">
        <f t="shared" si="30"/>
        <v>31231.045782711517</v>
      </c>
      <c r="J39" s="235">
        <f t="shared" si="30"/>
        <v>-3978.2902487201936</v>
      </c>
      <c r="K39" s="235">
        <f t="shared" si="30"/>
        <v>-7169.3935607588501</v>
      </c>
      <c r="L39" s="235">
        <f t="shared" ref="L39:V39" si="31">L22</f>
        <v>21578.310246538298</v>
      </c>
      <c r="M39" s="235">
        <f t="shared" si="31"/>
        <v>11890.357306011734</v>
      </c>
      <c r="N39" s="235">
        <f t="shared" si="31"/>
        <v>46480.743849196282</v>
      </c>
      <c r="O39" s="235">
        <f t="shared" si="31"/>
        <v>-36993.936152929411</v>
      </c>
      <c r="P39" s="235">
        <f t="shared" si="31"/>
        <v>37545.515868114177</v>
      </c>
      <c r="Q39" s="235">
        <f t="shared" ref="Q39:R39" si="32">Q22</f>
        <v>16129.240588373097</v>
      </c>
      <c r="R39" s="235">
        <f t="shared" si="32"/>
        <v>12825.967530622525</v>
      </c>
      <c r="S39" s="235">
        <f t="shared" ref="S39:T39" si="33">S22</f>
        <v>24841.979341994607</v>
      </c>
      <c r="T39" s="235">
        <f t="shared" si="33"/>
        <v>13375.028055408722</v>
      </c>
      <c r="U39" s="235">
        <f t="shared" ref="U39" si="34">U22</f>
        <v>-37692.561085569272</v>
      </c>
      <c r="V39" s="235">
        <f t="shared" si="31"/>
        <v>82963.034627080662</v>
      </c>
    </row>
    <row r="40" spans="1:22" ht="15.75" customHeight="1" x14ac:dyDescent="0.2">
      <c r="A40" s="186"/>
      <c r="B40" s="230" t="s">
        <v>490</v>
      </c>
      <c r="C40" s="182" t="s">
        <v>491</v>
      </c>
      <c r="D40" s="183">
        <f>D26</f>
        <v>-181380.45345729269</v>
      </c>
      <c r="E40" s="183">
        <f>E26</f>
        <v>191428.64866574956</v>
      </c>
      <c r="F40" s="183">
        <f t="shared" ref="F40:K40" si="35">F26</f>
        <v>-55178.385926258154</v>
      </c>
      <c r="G40" s="183">
        <f t="shared" si="35"/>
        <v>68785.558243115403</v>
      </c>
      <c r="H40" s="183">
        <f t="shared" si="35"/>
        <v>-49568.845676851663</v>
      </c>
      <c r="I40" s="183">
        <f t="shared" si="35"/>
        <v>-98688.586278388568</v>
      </c>
      <c r="J40" s="183">
        <f t="shared" si="35"/>
        <v>106036.42536946299</v>
      </c>
      <c r="K40" s="183">
        <f t="shared" si="35"/>
        <v>33632.630645123594</v>
      </c>
      <c r="L40" s="183">
        <f t="shared" ref="L40:V40" si="36">L26</f>
        <v>-16892.917235244797</v>
      </c>
      <c r="M40" s="183">
        <f t="shared" si="36"/>
        <v>-401.59462547184012</v>
      </c>
      <c r="N40" s="183">
        <f t="shared" si="36"/>
        <v>-8951.7729088168126</v>
      </c>
      <c r="O40" s="183">
        <f t="shared" si="36"/>
        <v>-43797.069367706761</v>
      </c>
      <c r="P40" s="183">
        <f t="shared" si="36"/>
        <v>-3080.1407268516268</v>
      </c>
      <c r="Q40" s="183">
        <f t="shared" ref="Q40:R40" si="37">Q26</f>
        <v>-66754.484455269005</v>
      </c>
      <c r="R40" s="183">
        <f t="shared" si="37"/>
        <v>53017.987399182581</v>
      </c>
      <c r="S40" s="183">
        <f t="shared" ref="S40:T40" si="38">S26</f>
        <v>-49447.414933169195</v>
      </c>
      <c r="T40" s="183">
        <f t="shared" si="38"/>
        <v>-123876.30284032613</v>
      </c>
      <c r="U40" s="183">
        <f t="shared" ref="U40" si="39">U26</f>
        <v>137862.14887203704</v>
      </c>
      <c r="V40" s="183">
        <f t="shared" si="36"/>
        <v>-100757.05108970907</v>
      </c>
    </row>
    <row r="41" spans="1:22" ht="15.75" customHeight="1" x14ac:dyDescent="0.2">
      <c r="A41" s="187"/>
      <c r="B41" s="209" t="s">
        <v>476</v>
      </c>
      <c r="C41" s="225"/>
      <c r="D41" s="226">
        <f t="shared" ref="D41:K41" si="40">D39+D40</f>
        <v>-87180.508198563097</v>
      </c>
      <c r="E41" s="226">
        <f t="shared" si="40"/>
        <v>179261.80006341892</v>
      </c>
      <c r="F41" s="226">
        <f t="shared" si="40"/>
        <v>-10845.235614438119</v>
      </c>
      <c r="G41" s="226">
        <f t="shared" si="40"/>
        <v>54609.219409085286</v>
      </c>
      <c r="H41" s="226">
        <f t="shared" si="40"/>
        <v>-33972.28785580289</v>
      </c>
      <c r="I41" s="226">
        <f t="shared" si="40"/>
        <v>-67457.540495677051</v>
      </c>
      <c r="J41" s="226">
        <f t="shared" si="40"/>
        <v>102058.13512074279</v>
      </c>
      <c r="K41" s="226">
        <f t="shared" si="40"/>
        <v>26463.237084364744</v>
      </c>
      <c r="L41" s="226">
        <f t="shared" ref="L41:V41" si="41">L39+L40</f>
        <v>4685.3930112935013</v>
      </c>
      <c r="M41" s="226">
        <f t="shared" si="41"/>
        <v>11488.762680539894</v>
      </c>
      <c r="N41" s="226">
        <f t="shared" si="41"/>
        <v>37528.97094037947</v>
      </c>
      <c r="O41" s="226">
        <f t="shared" si="41"/>
        <v>-80791.005520636172</v>
      </c>
      <c r="P41" s="226">
        <f t="shared" si="41"/>
        <v>34465.37514126255</v>
      </c>
      <c r="Q41" s="226">
        <f t="shared" ref="Q41:R41" si="42">Q39+Q40</f>
        <v>-50625.243866895908</v>
      </c>
      <c r="R41" s="226">
        <f t="shared" si="42"/>
        <v>65843.954929805099</v>
      </c>
      <c r="S41" s="226">
        <f t="shared" ref="S41:T41" si="43">S39+S40</f>
        <v>-24605.435591174588</v>
      </c>
      <c r="T41" s="226">
        <f t="shared" si="43"/>
        <v>-110501.2747849174</v>
      </c>
      <c r="U41" s="226">
        <f t="shared" ref="U41" si="44">U39+U40</f>
        <v>100169.58778646778</v>
      </c>
      <c r="V41" s="226">
        <f t="shared" si="41"/>
        <v>-17794.016462628409</v>
      </c>
    </row>
    <row r="42" spans="1:22" x14ac:dyDescent="0.2">
      <c r="B42" s="31" t="s">
        <v>583</v>
      </c>
    </row>
  </sheetData>
  <sheetProtection algorithmName="SHA-512" hashValue="PaTx1UGOZJcwwMReHvikaH4OmxzYc3cBd5wkujUI/wFe1PJjEHYATCybMIMMB8dcueeGZH4V65/hlhPZ9gQR1g==" saltValue="BfDp2A+Wrz7i3lUer9p/Dg=="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雅章 森川</cp:lastModifiedBy>
  <cp:lastPrinted>2016-06-02T03:51:42Z</cp:lastPrinted>
  <dcterms:created xsi:type="dcterms:W3CDTF">2009-06-23T03:53:45Z</dcterms:created>
  <dcterms:modified xsi:type="dcterms:W3CDTF">2024-03-30T04:13:42Z</dcterms:modified>
</cp:coreProperties>
</file>